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<sst xmlns="http://schemas.openxmlformats.org/spreadsheetml/2006/main" count="7082" uniqueCount="2308">
  <si>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</si>
  <si>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</si>
  <si>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</si>
  <si>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</si>
  <si>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</si>
  <si>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</si>
  <si>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</si>
  <si>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</si>
  <si>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</si>
  <si>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</si>
  <si>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</si>
  <si>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</si>
  <si>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</si>
  <si>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</si>
  <si>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</si>
  <si>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</si>
  <si>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</si>
  <si>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</si>
  <si>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</si>
  <si>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</si>
  <si>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</si>
  <si>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</si>
  <si>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</si>
  <si>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</si>
  <si>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</si>
  <si>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</si>
  <si>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</si>
  <si>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</si>
  <si>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</si>
  <si>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</si>
  <si>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</si>
  <si>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</si>
  <si>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</si>
  <si>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</si>
  <si>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</si>
  <si>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</si>
  <si>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</si>
  <si>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</si>
  <si>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</si>
  <si>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</si>
  <si>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</si>
  <si>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</si>
  <si>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</si>
  <si>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</si>
  <si>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</si>
  <si>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</si>
  <si>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</si>
  <si>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</si>
  <si>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</si>
  <si>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</si>
  <si>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</si>
  <si>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</si>
  <si>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</si>
  <si>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</si>
  <si>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</si>
  <si>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</si>
  <si>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</si>
  <si>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</si>
  <si>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</si>
  <si>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</si>
  <si>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</si>
  <si>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</si>
  <si>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</si>
  <si>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</si>
  <si>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</si>
  <si>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</si>
  <si>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</si>
  <si>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</si>
  <si>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</si>
  <si>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</si>
  <si>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</si>
  <si>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</si>
  <si>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</si>
  <si>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</si>
  <si>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</si>
  <si>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</si>
  <si>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</si>
  <si>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</si>
  <si>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</si>
  <si>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</si>
  <si>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</si>
  <si>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</si>
  <si>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</si>
  <si>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</si>
  <si>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</si>
  <si>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</si>
  <si>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</si>
  <si>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</si>
  <si>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</si>
  <si>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</si>
  <si>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</si>
  <si>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</si>
  <si>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</si>
  <si>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</si>
  <si>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</si>
  <si>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</si>
  <si>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</si>
  <si>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</si>
  <si>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</si>
  <si>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</si>
  <si>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</si>
  <si>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</si>
  <si>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</si>
  <si>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</si>
  <si>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</si>
  <si>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</si>
  <si>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</si>
  <si>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</si>
  <si>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</si>
  <si>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</si>
  <si>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</si>
  <si>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</si>
  <si>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</si>
  <si>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</si>
  <si>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</si>
  <si>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</si>
  <si>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</si>
  <si>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</si>
  <si>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</si>
  <si>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</si>
  <si>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</si>
  <si>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</si>
  <si>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</si>
  <si>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</si>
  <si>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</si>
  <si>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</si>
  <si>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</si>
  <si>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</si>
  <si>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</si>
  <si>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</si>
  <si>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</si>
  <si>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</si>
  <si>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</si>
  <si>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</si>
  <si>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</si>
  <si>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</si>
  <si>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</si>
  <si>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</si>
  <si>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</si>
  <si>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</si>
  <si>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</si>
  <si>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</si>
  <si>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</si>
  <si>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</si>
  <si>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</si>
  <si>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</si>
  <si>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</si>
  <si>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</si>
  <si>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</si>
  <si>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</si>
  <si>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</si>
  <si>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</si>
  <si>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</si>
  <si>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</si>
  <si>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</si>
  <si>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</si>
  <si>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</si>
  <si>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</si>
  <si>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</si>
  <si>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</si>
  <si>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</si>
  <si>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</si>
  <si>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</si>
  <si>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</si>
  <si>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</si>
  <si>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</si>
  <si>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</si>
  <si>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</si>
  <si>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</si>
  <si>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</si>
  <si>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</si>
  <si>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</si>
  <si>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</si>
  <si>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</si>
  <si>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</si>
  <si>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</si>
  <si>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</si>
  <si>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</si>
  <si>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</si>
  <si>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</si>
  <si>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</si>
  <si>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</si>
  <si>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</si>
  <si>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</si>
  <si>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</si>
  <si>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</si>
  <si>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</si>
  <si>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</si>
  <si>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</si>
  <si>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</si>
  <si>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</si>
  <si>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</si>
  <si>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</si>
  <si>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</si>
  <si>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</si>
  <si>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</si>
  <si>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</si>
  <si>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</si>
  <si>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</si>
  <si>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</si>
  <si>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</si>
  <si>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</si>
  <si>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</si>
  <si>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</si>
  <si>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</si>
  <si>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</si>
  <si>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</si>
  <si>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</si>
  <si>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</si>
  <si>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</si>
  <si>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</si>
  <si>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</si>
  <si>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</si>
  <si>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</si>
  <si>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</si>
  <si>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</si>
  <si>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</si>
  <si>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</si>
  <si>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</si>
  <si>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</si>
  <si>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</si>
  <si>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</si>
  <si>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</si>
  <si>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</si>
  <si>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inovies</t>
  </si>
  <si>
    <t>seo</t>
  </si>
  <si>
    <t>marketing</t>
  </si>
  <si>
    <t>Mentions</t>
  </si>
  <si>
    <t>Replies to</t>
  </si>
  <si>
    <t>Quote</t>
  </si>
  <si>
    <t>MentionsInReplyTo</t>
  </si>
  <si>
    <t>MentionsInQuote</t>
  </si>
  <si>
    <t>digitalmarketing</t>
  </si>
  <si>
    <t>bit.ly</t>
  </si>
  <si>
    <t>linkedin.com</t>
  </si>
  <si>
    <t>twitter.com</t>
  </si>
  <si>
    <t>inovies.com</t>
  </si>
  <si>
    <t>photo</t>
  </si>
  <si>
    <t>video</t>
  </si>
  <si>
    <t>Twitter Web App</t>
  </si>
  <si>
    <t>Twitter for Android</t>
  </si>
  <si>
    <t>Twitter for iPhone</t>
  </si>
  <si>
    <t>Sprout Social</t>
  </si>
  <si>
    <t>IFTTT</t>
  </si>
  <si>
    <t>en</t>
  </si>
  <si>
    <t>qme</t>
  </si>
  <si>
    <t>es</t>
  </si>
  <si>
    <t>und</t>
  </si>
  <si>
    <t>fr</t>
  </si>
  <si>
    <t>20:10:37</t>
  </si>
  <si>
    <t>city</t>
  </si>
  <si>
    <t>297885438</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</si>
  <si>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</si>
  <si>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</si>
  <si>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</si>
  <si>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</si>
  <si>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</si>
  <si>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</si>
  <si>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</si>
  <si>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</si>
  <si>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</si>
  <si>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</si>
  <si>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</si>
  <si>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</si>
  <si>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</si>
  <si>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</si>
  <si>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</si>
  <si>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</si>
  <si>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</si>
  <si>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</si>
  <si>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</si>
  <si>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</si>
  <si>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</si>
  <si>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</si>
  <si>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</si>
  <si>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</si>
  <si>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</si>
  <si>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</si>
  <si>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</si>
  <si>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</si>
  <si>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</si>
  <si>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</si>
  <si>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</si>
  <si>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</si>
  <si>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</si>
  <si>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</si>
  <si>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</si>
  <si>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</si>
  <si>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</si>
  <si>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</si>
  <si>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</si>
  <si>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India</t>
  </si>
  <si>
    <t>Hyderabad</t>
  </si>
  <si>
    <t>Seattle</t>
  </si>
  <si>
    <t>California, USA</t>
  </si>
  <si>
    <t>UK</t>
  </si>
  <si>
    <t>New Delhi, India</t>
  </si>
  <si>
    <t>England, United Kingdom</t>
  </si>
  <si>
    <t>International</t>
  </si>
  <si>
    <t>Atlanta, GA</t>
  </si>
  <si>
    <t>Los Angeles, CA</t>
  </si>
  <si>
    <t>Worldwide</t>
  </si>
  <si>
    <t>Toronto, Ontario</t>
  </si>
  <si>
    <t>San Jose, CA</t>
  </si>
  <si>
    <t>Paris</t>
  </si>
  <si>
    <t>San Diego, CA</t>
  </si>
  <si>
    <t>Phoenix, AZ</t>
  </si>
  <si>
    <t>London, England</t>
  </si>
  <si>
    <t>Kolkata, India</t>
  </si>
  <si>
    <t>Kerala, India</t>
  </si>
  <si>
    <t>Dehradun, India</t>
  </si>
  <si>
    <t>Delhi, India</t>
  </si>
  <si>
    <t>The Netherlands</t>
  </si>
  <si>
    <t>London</t>
  </si>
  <si>
    <t>New York, NY</t>
  </si>
  <si>
    <t>Global</t>
  </si>
  <si>
    <t>Los Angeles</t>
  </si>
  <si>
    <t>Chicago, IL</t>
  </si>
  <si>
    <t>Hyderabad, Telangana, India</t>
  </si>
  <si>
    <t>Hyderabad, India</t>
  </si>
  <si>
    <t>London, UK</t>
  </si>
  <si>
    <t>San Antonio, TX</t>
  </si>
  <si>
    <t>Barcelona, Spain</t>
  </si>
  <si>
    <t>California</t>
  </si>
  <si>
    <t>Noida, India</t>
  </si>
  <si>
    <t xml:space="preserve">London </t>
  </si>
  <si>
    <t>Paris, France</t>
  </si>
  <si>
    <t>San Francisco, CA</t>
  </si>
  <si>
    <t>Web Development</t>
  </si>
  <si>
    <t>inovies: Your digital marketing partner for SEO, social media, and content strategies. Data-driven, creative, and adaptive for online success.</t>
  </si>
  <si>
    <t>none</t>
  </si>
  <si>
    <t>regular</t>
  </si>
  <si>
    <t>Open Twitter Page for This Person</t>
  </si>
  <si>
    <t>Directed</t>
  </si>
  <si>
    <t>Edge Weight</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</si>
  <si>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</si>
  <si>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</si>
  <si>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</si>
  <si>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</si>
  <si>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</si>
  <si>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</si>
  <si>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</si>
  <si>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</si>
  <si>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#digitalmarketing</t>
  </si>
  <si>
    <t>more</t>
  </si>
  <si>
    <t>Top Words in Tweet</t>
  </si>
  <si>
    <t>Top Word Pairs in Tweet in Entire Graph</t>
  </si>
  <si>
    <t>digital,marketing</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</si>
  <si>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</si>
  <si>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</si>
  <si>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</si>
  <si>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</si>
  <si>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</si>
  <si>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</si>
  <si>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</si>
  <si>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</si>
  <si>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</si>
  <si>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</si>
  <si>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</si>
  <si>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</si>
  <si>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</si>
  <si>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</si>
  <si>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</si>
  <si>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</si>
  <si>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</si>
  <si>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</si>
  <si>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</si>
  <si>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</si>
  <si>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</si>
  <si>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</si>
  <si>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</si>
  <si>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</si>
  <si>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</si>
  <si>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</si>
  <si>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</si>
  <si>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</si>
  <si>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</si>
  <si>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</si>
  <si>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</si>
  <si>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</si>
  <si>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</si>
  <si>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</si>
  <si>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1.0.1.526</t>
  </si>
  <si>
    <t>TwitterSearch3</t>
  </si>
  <si>
    <t>Key</t>
  </si>
  <si>
    <t>Action Label</t>
  </si>
  <si>
    <t>Action URL</t>
  </si>
  <si>
    <t>Brand Logo</t>
  </si>
  <si>
    <t>Brand URL</t>
  </si>
  <si>
    <t>Hashtag</t>
  </si>
  <si>
    <t>Workbook Settings 2</t>
  </si>
  <si>
    <t>thhyderabad</t>
  </si>
  <si>
    <t>thriveagency</t>
  </si>
  <si>
    <t>revanth_anumula</t>
  </si>
  <si>
    <t>hydcitypolice</t>
  </si>
  <si>
    <t>bhatticlp</t>
  </si>
  <si>
    <t>hyderabad</t>
  </si>
  <si>
    <t>telangana</t>
  </si>
  <si>
    <t>MentionsInQuoteReply</t>
  </si>
  <si>
    <t>lnkd.in</t>
  </si>
  <si>
    <t>goo.gl</t>
  </si>
  <si>
    <t>thriveagency.com</t>
  </si>
  <si>
    <t>SmarterQueue</t>
  </si>
  <si>
    <t>Twitter for iPad</t>
  </si>
  <si>
    <t>sv</t>
  </si>
  <si>
    <t>10:57:00</t>
  </si>
  <si>
    <t>17:00:00</t>
  </si>
  <si>
    <t>10:40:24</t>
  </si>
  <si>
    <t>13:23:26</t>
  </si>
  <si>
    <t>17:12:17</t>
  </si>
  <si>
    <t>05:16:00</t>
  </si>
  <si>
    <t>10:58:49</t>
  </si>
  <si>
    <t>2842306788</t>
  </si>
  <si>
    <t>706842521796632576</t>
  </si>
  <si>
    <t>Revanth Reddy</t>
  </si>
  <si>
    <t>Hyderabad City Police</t>
  </si>
  <si>
    <t>The Hindu-Hyderabad</t>
  </si>
  <si>
    <t>Bhatti Vikramarka Mallu</t>
  </si>
  <si>
    <t>Thrive Agency</t>
  </si>
  <si>
    <t>411999422</t>
  </si>
  <si>
    <t>1092355808891875328</t>
  </si>
  <si>
    <t>71281607</t>
  </si>
  <si>
    <t>West Palm Beach, FL</t>
  </si>
  <si>
    <t>Hyderabad, Telangana India</t>
  </si>
  <si>
    <t xml:space="preserve">Hyderabad </t>
  </si>
  <si>
    <t>Ahmedabad, India</t>
  </si>
  <si>
    <t>Arlington TX</t>
  </si>
  <si>
    <t>Atlanta</t>
  </si>
  <si>
    <t>Chief Minister of Telangana, President,PCC, Telangana</t>
  </si>
  <si>
    <t>Dial 100 in Emergency, for you... with you... always..</t>
  </si>
  <si>
    <t>The official account of The Hindu's reporters in Hyderabad and across Telangana. Follow us for the latest updates on the city and the State.</t>
  </si>
  <si>
    <t>Deputy Chief Minister - Telangana</t>
  </si>
  <si>
    <t>_xD83C__xDF10_https://t.co/GWZhY62bDm
Thrive Internet Marketing Agency is a top Dallas, TX based web design and internet marketing company...</t>
  </si>
  <si>
    <t>revanthreddy.com</t>
  </si>
  <si>
    <t>hyderabadpolice.gov.in</t>
  </si>
  <si>
    <t>thehindu.com/news/cities/Hy…</t>
  </si>
  <si>
    <t>plvisuals.com</t>
  </si>
  <si>
    <t>lnk.bio/thriveagency</t>
  </si>
  <si>
    <t xml:space="preserve">hydcitypolice
</t>
  </si>
  <si>
    <t xml:space="preserve">bhatticlp
</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</si>
  <si>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</si>
  <si>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</si>
  <si>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</si>
  <si>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</si>
  <si>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</si>
  <si>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</si>
  <si>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</si>
  <si>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</si>
  <si>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</si>
  <si>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</si>
  <si>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</si>
  <si>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</si>
  <si>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</si>
  <si>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</si>
  <si>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</si>
  <si>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</si>
  <si>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</si>
  <si>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</si>
  <si>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</si>
  <si>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</si>
  <si>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</si>
  <si>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</si>
  <si>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</si>
  <si>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</si>
  <si>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</si>
  <si>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</si>
  <si>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</si>
  <si>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</si>
  <si>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</si>
  <si>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</si>
  <si>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</si>
  <si>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</si>
  <si>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</si>
  <si>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</si>
  <si>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</si>
  <si>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</si>
  <si>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</si>
  <si>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</si>
  <si>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</si>
  <si>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</si>
  <si>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</si>
  <si>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</si>
  <si>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</si>
  <si>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</si>
  <si>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</si>
  <si>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</si>
  <si>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</si>
  <si>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</si>
  <si>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</si>
  <si>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</si>
  <si>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</si>
  <si>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</si>
  <si>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</si>
  <si>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</si>
  <si>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</si>
  <si>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</si>
  <si>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</si>
  <si>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</si>
  <si>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</si>
  <si>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</si>
  <si>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</si>
  <si>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G1</t>
  </si>
  <si>
    <t>Top Hashtags in Tweet in G2</t>
  </si>
  <si>
    <t>Top Hashtags in Tweet in G3</t>
  </si>
  <si>
    <t>Top Hashtags in Tweet in G4</t>
  </si>
  <si>
    <t>Top Hashtags in Tweet in G5</t>
  </si>
  <si>
    <t>webdesign</t>
  </si>
  <si>
    <t>Top Hashtags in Tweet in G6</t>
  </si>
  <si>
    <t>Top Hashtags in Tweet in G7</t>
  </si>
  <si>
    <t>Top Hashtags in Tweet in G8</t>
  </si>
  <si>
    <t>Top Hashtags in Tweet in G9</t>
  </si>
  <si>
    <t>Top Hashtags in Tweet in G10</t>
  </si>
  <si>
    <t>Top Words in Tweet in G1</t>
  </si>
  <si>
    <t>Top Words in Tweet in G2</t>
  </si>
  <si>
    <t>Top Words in Tweet in G3</t>
  </si>
  <si>
    <t>Top Words in Tweet in G4</t>
  </si>
  <si>
    <t>Top Words in Tweet in G5</t>
  </si>
  <si>
    <t>via</t>
  </si>
  <si>
    <t>Top Words in Tweet in G6</t>
  </si>
  <si>
    <t>Top Words in Tweet in G7</t>
  </si>
  <si>
    <t>Top Words in Tweet in G8</t>
  </si>
  <si>
    <t>Top Words in Tweet in G9</t>
  </si>
  <si>
    <t>Top Words in Tweet in G10</t>
  </si>
  <si>
    <t>design</t>
  </si>
  <si>
    <t>web</t>
  </si>
  <si>
    <t>new</t>
  </si>
  <si>
    <t>top</t>
  </si>
  <si>
    <t>best</t>
  </si>
  <si>
    <t>list</t>
  </si>
  <si>
    <t>week</t>
  </si>
  <si>
    <t>free</t>
  </si>
  <si>
    <t>see</t>
  </si>
  <si>
    <t>thank</t>
  </si>
  <si>
    <t>s</t>
  </si>
  <si>
    <t>https,t</t>
  </si>
  <si>
    <t>t,co</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</si>
  <si>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</si>
  <si>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</si>
  <si>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</si>
  <si>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</si>
  <si>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</si>
  <si>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</si>
  <si>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</si>
  <si>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</si>
  <si>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</si>
  <si>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</si>
  <si>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web,design</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</si>
  <si>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</si>
  <si>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</si>
  <si>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</si>
  <si>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</si>
  <si>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</si>
  <si>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</si>
  <si>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</si>
  <si>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</si>
  <si>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</si>
  <si>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</si>
  <si>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</si>
  <si>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</si>
  <si>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</si>
  <si>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</si>
  <si>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</si>
  <si>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</si>
  <si>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</si>
  <si>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</si>
  <si>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</si>
  <si>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</si>
  <si>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</si>
  <si>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</si>
  <si>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</si>
  <si>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</si>
  <si>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</si>
  <si>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</si>
  <si>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</si>
  <si>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</si>
  <si>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</si>
  <si>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</si>
  <si>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twitter.com goo.gl</t>
  </si>
  <si>
    <t>goo.gl twitter.com</t>
  </si>
  <si>
    <t>Group 1</t>
  </si>
  <si>
    <t>Group 2</t>
  </si>
  <si>
    <t>Edges</t>
  </si>
  <si>
    <t>The graph's vertices were grouped by cluster using the Clauset-Newman-Moore cluster algorithm.</t>
  </si>
  <si>
    <t>sumanthch</t>
  </si>
  <si>
    <t>jameslbrower2</t>
  </si>
  <si>
    <t>narenadarswaero</t>
  </si>
  <si>
    <t>dbmwebmarketing</t>
  </si>
  <si>
    <t>garcias_jmichel</t>
  </si>
  <si>
    <t>bullrushapp</t>
  </si>
  <si>
    <t>develop4u_co</t>
  </si>
  <si>
    <t>byles_digital</t>
  </si>
  <si>
    <t>oviedojc</t>
  </si>
  <si>
    <t>farooqdesigns</t>
  </si>
  <si>
    <t>martintenvoorde</t>
  </si>
  <si>
    <t>bob_thompson</t>
  </si>
  <si>
    <t>allifrye123</t>
  </si>
  <si>
    <t>laurieciss</t>
  </si>
  <si>
    <t>altereco_</t>
  </si>
  <si>
    <t>growthmktconf</t>
  </si>
  <si>
    <t>slidesource</t>
  </si>
  <si>
    <t>artworksbyshana</t>
  </si>
  <si>
    <t>gvalan</t>
  </si>
  <si>
    <t>chandra_sekhare</t>
  </si>
  <si>
    <t>rameshdudala</t>
  </si>
  <si>
    <t>aim_pvsk</t>
  </si>
  <si>
    <t>coopsgreenteam</t>
  </si>
  <si>
    <t>indywoodifc</t>
  </si>
  <si>
    <t>procharitynews</t>
  </si>
  <si>
    <t>codeitwright</t>
  </si>
  <si>
    <t>jetrubyagency</t>
  </si>
  <si>
    <t>redbookfilms</t>
  </si>
  <si>
    <t>twibs</t>
  </si>
  <si>
    <t>twitpulse_in</t>
  </si>
  <si>
    <t>cssnectar</t>
  </si>
  <si>
    <t>kalungigroup</t>
  </si>
  <si>
    <t>goodfirms</t>
  </si>
  <si>
    <t>defindia</t>
  </si>
  <si>
    <t>nodebb</t>
  </si>
  <si>
    <t>wiergeezy</t>
  </si>
  <si>
    <t>shanebruwer</t>
  </si>
  <si>
    <t>net_comms</t>
  </si>
  <si>
    <t>1stchoicerec</t>
  </si>
  <si>
    <t>laura_logic</t>
  </si>
  <si>
    <t>azahar_shaik</t>
  </si>
  <si>
    <t>peopleperhour</t>
  </si>
  <si>
    <t>iistefka</t>
  </si>
  <si>
    <t>willowassist</t>
  </si>
  <si>
    <t>suryakotianu</t>
  </si>
  <si>
    <t>mehkaadams</t>
  </si>
  <si>
    <t>carolinebombart</t>
  </si>
  <si>
    <t>mfcnovo</t>
  </si>
  <si>
    <t>tsm_b2b</t>
  </si>
  <si>
    <t>brainleafit</t>
  </si>
  <si>
    <t>topdevelopersco</t>
  </si>
  <si>
    <t>evontech</t>
  </si>
  <si>
    <t>leveronline</t>
  </si>
  <si>
    <t>wendy97053587</t>
  </si>
  <si>
    <t>bluformiga</t>
  </si>
  <si>
    <t>mackphason</t>
  </si>
  <si>
    <t>softwarefindr_</t>
  </si>
  <si>
    <t>stcstudios</t>
  </si>
  <si>
    <t>designbrandind</t>
  </si>
  <si>
    <t>barnabywass</t>
  </si>
  <si>
    <t>getgeekrelief</t>
  </si>
  <si>
    <t>webguruawards</t>
  </si>
  <si>
    <t>dpanshugahlaut</t>
  </si>
  <si>
    <t>zerocoollatte</t>
  </si>
  <si>
    <t>dc_dreamsevents</t>
  </si>
  <si>
    <t>followupthen</t>
  </si>
  <si>
    <t>rspraveenswaero</t>
  </si>
  <si>
    <t>eaglaboratories</t>
  </si>
  <si>
    <t>cerballiance</t>
  </si>
  <si>
    <t>gabrielattal</t>
  </si>
  <si>
    <t>lci</t>
  </si>
  <si>
    <t>agindre</t>
  </si>
  <si>
    <t>biogroup_labo</t>
  </si>
  <si>
    <t>thecolourmoon</t>
  </si>
  <si>
    <t>switchsoft</t>
  </si>
  <si>
    <t>tvishat</t>
  </si>
  <si>
    <t>navaratantech</t>
  </si>
  <si>
    <t>nethues</t>
  </si>
  <si>
    <t>missionambedkar</t>
  </si>
  <si>
    <t>sfi_arjun</t>
  </si>
  <si>
    <t>bedasampath</t>
  </si>
  <si>
    <t>mnaveenssu</t>
  </si>
  <si>
    <t>maddiletibanda4</t>
  </si>
  <si>
    <t>pv_sunil_kumar</t>
  </si>
  <si>
    <t>nithin_bussa</t>
  </si>
  <si>
    <t>amarbyagari</t>
  </si>
  <si>
    <t>upskillyourlife</t>
  </si>
  <si>
    <t>aadeshrawal</t>
  </si>
  <si>
    <t>codie_sanchez</t>
  </si>
  <si>
    <t>joshqharris</t>
  </si>
  <si>
    <t>linkedin</t>
  </si>
  <si>
    <t>shellypalmer</t>
  </si>
  <si>
    <t>yourstoryco</t>
  </si>
  <si>
    <t>paypal</t>
  </si>
  <si>
    <t>eenadu</t>
  </si>
  <si>
    <t>pinterest</t>
  </si>
  <si>
    <t>quiffboy</t>
  </si>
  <si>
    <t>mashable</t>
  </si>
  <si>
    <t>development_web</t>
  </si>
  <si>
    <t>customerthink</t>
  </si>
  <si>
    <t>ethanewebtech</t>
  </si>
  <si>
    <t>perfect_search</t>
  </si>
  <si>
    <t>straightnorth</t>
  </si>
  <si>
    <t>digitlresource</t>
  </si>
  <si>
    <t>digivate</t>
  </si>
  <si>
    <t>dashtwo</t>
  </si>
  <si>
    <t>labobiopyrenees</t>
  </si>
  <si>
    <t>successlake</t>
  </si>
  <si>
    <t>skotwaldron</t>
  </si>
  <si>
    <t>rankvisibility</t>
  </si>
  <si>
    <t>w3webdesign_in</t>
  </si>
  <si>
    <t>manthanaward</t>
  </si>
  <si>
    <t>pnburrows</t>
  </si>
  <si>
    <t>finreluk</t>
  </si>
  <si>
    <t>t0nyh0ran</t>
  </si>
  <si>
    <t>monroeconsult</t>
  </si>
  <si>
    <t>tonycompton</t>
  </si>
  <si>
    <t>pennylanevideos</t>
  </si>
  <si>
    <t>av_tms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</si>
  <si>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</si>
  <si>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</si>
  <si>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</si>
  <si>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</si>
  <si>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</si>
  <si>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</si>
  <si>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</si>
  <si>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</si>
  <si>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</si>
  <si>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</si>
  <si>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</si>
  <si>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</si>
  <si>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</si>
  <si>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</si>
  <si>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sunarc_tech</t>
  </si>
  <si>
    <t>octalitsolution</t>
  </si>
  <si>
    <t>softwaredevin</t>
  </si>
  <si>
    <t>promatics</t>
  </si>
  <si>
    <t>phoenix_bizz</t>
  </si>
  <si>
    <t>ripenappstech</t>
  </si>
  <si>
    <t>a1future</t>
  </si>
  <si>
    <t>fmidesign</t>
  </si>
  <si>
    <t>swiftymorgan</t>
  </si>
  <si>
    <t>johngow</t>
  </si>
  <si>
    <t>jeremyscrivens</t>
  </si>
  <si>
    <t>smokingchili</t>
  </si>
  <si>
    <t>ipfconline1</t>
  </si>
  <si>
    <t>virtuoso_qa</t>
  </si>
  <si>
    <t>rsmgears</t>
  </si>
  <si>
    <t>cricclubs</t>
  </si>
  <si>
    <t>nandi_tyres</t>
  </si>
  <si>
    <t>@Inovies No.</t>
  </si>
  <si>
    <t>RT https://t.co/JobkD6HQK2 Best Digital Marketing Consulting Company in Hyderabad-@Inovies see more&amp;gt;https://t.co/SBOwsMe9Zn #Best #DigitalMarketing #consulting #company #Hyderabad #inovies #S… https://t.co/oNMUDm6TFT</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</si>
  <si>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</si>
  <si>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RT https://t.co/kSsIeNxKhg Best Digital Marketing Consulting Company in Hyderabad-@Inovies see more&amp;gt;https://t.co/ZooAmSRapU #Best #DigitalMarketing #consulting #company #Hyderabad #inovies #S… https://t.co/4P5fhpbTmy</t>
  </si>
  <si>
    <t>@agindre @LCI @GabrielAttal Sur ce point il a tout à fait raison @GabrielAttal !  ✅
@cerballiance @Biogroup_Labo @Inovies @EAGLaboratories</t>
  </si>
  <si>
    <t>@Inovies How much money did you loose already without even knowing? https://t.co/VZJZIdHeMY</t>
  </si>
  <si>
    <t>Are you Looking for #Top Mobile App Development Companies in #Hyderabad, India? then here is the #list of top #Mobileapp development #companies 
For More: https://t.co/YH704dGVoU
@impressicodigi 
@Inovies 
@nethues 
@navaratantech 
@TvishaT 
@SwitchSoft 
@thecolourmoon</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</si>
  <si>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</si>
  <si>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</si>
  <si>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</si>
  <si>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</si>
  <si>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</si>
  <si>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</si>
  <si>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@Inovies That's a few! _xD83D__xDE0E_ 
I'm guessing that's for clients though?</t>
  </si>
  <si>
    <t>@IntellMarketer 12 hours / week</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</si>
  <si>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</si>
  <si>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@UpSkillYourLife If you are idle, people play 99 mind games not 9</t>
  </si>
  <si>
    <t>@AadeshRawal Wait till elections, every single note will come out</t>
  </si>
  <si>
    <t>@Codie_Sanchez Interbell</t>
  </si>
  <si>
    <t>@joshqharris Exclusive job portal for teachers</t>
  </si>
  <si>
    <t>"It’s Time To Raise Your Web Design Rates" on @LinkedIn https://t.co/J3Z7eE3s0X</t>
  </si>
  <si>
    <t>"Chipping People: Are You Ready?" https://t.co/V7ZtzmveWc by @shellypalmer on @LinkedIn</t>
  </si>
  <si>
    <t>I would love to turn ODDS to my FAVOR https://t.co/m1m249c0Fi via @YourStoryCo</t>
  </si>
  <si>
    <t>Nagendra Bommasani @Inovies has made in to top 5 on Leaderboard of @PayPal https://t.co/3xo5WaEZcy … #PayPalEntrepreneurContest</t>
  </si>
  <si>
    <t>When Eetaram @Eenadu Finds Inovies Lively #websitedesigningcompany https://t.co/QRoxTf770E</t>
  </si>
  <si>
    <t>inovies web development http://t.co/N093gP3K via @pinterest</t>
  </si>
  <si>
    <t>@hydcitypolice Nice timings - thoughtful</t>
  </si>
  <si>
    <t>@quiffboy https://t.co/sHR7uMcpkn</t>
  </si>
  <si>
    <t>@Inovies send me a blank email to info@kirubu.com to send you a more detailed description.</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</si>
  <si>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</si>
  <si>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</si>
  <si>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</si>
  <si>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@Inovies Which are the best colleges in Hyderabad where i could learn web application design , responsive page design app designs etc?</t>
  </si>
  <si>
    <t>Marketing - Optimise Leadership (145) - Think effectively with SEO and brand building strategies via @Inovies https://t.co/AI7arBynFv</t>
  </si>
  <si>
    <t>Think effectively with SEO and brand building strategies by @inovies https://t.co/2gzinUUVq1 via @CustomerThink</t>
  </si>
  <si>
    <t>ThriveAgency: @TopDevelopersCo @leveronline @dashtwo @Inovies @digivate @DigitlResource @StraightNorth @Perfect_Search @gexton @ethanewebtech Thank you!</t>
  </si>
  <si>
    <t>@Biogroup_Labo @Inovies @LaboBiopyrenees</t>
  </si>
  <si>
    <t>Ces entreprises suscitent l’appétit de fonds d’investissement étrangers https://t.co/IbQ1Z2KvVa</t>
  </si>
  <si>
    <t>@Inovies we published a post about creating a framework for rapid growth. I think you'd like it: https://t.co/aQDFokYyrg</t>
  </si>
  <si>
    <t>@Inovies Welcome! Hope you find the tweets we share useful.</t>
  </si>
  <si>
    <t>@Inovies I'd love to connect with you on #LinkedIn. Can you add me? Find me here: https://t.co/Qnl06STCBM</t>
  </si>
  <si>
    <t>Thanks for the recent follow @dinesh_vetal @SuccessLake @Inovies! Happy to connect :) have a great Monday. _xD83D__xDD36_ https://t.co/59N8l0SVQ6</t>
  </si>
  <si>
    <t>@Inovies #StandByPVSunilKumarIPS</t>
  </si>
  <si>
    <t>Ubuntu smartphone won't be as 'open' as they say http://t.co/Sj1hAtIdht via @Inovies</t>
  </si>
  <si>
    <t>@Inovies gerg</t>
  </si>
  <si>
    <t>Hey Inovies thanks for following me. Make it a great day @Inovies !</t>
  </si>
  <si>
    <t>Congratulations Inovies Consulting Pvt. Ltd. being awarded with #Indywood_IT_Excellence_Award for Excellence in Web Development and Digital Marketing.
#Indywood #ITExcellenceAward #Inovies #WebDevelopment #DigitalMarketing
@Inovies https://t.co/SX2nIDNofr</t>
  </si>
  <si>
    <t>Hi @Inovies Thanks for following! Pre-register for PROnounce here https://t.co/ylkO9QiwYN via https://t.co/urNtwGDfT5</t>
  </si>
  <si>
    <t>Thanks top new followers this week @crimebooks01 @TobiMapsOffice @Inovies Happy to connect :)</t>
  </si>
  <si>
    <t>@RankVisibility @Inovies @skotwaldron - Thanks for being new top engaged this week :)</t>
  </si>
  <si>
    <t>@Inovies Hey thanks for following, let me know a bit more about what you do... https://t.co/zFn4jVXFw0</t>
  </si>
  <si>
    <t>@inovies added as a twitter business at http://t.co/HRrR2A34m1. To manage your account, go to http://t.co/XAfTgtF2tv</t>
  </si>
  <si>
    <t>inovies (@inovies, 747 followers), did your Twitter guy go to lunch and never return? Your last tweet was 92 days ago _xD83E__xDD14_</t>
  </si>
  <si>
    <t>New #WebDesign Inspiration - Best ...  http://t.co/SLXARDa1mY  on http://t.co/iELzF83Dgj
@Inovies @w3webdesign_in http://t.co/IW1qAuXAaA</t>
  </si>
  <si>
    <t>New #WebDesign Inspiration - Welkin Web Design  https://t.co/xjxfpH1RbF  on https://t.co/iELzF83Dgj
@Inovies https://t.co/gXWi2LPKib</t>
  </si>
  <si>
    <t>@Inovies feels great to be followed by you find out more about me here https://t.co/pcbwvsrmKU via https://t.co/oVnhkyrDBz</t>
  </si>
  <si>
    <t>A client said @Inovies has ability &amp;amp; reliability factor on @GoodFirms
https://t.co/lLMMr12bWm
#GoodFirms #Reviews #MobileAppDevelopment https://t.co/6T2V0tKIfH</t>
  </si>
  <si>
    <t>@Inovies Embrace us with your presence @manthanaward on Dec1-9th Annual Digital Festival Development. http://t.co/9bIhAz92 #manthan</t>
  </si>
  <si>
    <t>Will you become one with Growth Hacker marketing? by @inovies https://t.co/VcihkqQ0sJ via @CustomerThink #forum #nodebb</t>
  </si>
  <si>
    <t>@Inovies @PNBurrows @creditcarddl - Happy to have you in my community :)</t>
  </si>
  <si>
    <t>@Inovies Whats up there , thank you for following , I truthfully value it . Allow me to share an element that would undoubtedly interest y</t>
  </si>
  <si>
    <t>@Inovies TFTF your awesome and we appreciate you. https://t.co/AIrmJ0SmTO</t>
  </si>
  <si>
    <t>Thank you for the follow! @CameronFirefish @t0nyh0ran @pure_banners @finreluk @Inovies @crystalprosky #FridayFeeling</t>
  </si>
  <si>
    <t>@Inovies Thank you for the follow! :)</t>
  </si>
  <si>
    <t>@Inovies #StandWithPVsunilkumarIPS</t>
  </si>
  <si>
    <t>@Inovies Thank you for following,  _xD83D__xDC1B_  Have you joined our G+ Community _xD83D__xDC49_  https://t.co/JdxdutDFSu</t>
  </si>
  <si>
    <t>@Inovies Hi, I saw you, guys, on Awwwards' website &amp;amp; would love to get your feedback on a recent submission: https://t.co/qkoScoYq1Z</t>
  </si>
  <si>
    <t>TFTF @Inovies _xD83D__xDC9A_ Did you see "Be The Tree, Not a Leaf" ➡️ https://t.co/LAOuX75G2V ⬅️ #SelfHealing #Love #Mindfulness #Understanding #Life https://t.co/qHgi8M1cFF</t>
  </si>
  <si>
    <t>PPC/Conversion Rate Optz Company based in Hyderabad India-@Inovies 
See More&amp;gt;https://t.co/9bp7i2sO89  
#PPC #Conversion #Rate #Optz #Best #company #in #Hyderabad #Inovies #DigitalMarketing #SEO #SMO #India #ContentMarketing #WebDesign #webdevelopment https://t.co/8wtHBwHpkb</t>
  </si>
  <si>
    <t>RT https://t.co/ihg0FcpYCd Best Digital Marketing Consulting Company in Hyderabad-@Inovies see more&amp;gt;https://t.co/phGzagIvst #Best #DigitalMarketing #consulting #company #Hyderabad #inovies #S… https://t.co/TCdfc7yzzs</t>
  </si>
  <si>
    <t>@MonroeConsult @successmethod_ @Inovies - Hi! Happy to have you in my community :)</t>
  </si>
  <si>
    <t>10 Websites Where You Can Get #Free #Images for your Website http://t.co/tKCAsIuXi7 #free images #website images via @Inovies #webdesign</t>
  </si>
  <si>
    <t>@Inovies Do you want to learn how to achieve online success without burning money on ads? Free Webinar: https://t.co/2RtEo1GnRB</t>
  </si>
  <si>
    <t>Share the love: @tonycompton @Inovies @av_tms, thanks for being top new followers this week :)</t>
  </si>
  <si>
    <t>#HappyMonday @Inovies @av_tms @PennylaneVideos thanks for being top new followers - have a great week :)</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</si>
  <si>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</si>
  <si>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</si>
  <si>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@TopDevelopersCo @a1future @ripenappstech @Phoenix_Bizz @promatics @SoftwaredevIn @Inovies @octalitsolution @SunArc_tech Thank you so much @TopDevelopersCo to select @Evontech as a Top #UIUXDesigningAgencies</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</si>
  <si>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</si>
  <si>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@leveronline @dashtwo @Inovies @digivate @DigitlResource @StraightNorth @Perfect_Search @gexton @ethanewebtech Thank you!</t>
  </si>
  <si>
    <t>@TopDevelopersCo @ThriveAgency @dashtwo @Inovies @digivate @DigitlResource @StraightNorth @Perfect_Search @gexton @ethanewebtech Woo-hoo!</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</si>
  <si>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</si>
  <si>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Hi @Inovies.</t>
  </si>
  <si>
    <t>Le sigo de vuelta a @Inovies ➽ ❤/RT Gracias, por seguirme!.  "Like" FB Fanpage https://t.co/6D1loW3HVy via https://t.co/q7YKpZnOfD</t>
  </si>
  <si>
    <t> nice http://t.co/029pYK8R0r via @Inovies</t>
  </si>
  <si>
    <t>Hey @Inovies, Thank you for the follow!</t>
  </si>
  <si>
    <t>#article Top marketing trends to not be missed in 2K18 by @inovies https://t.co/dJ2M6gMTZg via @CustomerThink https://t.co/BqZI4dRPVx</t>
  </si>
  <si>
    <t>The Web Design for your business Daily is out! https://t.co/fXlSLZQUCf Stories via @minipea @Inovies @fmidesign</t>
  </si>
  <si>
    <t>Thanks for the follow @ipfconline1 @Inovies @inspiredlywrit @SmokingChili   @JeremyScrivens @johngow @SwiftyMorgan. Happy to connect!</t>
  </si>
  <si>
    <t>@Inovies Do you know how to analyze your web traffic? Check out how to make the most of your data - https://t.co/Rjk7fWsMm6</t>
  </si>
  <si>
    <t>Check  our previous #winners of this particular Date &amp;amp; Month 19 #May 
https://t.co/napOv1pnvW 
#19May #19May2015 #19May2016 #19May2017 #19May2018 #19May2019 #19May2020 #19May2021 #19May2022 #Webguruawards #Throwback 
@Inovies @Virtuoso_QA https://t.co/1jU6knqzwa</t>
  </si>
  <si>
    <t>@webguruawards @Inovies https://t.co/lurZ3RpWnI</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</si>
  <si>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</si>
  <si>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Will you become one with #GrowthHacker marketing? by @inovies https://t.co/zgUGO2RDH2 via @CustomerThink</t>
  </si>
  <si>
    <t>Thanks for the recent follow @Bskhod @Inovies Happy to connect :) have a great Saturday. ➡️ Want this _xD83C__xDD93_❓ https://t.co/osnmCP95Qb</t>
  </si>
  <si>
    <t>#7hsportsevents #tcpl #tv5 @NANDI_TYRES @Inovies #eliteacademy #hoteljubilleridge @cricclubs @RSMGEARS @THHyderabad  #cricket #Corporate #Hyderabad #Telangana 
Grab your free passes for TCPL - Seasons 2 on 
https://t.co/VxgeZdWk2H https://t.co/4S7A7UlOBk</t>
  </si>
  <si>
    <t>What's your go-to productivity hack during a busy workday?
#AntiCorruptionDay #DontIgnoreUs @Inovies #DeepikaPadukone</t>
  </si>
  <si>
    <t>@Inovies Start using FollowUpThen with our unlimited free plan. https://t.co/M3XtXuOXGt</t>
  </si>
  <si>
    <t>best digitalmarketing consulting company hyderabad inovies s</t>
  </si>
  <si>
    <t>standbypvsunilkumarips standbypvsunilkumarips standbypvsunilkumarips standbypvsunilkumarips standbypvsunilkumarips standbypvsunilkumarip standbypvsunilkumarips standbypvsunilkumarips standbypvsunilkumarips standbypvsunilkumarips standbypvsunilkumarips</t>
  </si>
  <si>
    <t>top hyderabad list mobileapp companies</t>
  </si>
  <si>
    <t>telangana inovies</t>
  </si>
  <si>
    <t>paypalentrepreneurcontest</t>
  </si>
  <si>
    <t>websitedesigningcompany</t>
  </si>
  <si>
    <t>standbypvsunilkumarips</t>
  </si>
  <si>
    <t>indywood_it_excellence_award indywood itexcellenceaward inovies webdevelopment digitalmarketing</t>
  </si>
  <si>
    <t>happymonday</t>
  </si>
  <si>
    <t>goodfirms reviews mobileappdevelopment</t>
  </si>
  <si>
    <t>manthan</t>
  </si>
  <si>
    <t>forum nodebb</t>
  </si>
  <si>
    <t>fridayfeeling</t>
  </si>
  <si>
    <t>standwithpvsunilkumarips</t>
  </si>
  <si>
    <t>selfhealing love mindfulness understanding life</t>
  </si>
  <si>
    <t>ppc conversion rate optz best company in hyderabad inovies digitalmarketing seo smo india contentmarketing webdesign webdevelopment</t>
  </si>
  <si>
    <t>free images free website webdesign</t>
  </si>
  <si>
    <t>appdevelopment appdevelopmentagencies appdevelopers appdevelopmentcompanies appdevelopment appdev</t>
  </si>
  <si>
    <t>appdevelopment appdevelopers appdevelopmentcompanies appdevelopmentagencies mobileappdevelopment</t>
  </si>
  <si>
    <t>uiuxdesigningagencies</t>
  </si>
  <si>
    <t>uiuxdesigningagencies uiuxdesigners webdesign uiuxdesign</t>
  </si>
  <si>
    <t>seo august2020 seocompanies seoagencies searchengineoptimizationservices seoservices</t>
  </si>
  <si>
    <t>article</t>
  </si>
  <si>
    <t>winners may 19may 19may2015 19may2016 19may2017 19may2018 19may2019 19may2020 19may2021 19may2022 webguruawards throwback</t>
  </si>
  <si>
    <t>webguru webguruawards customized application development digital marketing technical client hyderabad international global statistics competitors segments india</t>
  </si>
  <si>
    <t>growthhacker</t>
  </si>
  <si>
    <t>7hsportsevents tcpl tv5 eliteacademy hoteljubilleridge cricket corporate hyderabad telangana</t>
  </si>
  <si>
    <t>anticorruptionday dontignoreus deepikapadukone</t>
  </si>
  <si>
    <t>https://twitter.com/suryakotianu/status/938667558806286337 https://goo.gl/UDmV7L</t>
  </si>
  <si>
    <t>http://pronounce.media https://Statusbrew.com</t>
  </si>
  <si>
    <t>http://www.twibs.com http://www.twibs.com/signin.php</t>
  </si>
  <si>
    <t>http://cssnectar.com/css-gallery-inspiration/best-website-design-company-in-hyderabad-india/ http://CSSNectar.com</t>
  </si>
  <si>
    <t>http://cssnectar.com/css-gallery-inspiration/best-web-design-company-in-uae/ http://CSSNectar.com</t>
  </si>
  <si>
    <t>https://youtu.be/z0QcZ0xernE https://Statusbrew.com</t>
  </si>
  <si>
    <t>http://TopDevelopers.co https://bit.ly/3kr97ri</t>
  </si>
  <si>
    <t>http://bit.ly/blu-fanpage https://Statusbrew.com</t>
  </si>
  <si>
    <t>micromanagerapps.com</t>
  </si>
  <si>
    <t>yourstory.com</t>
  </si>
  <si>
    <t>paypal-proserv.com</t>
  </si>
  <si>
    <t>pinterest.com</t>
  </si>
  <si>
    <t>customerthink.com</t>
  </si>
  <si>
    <t>altereco.media</t>
  </si>
  <si>
    <t>grwth.link</t>
  </si>
  <si>
    <t>commun.it</t>
  </si>
  <si>
    <t>pronounce.media statusbrew.com</t>
  </si>
  <si>
    <t>twibs.com twibs.com</t>
  </si>
  <si>
    <t>cssnectar.com cssnectar.com</t>
  </si>
  <si>
    <t>cssnectar.com</t>
  </si>
  <si>
    <t>youtu.be statusbrew.com</t>
  </si>
  <si>
    <t>bitly.com</t>
  </si>
  <si>
    <t>mynetcomms.com</t>
  </si>
  <si>
    <t>awwwards.com</t>
  </si>
  <si>
    <t>willow.link</t>
  </si>
  <si>
    <t>example.com</t>
  </si>
  <si>
    <t>smarturl.it</t>
  </si>
  <si>
    <t>topdevelopers.co bit.ly</t>
  </si>
  <si>
    <t>bit.ly statusbrew.com</t>
  </si>
  <si>
    <t>paper.li</t>
  </si>
  <si>
    <t>geekrelief.com</t>
  </si>
  <si>
    <t>webguruawards.com</t>
  </si>
  <si>
    <t>dreamcreationsevents.com</t>
  </si>
  <si>
    <t>followupthen.com</t>
  </si>
  <si>
    <t>rspraveenswaero inovies</t>
  </si>
  <si>
    <t>agindre lci gabrielattal gabrielattal cerballiance biogroup_labo inovies eaglaboratories</t>
  </si>
  <si>
    <t>impressicodigi inovies nethues navaratantech tvishat switchsoft thecolourmoon</t>
  </si>
  <si>
    <t>bedasampath sfi_arjun</t>
  </si>
  <si>
    <t>nithin_bussa pv_sunil_kumar</t>
  </si>
  <si>
    <t>revanth_anumula bhatticlp</t>
  </si>
  <si>
    <t>shellypalmer linkedin</t>
  </si>
  <si>
    <t>inovies paypal</t>
  </si>
  <si>
    <t>inovies customerthink</t>
  </si>
  <si>
    <t>topdevelopersco leveronline dashtwo inovies digivate digitlresource straightnorth perfect_search gexton ethanewebtech</t>
  </si>
  <si>
    <t>biogroup_labo inovies labobiopyrenees</t>
  </si>
  <si>
    <t>dinesh_vetal successlake inovies</t>
  </si>
  <si>
    <t>crimebooks01 inovies</t>
  </si>
  <si>
    <t>rankvisibility inovies skotwaldron</t>
  </si>
  <si>
    <t>inovies w3webdesign_in</t>
  </si>
  <si>
    <t>inovies goodfirms</t>
  </si>
  <si>
    <t>inovies manthanaward</t>
  </si>
  <si>
    <t>inovies pnburrows</t>
  </si>
  <si>
    <t>t0nyh0ran pure_banners finreluk inovies</t>
  </si>
  <si>
    <t>monroeconsult inovies</t>
  </si>
  <si>
    <t>tonycompton inovies av_tms</t>
  </si>
  <si>
    <t>inovies av_tms pennylanevideos</t>
  </si>
  <si>
    <t>star_knowledge nichetechsol improvingmx inovies digitbazar square63 intexsoft skynet_tv redwerk quovantis</t>
  </si>
  <si>
    <t>miamitechsperts rocketinsights dom_and_tom goodworklabs worryfreelabs nichetechsol inovies digitbazar square63</t>
  </si>
  <si>
    <t>topdevelopersco a1future ripenappstech phoenix_bizz promatics softwaredevin inovies octalitsolution sunarc_tech topdevelopersco evontech</t>
  </si>
  <si>
    <t>a1future ripenappstech phoenix_bizz promatics softwaredevin evontech inovies octalitsolution sunarc_tech</t>
  </si>
  <si>
    <t>topdevelopersco thriveagency dashtwo inovies digivate digitlresource straightnorth perfect_search gexton ethanewebtech</t>
  </si>
  <si>
    <t>thriveagency leveronline dashtwo inovies digivate digitlresource straightnorth perfect_search gexton ethanewebtech</t>
  </si>
  <si>
    <t>minipea inovies fmidesign</t>
  </si>
  <si>
    <t>ipfconline1 inovies smokingchili jeremyscrivens johngow swiftymorgan</t>
  </si>
  <si>
    <t>inovies virtuoso_qa</t>
  </si>
  <si>
    <t>webguruawards inovies</t>
  </si>
  <si>
    <t>bskhod inovies</t>
  </si>
  <si>
    <t>nandi_tyres inovies cricclubs rsmgears thhyderabad</t>
  </si>
  <si>
    <t>https://t.co/oNMUDm6TFT https://pbs.twimg.com/media/DQbRJ0UUQAYtAx5.jpg</t>
  </si>
  <si>
    <t>https://t.co/4P5fhpbTmy https://pbs.twimg.com/media/DQbRJ0UUQAYtAx5.jpg</t>
  </si>
  <si>
    <t>https://t.co/SX2nIDNofr https://pbs.twimg.com/media/DYoR20GU8AAUe3D.jpg</t>
  </si>
  <si>
    <t>http://t.co/IW1qAuXAaA https://pbs.twimg.com/media/CGOvi_XUQAE9Cvb.jpg</t>
  </si>
  <si>
    <t>https://t.co/gXWi2LPKib https://pbs.twimg.com/media/CkKcDbAUoAAXMVL.jpg</t>
  </si>
  <si>
    <t>https://t.co/6T2V0tKIfH https://pbs.twimg.com/media/DL727WvVoAAFkjO.jpg</t>
  </si>
  <si>
    <t>https://t.co/qHgi8M1cFF https://pbs.twimg.com/media/DHu7ukAXcAAuWO3.jpg</t>
  </si>
  <si>
    <t>https://t.co/8wtHBwHpkb https://pbs.twimg.com/media/DQcEfsqU8AEDHU2.jpg</t>
  </si>
  <si>
    <t>https://t.co/TCdfc7yzzs https://pbs.twimg.com/media/DQbRJ0UUQAYtAx5.jpg</t>
  </si>
  <si>
    <t>https://t.co/1z0AWWWg46 https://pbs.twimg.com/media/EyM8LFOVoAMSFqr.png</t>
  </si>
  <si>
    <t>https://t.co/pVZj2abwcE https://pbs.twimg.com/media/Ekc1zduU0AEdSKk.png</t>
  </si>
  <si>
    <t>https://t.co/jhiELs0dGk https://pbs.twimg.com/media/EiHCmP8VkAAnzKF.jpg</t>
  </si>
  <si>
    <t>https://t.co/3y6Jeb4ak6 https://pbs.twimg.com/media/EepuQKMUcAA5RXj.png</t>
  </si>
  <si>
    <t>https://t.co/BqZI4dRPVx https://pbs.twimg.com/media/DbdgWA3WkAAwY1z.jpg</t>
  </si>
  <si>
    <t>https://t.co/1jU6knqzwa https://pbs.twimg.com/ext_tw_video_thumb/1659543765441212417/pu/img/s2xgeU5eSt-3S9xg.jpg</t>
  </si>
  <si>
    <t>https://t.co/lurZ3RpWnI https://pbs.twimg.com/media/Ddxf9C7V0AA4csq.jpg</t>
  </si>
  <si>
    <t>https://t.co/F3VLcxM78r https://pbs.twimg.com/media/Ddk5lziVMAA16C-.jpg</t>
  </si>
  <si>
    <t>https://t.co/4S7A7UlOBk https://pbs.twimg.com/media/Dw4ys3_UwAA-Uqv.jpg</t>
  </si>
  <si>
    <t>erased12130307</t>
  </si>
  <si>
    <t>Twitter for Websites</t>
  </si>
  <si>
    <t>Twitter Web Client</t>
  </si>
  <si>
    <t>LinkedIn</t>
  </si>
  <si>
    <t>Nonli</t>
  </si>
  <si>
    <t>AudienseCo</t>
  </si>
  <si>
    <t>erased994719</t>
  </si>
  <si>
    <t>Commun.it</t>
  </si>
  <si>
    <t>Commun.it Intelligence</t>
  </si>
  <si>
    <t>Twibs</t>
  </si>
  <si>
    <t>Deathwatch India</t>
  </si>
  <si>
    <t>erased7008403_xujOpu7qxS</t>
  </si>
  <si>
    <t>TweetDeck</t>
  </si>
  <si>
    <t>NetComms</t>
  </si>
  <si>
    <t>erased708509</t>
  </si>
  <si>
    <t>Hootsuite</t>
  </si>
  <si>
    <t>Paper.li</t>
  </si>
  <si>
    <t>qam</t>
  </si>
  <si>
    <t>14:46:38</t>
  </si>
  <si>
    <t>07:52:10</t>
  </si>
  <si>
    <t>16:55:36</t>
  </si>
  <si>
    <t>07:22:09</t>
  </si>
  <si>
    <t>09:13:47</t>
  </si>
  <si>
    <t>08:20:42</t>
  </si>
  <si>
    <t>04:28:02</t>
  </si>
  <si>
    <t>05:15:31</t>
  </si>
  <si>
    <t>03:57:20</t>
  </si>
  <si>
    <t>03:55:50</t>
  </si>
  <si>
    <t>03:55:40</t>
  </si>
  <si>
    <t>03:55:32</t>
  </si>
  <si>
    <t>03:49:58</t>
  </si>
  <si>
    <t>10:18:38</t>
  </si>
  <si>
    <t>10:04:41</t>
  </si>
  <si>
    <t>09:57:34</t>
  </si>
  <si>
    <t>04:58:34</t>
  </si>
  <si>
    <t>13:29:11</t>
  </si>
  <si>
    <t>21:03:50</t>
  </si>
  <si>
    <t>04:26:18</t>
  </si>
  <si>
    <t>04:38:59</t>
  </si>
  <si>
    <t>07:26:27</t>
  </si>
  <si>
    <t>08:42:01</t>
  </si>
  <si>
    <t>07:53:40</t>
  </si>
  <si>
    <t>19:04:43</t>
  </si>
  <si>
    <t>10:52:27</t>
  </si>
  <si>
    <t>20:29:08</t>
  </si>
  <si>
    <t>18:10:11</t>
  </si>
  <si>
    <t>12:29:20</t>
  </si>
  <si>
    <t>12:28:10</t>
  </si>
  <si>
    <t>18:23:14</t>
  </si>
  <si>
    <t>05:32:38</t>
  </si>
  <si>
    <t>00:34:23</t>
  </si>
  <si>
    <t>22:58:29</t>
  </si>
  <si>
    <t>11:09:47</t>
  </si>
  <si>
    <t>07:34:41</t>
  </si>
  <si>
    <t>07:57:22</t>
  </si>
  <si>
    <t>10:52:10</t>
  </si>
  <si>
    <t>12:56:32</t>
  </si>
  <si>
    <t>18:25:27</t>
  </si>
  <si>
    <t>12:48:02</t>
  </si>
  <si>
    <t>10:27:05</t>
  </si>
  <si>
    <t>13:41:28</t>
  </si>
  <si>
    <t>02:50:59</t>
  </si>
  <si>
    <t>07:16:36</t>
  </si>
  <si>
    <t>05:56:24</t>
  </si>
  <si>
    <t>05:47:17</t>
  </si>
  <si>
    <t>19:19:01</t>
  </si>
  <si>
    <t>21:54:08</t>
  </si>
  <si>
    <t>06:36:20</t>
  </si>
  <si>
    <t>07:02:54</t>
  </si>
  <si>
    <t>03:30:05</t>
  </si>
  <si>
    <t>05:28:44</t>
  </si>
  <si>
    <t>19:15:13</t>
  </si>
  <si>
    <t>12:40:00</t>
  </si>
  <si>
    <t>10:58:30</t>
  </si>
  <si>
    <t>19:00:48</t>
  </si>
  <si>
    <t>15:39:17</t>
  </si>
  <si>
    <t>23:36:29</t>
  </si>
  <si>
    <t>15:58:07</t>
  </si>
  <si>
    <t>08:37:03</t>
  </si>
  <si>
    <t>18:13:07</t>
  </si>
  <si>
    <t>04:28:07</t>
  </si>
  <si>
    <t>10:55:22</t>
  </si>
  <si>
    <t>07:20:50</t>
  </si>
  <si>
    <t>06:30:07</t>
  </si>
  <si>
    <t>07:42:15</t>
  </si>
  <si>
    <t>09:19:58</t>
  </si>
  <si>
    <t>14:51:07</t>
  </si>
  <si>
    <t>07:51:46</t>
  </si>
  <si>
    <t>20:02:36</t>
  </si>
  <si>
    <t>10:04:36</t>
  </si>
  <si>
    <t>12:30:55</t>
  </si>
  <si>
    <t>10:54:05</t>
  </si>
  <si>
    <t>10:29:50</t>
  </si>
  <si>
    <t>00:06:54</t>
  </si>
  <si>
    <t>21:19:50</t>
  </si>
  <si>
    <t>06:35:53</t>
  </si>
  <si>
    <t>13:51:50</t>
  </si>
  <si>
    <t>15:06:14</t>
  </si>
  <si>
    <t>14:30:29</t>
  </si>
  <si>
    <t>10:30:52</t>
  </si>
  <si>
    <t>13:09:38</t>
  </si>
  <si>
    <t>08:56:37</t>
  </si>
  <si>
    <t>12:57:53</t>
  </si>
  <si>
    <t>04:13:29</t>
  </si>
  <si>
    <t>17:30:14</t>
  </si>
  <si>
    <t>05:23:52</t>
  </si>
  <si>
    <t>11:48:24</t>
  </si>
  <si>
    <t>03:56:58</t>
  </si>
  <si>
    <t>07:34:38</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</si>
  <si>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</si>
  <si>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</si>
  <si>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</si>
  <si>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</si>
  <si>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IN</t>
  </si>
  <si>
    <t>Rajendra Nagar, India</t>
  </si>
  <si>
    <t>Medchal, India</t>
  </si>
  <si>
    <t>Srikakulam, India</t>
  </si>
  <si>
    <t>243cc16f6417a167</t>
  </si>
  <si>
    <t>7a8b600fe5f170bc</t>
  </si>
  <si>
    <t>23644d3c33b1fe02</t>
  </si>
  <si>
    <t>497275b3c6ce22f3</t>
  </si>
  <si>
    <t>Rajendra Nagar</t>
  </si>
  <si>
    <t>Medchal</t>
  </si>
  <si>
    <t>Srikakulam</t>
  </si>
  <si>
    <t>3_938667538946211846</t>
  </si>
  <si>
    <t>3_975611902674923520</t>
  </si>
  <si>
    <t>3_604519790657421313</t>
  </si>
  <si>
    <t>3_739324871444832256</t>
  </si>
  <si>
    <t>3_918442873607004160</t>
  </si>
  <si>
    <t>3_899518959204134912</t>
  </si>
  <si>
    <t>3_938723989941186561</t>
  </si>
  <si>
    <t>3_1379012071984046083</t>
  </si>
  <si>
    <t>3_1317080574297690113</t>
  </si>
  <si>
    <t>3_1306539329284575232</t>
  </si>
  <si>
    <t>3_1290965467088056320</t>
  </si>
  <si>
    <t>3_988364574536667136</t>
  </si>
  <si>
    <t>7_1659543765441212417</t>
  </si>
  <si>
    <t>3_998778719731830784</t>
  </si>
  <si>
    <t>3_997892114091421696</t>
  </si>
  <si>
    <t>3_1084860306768052224</t>
  </si>
  <si>
    <t>1076851580677218304</t>
  </si>
  <si>
    <t>938677499436953600</t>
  </si>
  <si>
    <t>1402670725761167362</t>
  </si>
  <si>
    <t>938669947269545986</t>
  </si>
  <si>
    <t>1592083362508050433</t>
  </si>
  <si>
    <t>894835751027961857</t>
  </si>
  <si>
    <t>1290867133832818688</t>
  </si>
  <si>
    <t>1402856934579916805</t>
  </si>
  <si>
    <t>1402837258785333248</t>
  </si>
  <si>
    <t>1402836880370987011</t>
  </si>
  <si>
    <t>1402836838100787203</t>
  </si>
  <si>
    <t>1402836807088164864</t>
  </si>
  <si>
    <t>1402835403174944768</t>
  </si>
  <si>
    <t>899576470980448256</t>
  </si>
  <si>
    <t>899572960922525696</t>
  </si>
  <si>
    <t>1732700872751132674</t>
  </si>
  <si>
    <t>1553733072868110336</t>
  </si>
  <si>
    <t>1534761852202168320</t>
  </si>
  <si>
    <t>1525105879552380928</t>
  </si>
  <si>
    <t>1498765980658708481</t>
  </si>
  <si>
    <t>554494554808651777</t>
  </si>
  <si>
    <t>902390098821386240</t>
  </si>
  <si>
    <t>900620302471766017</t>
  </si>
  <si>
    <t>839758157777895424</t>
  </si>
  <si>
    <t>833585398014160896</t>
  </si>
  <si>
    <t>219742313256198144</t>
  </si>
  <si>
    <t>1647315029828730880</t>
  </si>
  <si>
    <t>895236328220119040</t>
  </si>
  <si>
    <t>515236582170038272</t>
  </si>
  <si>
    <t>514558660761354241</t>
  </si>
  <si>
    <t>515201614882172928</t>
  </si>
  <si>
    <t>511491957114146817</t>
  </si>
  <si>
    <t>511491663068266496</t>
  </si>
  <si>
    <t>866721128106033152</t>
  </si>
  <si>
    <t>1221477901813649411</t>
  </si>
  <si>
    <t>1220942533804429318</t>
  </si>
  <si>
    <t>1294069825908682752</t>
  </si>
  <si>
    <t>1601350599156830208</t>
  </si>
  <si>
    <t>1600809861150801922</t>
  </si>
  <si>
    <t>895186556897689602</t>
  </si>
  <si>
    <t>895192265190256641</t>
  </si>
  <si>
    <t>894511477939462144</t>
  </si>
  <si>
    <t>874249058516434944</t>
  </si>
  <si>
    <t>1402693340710117377</t>
  </si>
  <si>
    <t>451702667710980097</t>
  </si>
  <si>
    <t>451353724523659264</t>
  </si>
  <si>
    <t>451353423015727104</t>
  </si>
  <si>
    <t>1402820560187396097</t>
  </si>
  <si>
    <t>895182005553508352</t>
  </si>
  <si>
    <t>975611926846853121</t>
  </si>
  <si>
    <t>895159527095533568</t>
  </si>
  <si>
    <t>866735166382886912</t>
  </si>
  <si>
    <t>894315681877020672</t>
  </si>
  <si>
    <t>894809482974384130</t>
  </si>
  <si>
    <t>519019955518320641</t>
  </si>
  <si>
    <t>954194223577948161</t>
  </si>
  <si>
    <t>604519790783258624</t>
  </si>
  <si>
    <t>739324873751691264</t>
  </si>
  <si>
    <t>895362849614290946</t>
  </si>
  <si>
    <t>918456215386038272</t>
  </si>
  <si>
    <t>273742657543606272</t>
  </si>
  <si>
    <t>976534106795401216</t>
  </si>
  <si>
    <t>895308510719823874</t>
  </si>
  <si>
    <t>898327703157317633</t>
  </si>
  <si>
    <t>894950859796234240</t>
  </si>
  <si>
    <t>895927026963623937</t>
  </si>
  <si>
    <t>867805745831653376</t>
  </si>
  <si>
    <t>1402845005987778563</t>
  </si>
  <si>
    <t>894149896693002242</t>
  </si>
  <si>
    <t>898444560598147072</t>
  </si>
  <si>
    <t>899518961217351680</t>
  </si>
  <si>
    <t>938724013945131009</t>
  </si>
  <si>
    <t>938667558806286337</t>
  </si>
  <si>
    <t>938675005411545090</t>
  </si>
  <si>
    <t>895213051988893697</t>
  </si>
  <si>
    <t>585817150859911168</t>
  </si>
  <si>
    <t>895190857711857664</t>
  </si>
  <si>
    <t>866748152975634432</t>
  </si>
  <si>
    <t>866746134160699394</t>
  </si>
  <si>
    <t>1379012085619728388</t>
  </si>
  <si>
    <t>1317080579611844611</t>
  </si>
  <si>
    <t>1306546966155853824</t>
  </si>
  <si>
    <t>1306540860897595392</t>
  </si>
  <si>
    <t>1294062908041605120</t>
  </si>
  <si>
    <t>1291121760545517569</t>
  </si>
  <si>
    <t>1290965478920208385</t>
  </si>
  <si>
    <t>522274646109224960</t>
  </si>
  <si>
    <t>895281469597331458</t>
  </si>
  <si>
    <t>466957735418802179</t>
  </si>
  <si>
    <t>1088443927995338752</t>
  </si>
  <si>
    <t>988364577472688128</t>
  </si>
  <si>
    <t>687944084942618625</t>
  </si>
  <si>
    <t>869541310516133888</t>
  </si>
  <si>
    <t>895207175567618048</t>
  </si>
  <si>
    <t>1659543901219299330</t>
  </si>
  <si>
    <t>998778853408436224</t>
  </si>
  <si>
    <t>997892196442431488</t>
  </si>
  <si>
    <t>978140455945687040</t>
  </si>
  <si>
    <t>891264141415067650</t>
  </si>
  <si>
    <t>1084860769051660290</t>
  </si>
  <si>
    <t>1733334898306392355</t>
  </si>
  <si>
    <t>1402693044516757504</t>
  </si>
  <si>
    <t>1076736040700764160</t>
  </si>
  <si>
    <t>895186545417867264</t>
  </si>
  <si>
    <t>1402655368556150790</t>
  </si>
  <si>
    <t>1592076946414145536</t>
  </si>
  <si>
    <t>1402848067812945928</t>
  </si>
  <si>
    <t>1402780741084192770</t>
  </si>
  <si>
    <t>1402833957620621312</t>
  </si>
  <si>
    <t>1402836441508376582</t>
  </si>
  <si>
    <t>1402679944447029249</t>
  </si>
  <si>
    <t>899572086888218624</t>
  </si>
  <si>
    <t>1553400195618336770</t>
  </si>
  <si>
    <t>1534515456375234563</t>
  </si>
  <si>
    <t>1525096330900779010</t>
  </si>
  <si>
    <t>1498729137074233349</t>
  </si>
  <si>
    <t>1647251146665340928</t>
  </si>
  <si>
    <t>895211957174890496</t>
  </si>
  <si>
    <t>3318942674</t>
  </si>
  <si>
    <t>104526776</t>
  </si>
  <si>
    <t>1227214300260945920</t>
  </si>
  <si>
    <t>3122933246</t>
  </si>
  <si>
    <t>1356281882195869698</t>
  </si>
  <si>
    <t>1334465931708252161</t>
  </si>
  <si>
    <t>1371809707350888448</t>
  </si>
  <si>
    <t>1213891781638541312</t>
  </si>
  <si>
    <t>830347242833784832</t>
  </si>
  <si>
    <t>1336153209358848000</t>
  </si>
  <si>
    <t>475618166</t>
  </si>
  <si>
    <t>258512916</t>
  </si>
  <si>
    <t>1173810743654932480</t>
  </si>
  <si>
    <t>15749794</t>
  </si>
  <si>
    <t>23606131</t>
  </si>
  <si>
    <t>1120591247016640513</t>
  </si>
  <si>
    <t>226829792</t>
  </si>
  <si>
    <t>865005703550844928</t>
  </si>
  <si>
    <t>181377497</t>
  </si>
  <si>
    <t>789044938122022912</t>
  </si>
  <si>
    <t>3041320412</t>
  </si>
  <si>
    <t>1402789914823905280</t>
  </si>
  <si>
    <t>1402833806571184129</t>
  </si>
  <si>
    <t>932566379030462464</t>
  </si>
  <si>
    <t>1314813937666256896</t>
  </si>
  <si>
    <t>1245033866974429184</t>
  </si>
  <si>
    <t>1034740429823062016</t>
  </si>
  <si>
    <t>1290908011347603457</t>
  </si>
  <si>
    <t>768678755715784704</t>
  </si>
  <si>
    <t>811183726591954944</t>
  </si>
  <si>
    <t>746422979609780224</t>
  </si>
  <si>
    <t>857594046759436288</t>
  </si>
  <si>
    <t>865094534073524224</t>
  </si>
  <si>
    <t>859233989797625857</t>
  </si>
  <si>
    <t>818678746643189760</t>
  </si>
  <si>
    <t>1084848030837235712</t>
  </si>
  <si>
    <t>card://1733334896964247552</t>
  </si>
  <si>
    <t>Task Time Blocks : 0
Pomodoro Technique : 0</t>
  </si>
  <si>
    <t>2023-12-10T03:56:57Z</t>
  </si>
  <si>
    <t>Closed</t>
  </si>
  <si>
    <t>Sumanth</t>
  </si>
  <si>
    <t>James Brower</t>
  </si>
  <si>
    <t>Anusha</t>
  </si>
  <si>
    <t>DR.RSP Fan's _xD83D__xDC18_</t>
  </si>
  <si>
    <t>Dr.RS Praveen Kumar</t>
  </si>
  <si>
    <t>DBM Web Marketing</t>
  </si>
  <si>
    <t>Jean-Michel Garcias _xD83C__xDDEB__xD83C__xDDF7__xD83C__xDDEA__xD83C__xDDFA_</t>
  </si>
  <si>
    <t>Eurofins | EAG Laboratories</t>
  </si>
  <si>
    <t>Cerballiance</t>
  </si>
  <si>
    <t>Gabriel Attal</t>
  </si>
  <si>
    <t>LCI</t>
  </si>
  <si>
    <t>Adrien Gindre</t>
  </si>
  <si>
    <t>BIOGROUP</t>
  </si>
  <si>
    <t>BullRush</t>
  </si>
  <si>
    <t>Develop4U</t>
  </si>
  <si>
    <t>Colour Moon Technologies Pvt Ltd</t>
  </si>
  <si>
    <t>ThisisSwitch</t>
  </si>
  <si>
    <t>Tvisha Technologies</t>
  </si>
  <si>
    <t>Navtech</t>
  </si>
  <si>
    <t>Nethues Technologies</t>
  </si>
  <si>
    <t>Mission Ambedkar</t>
  </si>
  <si>
    <t>ARJUN MALLARAM SWAERO</t>
  </si>
  <si>
    <t>BEDA SAMPATH</t>
  </si>
  <si>
    <t>Mogilipaka Naveen Kumar</t>
  </si>
  <si>
    <t>Maddileti Bandari</t>
  </si>
  <si>
    <t>PV Sunil Kumar</t>
  </si>
  <si>
    <t>Nithin Bussa</t>
  </si>
  <si>
    <t>Amar Byagari</t>
  </si>
  <si>
    <t>Byles Digital Design</t>
  </si>
  <si>
    <t>UpSkillYourLife</t>
  </si>
  <si>
    <t>Aadesh Rawal</t>
  </si>
  <si>
    <t>Codie Sanchez</t>
  </si>
  <si>
    <t>Joshua</t>
  </si>
  <si>
    <t>Shelly Palmer</t>
  </si>
  <si>
    <t>YourStory</t>
  </si>
  <si>
    <t>PayPal</t>
  </si>
  <si>
    <t>Pinterest</t>
  </si>
  <si>
    <t>Quiff</t>
  </si>
  <si>
    <t>Juan Oviedo Rojas</t>
  </si>
  <si>
    <t>Mashable</t>
  </si>
  <si>
    <t>Faroooooq</t>
  </si>
  <si>
    <t>Martin ten Voorde</t>
  </si>
  <si>
    <t>Bob Thompson</t>
  </si>
  <si>
    <t>CustomerThink</t>
  </si>
  <si>
    <t>Allison R Frye</t>
  </si>
  <si>
    <t>Ethane Web Technologies Pvt Ltd</t>
  </si>
  <si>
    <t>Perfect Search Media</t>
  </si>
  <si>
    <t>Straight North</t>
  </si>
  <si>
    <t>Digital Resource</t>
  </si>
  <si>
    <t>Digivate</t>
  </si>
  <si>
    <t>DASH TWO</t>
  </si>
  <si>
    <t>Lever</t>
  </si>
  <si>
    <t>TopDevelopers.co</t>
  </si>
  <si>
    <t>Laurie Cissé</t>
  </si>
  <si>
    <t>Laboratoire Inovie Biopyrénées</t>
  </si>
  <si>
    <t>Alternatives Économiques</t>
  </si>
  <si>
    <t>Growth Marketing Conf</t>
  </si>
  <si>
    <t>SlideSource</t>
  </si>
  <si>
    <t>Shana Haynie</t>
  </si>
  <si>
    <t>Greg Valancius</t>
  </si>
  <si>
    <t>Success Lake SEO</t>
  </si>
  <si>
    <t>Chandra sekhar Eligarapu</t>
  </si>
  <si>
    <t>Ramesh dudala</t>
  </si>
  <si>
    <t>AIM To EDUCATE</t>
  </si>
  <si>
    <t>CoopsGreenTeam _xD83D__xDCAF__xD83C__xDDFA__xD83C__xDDF8_✝️</t>
  </si>
  <si>
    <t>IndywoodEntertainmentConsortium</t>
  </si>
  <si>
    <t>Promote News Charity Feed PR.</t>
  </si>
  <si>
    <t>CodeWright</t>
  </si>
  <si>
    <t>JetRuby</t>
  </si>
  <si>
    <t>Skot Waldron</t>
  </si>
  <si>
    <t>TopRankVisibility</t>
  </si>
  <si>
    <t>Red Book Productions</t>
  </si>
  <si>
    <t>Business Directory</t>
  </si>
  <si>
    <t>Still Tweeting? _xD83C__xDDEE__xD83C__xDDF3_</t>
  </si>
  <si>
    <t>CSS Nectar</t>
  </si>
  <si>
    <t>w3webdesign</t>
  </si>
  <si>
    <t>KalungiGroup</t>
  </si>
  <si>
    <t>GoodFirms</t>
  </si>
  <si>
    <t>DEFindia</t>
  </si>
  <si>
    <t>Manthan Award</t>
  </si>
  <si>
    <t>NodeBB</t>
  </si>
  <si>
    <t>Paul Wiersgalla</t>
  </si>
  <si>
    <t>꧁•⊹٭_xD835__xDE7F_ _xD835__xDE7D_ _xD835__xDE71__xD835__xDE9E__xD835__xDE9B__xD835__xDE9B__xD835__xDE98__xD835__xDEA0__xD835__xDE9C_٭⊹•꧂</t>
  </si>
  <si>
    <t>Shane_Bruwer</t>
  </si>
  <si>
    <t>1st Choice Rec</t>
  </si>
  <si>
    <t>Financial Release</t>
  </si>
  <si>
    <t>Tony Horan</t>
  </si>
  <si>
    <t>Laura Layton</t>
  </si>
  <si>
    <t>atozemotions</t>
  </si>
  <si>
    <t>PeoplePerHour</t>
  </si>
  <si>
    <t>Stefka Ivanova | VP Brand | Forbes Contributor</t>
  </si>
  <si>
    <t>WillowAssist</t>
  </si>
  <si>
    <t>Mehka Adams</t>
  </si>
  <si>
    <t>Caroline Bombart</t>
  </si>
  <si>
    <t>Monroe Consulting</t>
  </si>
  <si>
    <t>Marco Novo _xD83C__xDFA5__xD83D__xDD34_ #livestreaming #amazoninfluencer</t>
  </si>
  <si>
    <t>TSM_B2B</t>
  </si>
  <si>
    <t>BrainLeaf</t>
  </si>
  <si>
    <t>Tony Compton</t>
  </si>
  <si>
    <t>Pennylane Productions</t>
  </si>
  <si>
    <t>Akshay Kumar</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</si>
  <si>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</si>
  <si>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</si>
  <si>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</si>
  <si>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</si>
  <si>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</si>
  <si>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</si>
  <si>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</si>
  <si>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</si>
  <si>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</si>
  <si>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</si>
  <si>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</si>
  <si>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</si>
  <si>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</si>
  <si>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</si>
  <si>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Evon Technologies</t>
  </si>
  <si>
    <t>SunArc Technologies</t>
  </si>
  <si>
    <t>Octal IT Solution (CMMi Level-3 Appraised Company)</t>
  </si>
  <si>
    <t>Software Developers</t>
  </si>
  <si>
    <t>Promatics</t>
  </si>
  <si>
    <t>PhoenixBizz</t>
  </si>
  <si>
    <t>RipenApps</t>
  </si>
  <si>
    <t>A1FutureTechnologies</t>
  </si>
  <si>
    <t>Wendy Hastings</t>
  </si>
  <si>
    <t>Blu Formiga, INC.</t>
  </si>
  <si>
    <t>Mackphason מקפסון⚽ _xD83C__xDDEF__xD83C__xDDF2_</t>
  </si>
  <si>
    <t>SoftwareFindr</t>
  </si>
  <si>
    <t>Seconds That Count</t>
  </si>
  <si>
    <t>Design Brand India</t>
  </si>
  <si>
    <t>Freeman Multimedia</t>
  </si>
  <si>
    <t>Barnaby Wass</t>
  </si>
  <si>
    <t>Ethan Friedericks</t>
  </si>
  <si>
    <t>John Gow</t>
  </si>
  <si>
    <t>Jeremy Scrivens</t>
  </si>
  <si>
    <t>Smoking Chili Media</t>
  </si>
  <si>
    <t>ipfconline</t>
  </si>
  <si>
    <t>Geek Relief</t>
  </si>
  <si>
    <t>Web Guru Awards</t>
  </si>
  <si>
    <t>Virtuoso</t>
  </si>
  <si>
    <t>Deepanshu Gahlaut</t>
  </si>
  <si>
    <t>⭕LIVE NOW | ZeroCool</t>
  </si>
  <si>
    <t>Dream Creations</t>
  </si>
  <si>
    <t>RSM GEARS</t>
  </si>
  <si>
    <t>CricClubs</t>
  </si>
  <si>
    <t>NANDI TYRES AND TUBES</t>
  </si>
  <si>
    <t>FollowUpThen</t>
  </si>
  <si>
    <t>49252261</t>
  </si>
  <si>
    <t>920365416</t>
  </si>
  <si>
    <t>253761297</t>
  </si>
  <si>
    <t>1585956012141514757</t>
  </si>
  <si>
    <t>379718466</t>
  </si>
  <si>
    <t>26110930</t>
  </si>
  <si>
    <t>946954957</t>
  </si>
  <si>
    <t>89761384</t>
  </si>
  <si>
    <t>449669136</t>
  </si>
  <si>
    <t>1009599391</t>
  </si>
  <si>
    <t>1968746804</t>
  </si>
  <si>
    <t>544260479</t>
  </si>
  <si>
    <t>1255525146833682433</t>
  </si>
  <si>
    <t>92247886</t>
  </si>
  <si>
    <t>13058772</t>
  </si>
  <si>
    <t>10498942</t>
  </si>
  <si>
    <t>15338256</t>
  </si>
  <si>
    <t>30018058</t>
  </si>
  <si>
    <t>16913954</t>
  </si>
  <si>
    <t>106837463</t>
  </si>
  <si>
    <t>972651</t>
  </si>
  <si>
    <t>84681197</t>
  </si>
  <si>
    <t>3595788384</t>
  </si>
  <si>
    <t>32630040</t>
  </si>
  <si>
    <t>16357285</t>
  </si>
  <si>
    <t>30890113</t>
  </si>
  <si>
    <t>97307104</t>
  </si>
  <si>
    <t>2192102106</t>
  </si>
  <si>
    <t>80854249</t>
  </si>
  <si>
    <t>49634971</t>
  </si>
  <si>
    <t>2429718336</t>
  </si>
  <si>
    <t>31167477</t>
  </si>
  <si>
    <t>772247166</t>
  </si>
  <si>
    <t>46403338</t>
  </si>
  <si>
    <t>548287703</t>
  </si>
  <si>
    <t>1248960811021881344</t>
  </si>
  <si>
    <t>546720037</t>
  </si>
  <si>
    <t>3278888852</t>
  </si>
  <si>
    <t>2792438832</t>
  </si>
  <si>
    <t>161532559</t>
  </si>
  <si>
    <t>115991458</t>
  </si>
  <si>
    <t>2802648367</t>
  </si>
  <si>
    <t>162659925</t>
  </si>
  <si>
    <t>257294613</t>
  </si>
  <si>
    <t>4662675315</t>
  </si>
  <si>
    <t>2917786541</t>
  </si>
  <si>
    <t>3092433987</t>
  </si>
  <si>
    <t>15854117</t>
  </si>
  <si>
    <t>264184368</t>
  </si>
  <si>
    <t>18461544</t>
  </si>
  <si>
    <t>3900808721</t>
  </si>
  <si>
    <t>2833476896</t>
  </si>
  <si>
    <t>3166933069</t>
  </si>
  <si>
    <t>2899903684</t>
  </si>
  <si>
    <t>3300294446</t>
  </si>
  <si>
    <t>123227807</t>
  </si>
  <si>
    <t>97224682</t>
  </si>
  <si>
    <t>1465184376</t>
  </si>
  <si>
    <t>3379407430</t>
  </si>
  <si>
    <t>4156887100</t>
  </si>
  <si>
    <t>614218528</t>
  </si>
  <si>
    <t>858801946853027841</t>
  </si>
  <si>
    <t>1400258503</t>
  </si>
  <si>
    <t>2151120626</t>
  </si>
  <si>
    <t>44859671</t>
  </si>
  <si>
    <t>3401908216</t>
  </si>
  <si>
    <t>3007133678</t>
  </si>
  <si>
    <t>245542127</t>
  </si>
  <si>
    <t>89759989</t>
  </si>
  <si>
    <t>441970965</t>
  </si>
  <si>
    <t>2574963420</t>
  </si>
  <si>
    <t>1305040446108958728</t>
  </si>
  <si>
    <t>1902456546</t>
  </si>
  <si>
    <t>701642905471963136</t>
  </si>
  <si>
    <t>313167231</t>
  </si>
  <si>
    <t>1377697838</t>
  </si>
  <si>
    <t>2921275729</t>
  </si>
  <si>
    <t>216002023</t>
  </si>
  <si>
    <t>140945550</t>
  </si>
  <si>
    <t>716494420888006660</t>
  </si>
  <si>
    <t>118168138</t>
  </si>
  <si>
    <t>2291416165</t>
  </si>
  <si>
    <t>242740911</t>
  </si>
  <si>
    <t>56006076</t>
  </si>
  <si>
    <t>1354543874</t>
  </si>
  <si>
    <t>52878977</t>
  </si>
  <si>
    <t>948577506</t>
  </si>
  <si>
    <t>71276396</t>
  </si>
  <si>
    <t>164178163</t>
  </si>
  <si>
    <t>95379260</t>
  </si>
  <si>
    <t>39226054</t>
  </si>
  <si>
    <t>185085429</t>
  </si>
  <si>
    <t>111569289</t>
  </si>
  <si>
    <t>777784058080178177</t>
  </si>
  <si>
    <t>866945913888972800</t>
  </si>
  <si>
    <t>16842439</t>
  </si>
  <si>
    <t>2831223118</t>
  </si>
  <si>
    <t>3013566597</t>
  </si>
  <si>
    <t>430610967</t>
  </si>
  <si>
    <t>2508626119</t>
  </si>
  <si>
    <t>1089075913</t>
  </si>
  <si>
    <t>3228207062</t>
  </si>
  <si>
    <t>129279726</t>
  </si>
  <si>
    <t>413370855</t>
  </si>
  <si>
    <t>29568688</t>
  </si>
  <si>
    <t>48942281</t>
  </si>
  <si>
    <t>354582942</t>
  </si>
  <si>
    <t>3907907001</t>
  </si>
  <si>
    <t>705539763349164032</t>
  </si>
  <si>
    <t>752910638192660482</t>
  </si>
  <si>
    <t>2149377590</t>
  </si>
  <si>
    <t>2347548374</t>
  </si>
  <si>
    <t>936242646779138048</t>
  </si>
  <si>
    <t>260591278</t>
  </si>
  <si>
    <t>938727653422505984</t>
  </si>
  <si>
    <t>236971013</t>
  </si>
  <si>
    <t>VIJAYAWADA</t>
  </si>
  <si>
    <t>Kentucky, USA</t>
  </si>
  <si>
    <t>Hyères, France</t>
  </si>
  <si>
    <t>Vanves</t>
  </si>
  <si>
    <t>Auckland, New Zealand</t>
  </si>
  <si>
    <t>505 Thornall St #301, Edison, NJ 08837, USA</t>
  </si>
  <si>
    <t>Parkal, Hanumakonda.</t>
  </si>
  <si>
    <t>Western Australia, Australia</t>
  </si>
  <si>
    <t>Create Yourself _xD83D__xDC49_</t>
  </si>
  <si>
    <t>Founder →</t>
  </si>
  <si>
    <t>brooklyn</t>
  </si>
  <si>
    <t>Sunnyvale, CA</t>
  </si>
  <si>
    <t>Costa Rica</t>
  </si>
  <si>
    <t>Photoshop</t>
  </si>
  <si>
    <t>Amsterdam</t>
  </si>
  <si>
    <t>Coronado, California, USA</t>
  </si>
  <si>
    <t>Chicago • Charlotte</t>
  </si>
  <si>
    <t>Culver City, CA</t>
  </si>
  <si>
    <t>Downers Grove, IL</t>
  </si>
  <si>
    <t>Pau, France</t>
  </si>
  <si>
    <t>Walnut Creek, CA</t>
  </si>
  <si>
    <t>Baltimore, Md</t>
  </si>
  <si>
    <t>Levelland, Texas 79336</t>
  </si>
  <si>
    <t>Bhongir,Yadadri,Telangana</t>
  </si>
  <si>
    <t>Babcock Ranch, FL</t>
  </si>
  <si>
    <t>Hampshire, UK</t>
  </si>
  <si>
    <t>Berlin, Germany</t>
  </si>
  <si>
    <t>Liverpool, England</t>
  </si>
  <si>
    <t>New Delhi, South Asia</t>
  </si>
  <si>
    <t>Wisconsin, USA</t>
  </si>
  <si>
    <t>Wrexham, Wales</t>
  </si>
  <si>
    <t>Durban, South Africa</t>
  </si>
  <si>
    <t>Long Beach, CA</t>
  </si>
  <si>
    <t>Richmond Hill, GA</t>
  </si>
  <si>
    <t>Rotterdam, Netherlands</t>
  </si>
  <si>
    <t>Southeast Asia</t>
  </si>
  <si>
    <t>Viana do Castelo, Portugal</t>
  </si>
  <si>
    <t>Atlanta GA, United States</t>
  </si>
  <si>
    <t>Smithtown, NY</t>
  </si>
  <si>
    <t>Ukraine</t>
  </si>
  <si>
    <t>Herford, Germany</t>
  </si>
  <si>
    <t>Austin,TX / Guadalajara, MX</t>
  </si>
  <si>
    <t>Lahore, Pk</t>
  </si>
  <si>
    <t xml:space="preserve">Nashville, TN </t>
  </si>
  <si>
    <t>Bangalore &amp; Kolkata</t>
  </si>
  <si>
    <t>New York, Chicago</t>
  </si>
  <si>
    <t>Newburyport, MA</t>
  </si>
  <si>
    <t>Coral Gables, FL</t>
  </si>
  <si>
    <t>Bikaner</t>
  </si>
  <si>
    <t>India | UK | USA | Singapore</t>
  </si>
  <si>
    <t>Silicon Valley</t>
  </si>
  <si>
    <t>India | USA | Australia | UAE</t>
  </si>
  <si>
    <t>Panama</t>
  </si>
  <si>
    <t>Tanganyika |A-Town |Sokoni one</t>
  </si>
  <si>
    <t>Manchester</t>
  </si>
  <si>
    <t>Raleigh/Durham</t>
  </si>
  <si>
    <t>Melbourne Australia</t>
  </si>
  <si>
    <t>Marseille, France</t>
  </si>
  <si>
    <t>Ajman, United Arab Emirates</t>
  </si>
  <si>
    <t>A Simple Man</t>
  </si>
  <si>
    <t>Workaholic</t>
  </si>
  <si>
    <t>SEO Analyst</t>
  </si>
  <si>
    <t>Payback2society</t>
  </si>
  <si>
    <t>With the blessings of our supreme leader, Behenji Kum. Mayawati, working as the President of Bahujan Samaj Party, Telangana. Pl support us at https://t.co/u5D2MghJaD</t>
  </si>
  <si>
    <t>Local Business Marketing Specialist, SEO Leader, and Lead Geek.</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</si>
  <si>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</si>
  <si>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</si>
  <si>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</si>
  <si>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</si>
  <si>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</si>
  <si>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L'invité de 8h30 sur LCI du lundi au vendredi</t>
  </si>
  <si>
    <t>Groupement de laboratoires en France, plus proche de vous _xD83D__xDD2C_A l’écoute du patient, au service des professionnels de santé _xD83E__xDDD1_‍⚕️</t>
  </si>
  <si>
    <t>The Smartphone app that automatically captures billable time and calls for individuals who work as contractors and charge by the hour.</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</si>
  <si>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</si>
  <si>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</si>
  <si>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</si>
  <si>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</si>
  <si>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</si>
  <si>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</si>
  <si>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</si>
  <si>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</si>
  <si>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</si>
  <si>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</si>
  <si>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</si>
  <si>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</si>
  <si>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Health food store owners come to me when they want to dominate their competitors and find and keep more of their ideal customers.</t>
  </si>
  <si>
    <t>Create yourself and stop living on autopilot.</t>
  </si>
  <si>
    <t>Journalist with @lokmat</t>
  </si>
  <si>
    <t>Investing millions in Main Street businesses &amp; teaching you how to own the rest | HoldCo + VC Fund | My bio, not my tombstone, I hope it changes</t>
  </si>
  <si>
    <t>The Dutch East Internet Company @pixiechess</t>
  </si>
  <si>
    <t>Welcome to a world of career opportunities, advice, inspiration and community. #FindYourIn | Support → @LinkedInHelp</t>
  </si>
  <si>
    <t>Prof of Advanced Media in Residence, Newhouse School, Syracuse University | CEO The Palmer Group | #ai #web3</t>
  </si>
  <si>
    <t>YourStory: the story of our bold new India.
Follow @YSEcosystem, @TheCaptableCo, @YourStory_LIFE, @YSGulf, @YSBrandsOfIndia &amp; @DecryptingStory for more.</t>
  </si>
  <si>
    <t>Championing possibilities for all. Need help? Tweet us @AskPayPal</t>
  </si>
  <si>
    <t>A safer place to feel inspired? It’s possible.</t>
  </si>
  <si>
    <t>Elsewhere. #fucknazis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</si>
  <si>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</si>
  <si>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</si>
  <si>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</si>
  <si>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Designer||Sellfy : https://t.co/1ME9C39OwT|| port https://t.co/j6J5f5iSI4 https://t.co/LBGI9BxDg8 code PNF
nft buy karein?</t>
  </si>
  <si>
    <t>passionate athlete, innovator, social, service, marketing, sales, responsible Azure also interested in Dynamics 365 CRM ERP, Microsoft 365 &amp; Power Platform</t>
  </si>
  <si>
    <t>CustomerThink founder and global evangelist for customer-centric business.</t>
  </si>
  <si>
    <t>The global thought leader in customer-centric business management.</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</si>
  <si>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</si>
  <si>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</si>
  <si>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</si>
  <si>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</si>
  <si>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</si>
  <si>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</si>
  <si>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</si>
  <si>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</si>
  <si>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https://t.co/hh7FwtO8h3 is an encyclopedic website that lists the most impeccable mobile app and web development companies around the world.</t>
  </si>
  <si>
    <t>Pour une information indépendante des pouvoirs économiques et financiers.
Depuis 1980.</t>
  </si>
  <si>
    <t>World-Class Speakers. Tactical Takeaways. Great Networking. #growthmarketingconf _xD83D__xDE80__xD83D__xDCC8__xD83C__xDF7A_  Register today:</t>
  </si>
  <si>
    <t>The experience, skills, &amp; slide management tools to help you put your best slide forward. Especially for complex scientific, medical, &amp; regulatory presentations</t>
  </si>
  <si>
    <t>Former #CoFounder at @vulpineinteract + #DemandGeneration #Director @HearstBayArea. Current #HeadofContent @Unit21Inc. #INFJ</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</si>
  <si>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</si>
  <si>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</si>
  <si>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Software Developer at ITP Software</t>
  </si>
  <si>
    <t>To Educate To Agitate To Associate #AIMSRIKAKULAM</t>
  </si>
  <si>
    <t>Warrior for Christ Father of 3 young men,  Freedom Fighter #MAGA #patriot</t>
  </si>
  <si>
    <t>India's leading film production, distribution, and film festival consultancy firm.</t>
  </si>
  <si>
    <t>Charity News Feed from Promote News.
https://t.co/qSFBOmKEfE
Call +44 01746 218 290</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</si>
  <si>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</si>
  <si>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</si>
  <si>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</si>
  <si>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Wickedly creative video. #thevideoshow</t>
  </si>
  <si>
    <t>we're building the definitive index of businesses and services on twitter! Come help us grow!</t>
  </si>
  <si>
    <t>#bot calling out Indian startups that stop tweeting. Blame @wrede</t>
  </si>
  <si>
    <t>CSS Nectar is a css website design showcase for web designers &amp; developers. Every day we select the best of the web design and add it to our gallery.</t>
  </si>
  <si>
    <t>#WebDesigners #Ghostwriters #Content Developers, K-Web Social #PinterestSpecialists. Top 100 Network Marketing Blogs https://t.co/yqMIkdDIXA</t>
  </si>
  <si>
    <t>B2B Reviews &amp; Ratings you can trust</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</si>
  <si>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</si>
  <si>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</si>
  <si>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A better platform for the modern web. The next generation forum software that's free and easy to use. | Mastodon: https://t.co/VoO0dgmUOP</t>
  </si>
  <si>
    <t>_xD83C__xDDFB__xD83C__xDDE6_Sede Vacante
✝️ Pro-Life 
Wisconsin _xD83E__xDDC0_ 
Music and Cats 
Actually Sick of Twitter 
Please Don't Litter _xD83D__xDC4D_
Serious When Necessary 
_xD83D__xDD3A_https://t.co/muhF4GwzKQ</t>
  </si>
  <si>
    <t>Author of #SciFi 'Mineran’, #darkfantasy ‘Jarrod’ &amp; kid's #diversity #picturebook @emilyandhermums. Committee Member for @WrexCarnival. Author Website Maker</t>
  </si>
  <si>
    <t>Property investor and property management specialist. Network marketting. When I not doing that, I am taking pictures somewhere in an African game park</t>
  </si>
  <si>
    <t>NetComms - Online Social Media Management</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</si>
  <si>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</si>
  <si>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</si>
  <si>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</si>
  <si>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Digital Strategist with @higherlogic. #boymom #twinmom. Fueled by caffeine and concealer.</t>
  </si>
  <si>
    <t>⚡ Make Bright Ideas Happen. Join 3M freelancers &amp; 1M businesses. Post business projects and pay by the hour.</t>
  </si>
  <si>
    <t>International visionist of frontend paradigms • JMC at heart • BG _xD83C__xDF08_ US ✈️ NL</t>
  </si>
  <si>
    <t>I've been assisting people with #SelfHealing worldwide since 1986. I'm the developer of the Willow System, Author, Speaker and love doing Q&amp;A on #TalkRadio</t>
  </si>
  <si>
    <t>My #seoservices process involves technical site audits, thorough keyword research, deep competitive analysis and authoritative link building.</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</si>
  <si>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</si>
  <si>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</si>
  <si>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#Livestreamer, #marketingconsultant, #contentmarketing lover. Portuguese _xD83C__xDDF5__xD83C__xDDF9_, broadcasting in _xD83C__xDDF5__xD83C__xDDF9__xD83C__xDDEA__xD83C__xDDF8__xD83C__xDDEC__xD83C__xDDE7_ #Amazonlive creator @ https://t.co/GhomSB1PJz</t>
  </si>
  <si>
    <t>We teach you how to grow your blog with organic traffic from social media Join our free course https://t.co/px763d8rsI  Imprint: https://t.co/LLrAv1Tqsp</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</si>
  <si>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</si>
  <si>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</si>
  <si>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</si>
  <si>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</si>
  <si>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</si>
  <si>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</si>
  <si>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</si>
  <si>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</si>
  <si>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</si>
  <si>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</si>
  <si>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</si>
  <si>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</si>
  <si>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</si>
  <si>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</si>
  <si>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</si>
  <si>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</si>
  <si>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</si>
  <si>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Software Development Company, India. 
Salesforce | Digital Transformation | HTML5 | Java | Custom App Development
_xD83D__xDCCD_ A5, IT Park, Sahastradhara Road, Dehradun</t>
  </si>
  <si>
    <t>SunArc Technologies, the Leading Software Development Company is providing end-to-end IT services &amp; solutions in multiple industries and domains</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</si>
  <si>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</si>
  <si>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</si>
  <si>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</si>
  <si>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</si>
  <si>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</si>
  <si>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</si>
  <si>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 #artisan social media worker, #organicfollow believer, handcrafted quality content #SocialMedia #influencermarketing ▬▬▬▬▬▬▬▬▬▬▬▬▬▬▬▬▬▬</t>
  </si>
  <si>
    <t>In perfect world everyone is blind | @ManUtd |@realmadriden | @blackYellow |@inter_en | @yangasc1935 |Spooky place...</t>
  </si>
  <si>
    <t>SoftwareFindr is an open platform that helps business owners - https://t.co/6QDU4jeYR4</t>
  </si>
  <si>
    <t>Stop motion animation production company, working with agencies and consumer based brands to bring you the seconds that count! https://t.co/3mH17fOO8Q</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</si>
  <si>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</si>
  <si>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</si>
  <si>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</si>
  <si>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</si>
  <si>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</si>
  <si>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</si>
  <si>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</si>
  <si>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</si>
  <si>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We are technology experts that help startups and small businesses gain unlimited access to a professional team of developers.</t>
  </si>
  <si>
    <t>The award for WEB GURUS on Design, Development, Creativity and Innovation.</t>
  </si>
  <si>
    <t>We're an AI-driven, browser test automation platform leading the charge of no-code testing! #QualityFirst #ShipHappensFaster</t>
  </si>
  <si>
    <t>Social Media &amp; Tech Enthusiastic | Passionate about SEO | Digital Marketer @acecloudhosting | Owner @infopixi | Listen to my song - https://t.co/48eYQr2wZi</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</si>
  <si>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</si>
  <si>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</si>
  <si>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</si>
  <si>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</si>
  <si>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Free + easy email reminders. Try it out by sending an email to 1min@followupthen.com.
Most tweets by 
^rs – Reilly Sweetland @rsweetland _xD83D__xDC4B_ (Founder)</t>
  </si>
  <si>
    <t>facebook.com/Navvuko</t>
  </si>
  <si>
    <t>sites.google.com/site/seoservic…</t>
  </si>
  <si>
    <t>dbmwebmarketing.com</t>
  </si>
  <si>
    <t>eag.com</t>
  </si>
  <si>
    <t>cerballiance.fr/fr</t>
  </si>
  <si>
    <t>t.me/gabriel_attal</t>
  </si>
  <si>
    <t>TF1info.fr</t>
  </si>
  <si>
    <t>tf1info.fr</t>
  </si>
  <si>
    <t>biogroup.fr</t>
  </si>
  <si>
    <t>micromanager.io</t>
  </si>
  <si>
    <t>develop4u.co</t>
  </si>
  <si>
    <t>thecolourmoon.com</t>
  </si>
  <si>
    <t>thisisswitch.com</t>
  </si>
  <si>
    <t>tvisha.com</t>
  </si>
  <si>
    <t>navtech.io</t>
  </si>
  <si>
    <t>nethues.com</t>
  </si>
  <si>
    <t>thesunilonline.blogspot.com</t>
  </si>
  <si>
    <t>bylesdigitaldesign.com/health-food-ma…</t>
  </si>
  <si>
    <t>linktr.ee/Upskillyourlif…</t>
  </si>
  <si>
    <t>contrarianthinking.biz/tw</t>
  </si>
  <si>
    <t>ridreg-martyr.arvo.network/writing/josh-a…</t>
  </si>
  <si>
    <t>shellypalmer.com</t>
  </si>
  <si>
    <t>paypal.com/us/home</t>
  </si>
  <si>
    <t>facebook.com/oviedo.jc</t>
  </si>
  <si>
    <t>mashable.com</t>
  </si>
  <si>
    <t>instagram.com/farooqdesigns_/</t>
  </si>
  <si>
    <t>microsoft.com/en-us/</t>
  </si>
  <si>
    <t>HookedOnCustomers.com</t>
  </si>
  <si>
    <t>allisoninwonderland.com</t>
  </si>
  <si>
    <t>ethanetechnologies.com</t>
  </si>
  <si>
    <t>perfectsearchmedia.com</t>
  </si>
  <si>
    <t>straightnorth.com</t>
  </si>
  <si>
    <t>digivate.com</t>
  </si>
  <si>
    <t>dashtwo.com</t>
  </si>
  <si>
    <t>leverinteractive.com</t>
  </si>
  <si>
    <t>topdevelopers.co</t>
  </si>
  <si>
    <t>biopyrenees.com</t>
  </si>
  <si>
    <t>alternatives-economiques.fr</t>
  </si>
  <si>
    <t>grwth.link/gmc-global-tb</t>
  </si>
  <si>
    <t>slidesource.com</t>
  </si>
  <si>
    <t>successlakeseo.com</t>
  </si>
  <si>
    <t>indywood.co.in</t>
  </si>
  <si>
    <t>promote.news</t>
  </si>
  <si>
    <t>codewright.net</t>
  </si>
  <si>
    <t>jetruby.com/?rs=twitter-pr…</t>
  </si>
  <si>
    <t>skotwaldron.com</t>
  </si>
  <si>
    <t>toprankvisibility.com</t>
  </si>
  <si>
    <t>redbookproductions.co.uk</t>
  </si>
  <si>
    <t>twibs.com</t>
  </si>
  <si>
    <t>twitterpulse.io</t>
  </si>
  <si>
    <t>kalungigroup.com</t>
  </si>
  <si>
    <t>goodfirms.co</t>
  </si>
  <si>
    <t>defindia.org</t>
  </si>
  <si>
    <t>manthanaward.org</t>
  </si>
  <si>
    <t>nodebb.org</t>
  </si>
  <si>
    <t>open.spotify.com/artist/2LlKsdS…</t>
  </si>
  <si>
    <t>pnburrows.com</t>
  </si>
  <si>
    <t>shanebruwer.com</t>
  </si>
  <si>
    <t>1stchoicerec.com</t>
  </si>
  <si>
    <t>financialrelease.uk</t>
  </si>
  <si>
    <t>uk.linkedin.com/in/tonyhoran/</t>
  </si>
  <si>
    <t>atozemotions.com</t>
  </si>
  <si>
    <t>PeoplePerHour.com</t>
  </si>
  <si>
    <t>stefka.com</t>
  </si>
  <si>
    <t>willow.link/qualifications</t>
  </si>
  <si>
    <t>goo.gl/oHQB7c</t>
  </si>
  <si>
    <t>geojunxion.com</t>
  </si>
  <si>
    <t>monroeconsulting.com</t>
  </si>
  <si>
    <t>marcoting.shop</t>
  </si>
  <si>
    <t>blog.thesocialms.com</t>
  </si>
  <si>
    <t>brainleaf.com</t>
  </si>
  <si>
    <t>socialcheif.com</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</si>
  <si>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</si>
  <si>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</si>
  <si>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</si>
  <si>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</si>
  <si>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</si>
  <si>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</si>
  <si>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</si>
  <si>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</si>
  <si>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</si>
  <si>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</si>
  <si>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</si>
  <si>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</si>
  <si>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</si>
  <si>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evontech.com</t>
  </si>
  <si>
    <t>sunarctechnologies.com</t>
  </si>
  <si>
    <t>octalsoftware.com</t>
  </si>
  <si>
    <t>softwaredevelopersindia.com</t>
  </si>
  <si>
    <t>promaticsindia.com</t>
  </si>
  <si>
    <t>phoenixbizz.com</t>
  </si>
  <si>
    <t>ripenapps.com</t>
  </si>
  <si>
    <t>A1future.com</t>
  </si>
  <si>
    <t>bluformiga.biz</t>
  </si>
  <si>
    <t>softwarefindr.com</t>
  </si>
  <si>
    <t>secondsthatcountstudios.com</t>
  </si>
  <si>
    <t>designbrandindia.com</t>
  </si>
  <si>
    <t>freemanmultimedia.com</t>
  </si>
  <si>
    <t>linkedin.com/in/barnaby-was…</t>
  </si>
  <si>
    <t>awazbeats.com</t>
  </si>
  <si>
    <t>twitter.com/johngow</t>
  </si>
  <si>
    <t>smokingchilimedia.com</t>
  </si>
  <si>
    <t>ipfconline.fr/contacts-eng.h…</t>
  </si>
  <si>
    <t>virtuoso.qa</t>
  </si>
  <si>
    <t>deepanshugahlaut.com</t>
  </si>
  <si>
    <t>twitch.tv/zerocoollatte</t>
  </si>
  <si>
    <t>dcevents.co</t>
  </si>
  <si>
    <t>rsmgears.com</t>
  </si>
  <si>
    <t>cricclubs.com</t>
  </si>
  <si>
    <t>https://t.co/1ME9C39OwT https://t.co/j6J5f5iSI4 https://t.co/LBGI9BxDg8</t>
  </si>
  <si>
    <t>https://t.co/px763d8rsI https://t.co/LLrAv1Tqsp</t>
  </si>
  <si>
    <t>http://sellfy.com/FarooqDzn http://farooqdesigns.carbonmade.com http://Gofifacoins.com</t>
  </si>
  <si>
    <t>http://dld.bz/jpHrE http://blog.thesocialms.com/impressum/</t>
  </si>
  <si>
    <t>rsp4all.org</t>
  </si>
  <si>
    <t>sellfy.com/FarooqDzn farooqdesigns.carbonmade.com Gofifacoins.com</t>
  </si>
  <si>
    <t>bit.ly/2fsOQVW</t>
  </si>
  <si>
    <t>Kalungigroup.com/services</t>
  </si>
  <si>
    <t>fosstodon.org/@nodebb</t>
  </si>
  <si>
    <t>YouTube.com/wierg</t>
  </si>
  <si>
    <t>youtube.com/channel/UCFMnO…</t>
  </si>
  <si>
    <t>marcoting.live</t>
  </si>
  <si>
    <t>dld.bz/jpHrE blog.thesocialms.com/impressum/</t>
  </si>
  <si>
    <t>twine.fm/kimemson</t>
  </si>
  <si>
    <t>bit.ly/snk-yt</t>
  </si>
  <si>
    <t>onelink.to/cricclubs</t>
  </si>
  <si>
    <t>inovies
THE CHANGING ROLE OF IT AND WHAT
TO DO ABOUT IT - Today's challenging
and hyper-competitive business
environment o... http://t.co/FQA1cxzZum</t>
  </si>
  <si>
    <t>sumanthch
@Inovies No.</t>
  </si>
  <si>
    <t>jameslbrower2
RT https://t.co/JobkD6HQK2 Best
Digital Marketing Consulting Company
in Hyderabad-@Inovies see more&amp;gt;https://t.co/SBOwsMe9Zn
#Best #DigitalMarketing #consulting
#company #Hyderabad #inovies #S…
https://t.co/oNMUDm6TFT</t>
  </si>
  <si>
    <t>suryakotianu
@Inovies #StandByPVSunilKumarIPS
#StandByPVSunilKumarIPS #UnknownMiraclesOfGodKabir
#HappyBirthdayNBK #thursdaymorning
#ThursdayThoughts #ThursdayMotivation
#NBK107 #NandamuriBalakrishna #NariShakti4NewIndia
#Save_male_nurses #Shanijayanti
#HBDNBK #thursdayvibes</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</si>
  <si>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</si>
  <si>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 xml:space="preserve">rspraveenswaero
</t>
  </si>
  <si>
    <t>dbmwebmarketing
RT https://t.co/kSsIeNxKhg Best
Digital Marketing Consulting Company
in Hyderabad-@Inovies see more&amp;gt;https://t.co/ZooAmSRapU
#Best #DigitalMarketing #consulting
#company #Hyderabad #inovies #S…
https://t.co/4P5fhpbTmy</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</si>
  <si>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</si>
  <si>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</si>
  <si>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</si>
  <si>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</si>
  <si>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</si>
  <si>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</si>
  <si>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</si>
  <si>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bullrushapp
@Inovies How much money did you
loose already without even knowing?
https://t.co/VZJZIdHeMY</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</si>
  <si>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</si>
  <si>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</si>
  <si>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</si>
  <si>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</si>
  <si>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</si>
  <si>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</si>
  <si>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</si>
  <si>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</si>
  <si>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</si>
  <si>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</si>
  <si>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</si>
  <si>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</si>
  <si>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</si>
  <si>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</si>
  <si>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byles_digital
@Inovies That's a few! _xD83D__xDE0E_ I'm guessing
that's for clients though?</t>
  </si>
  <si>
    <t xml:space="preserve">revanth_anumula
</t>
  </si>
  <si>
    <t xml:space="preserve">upskillyourlife
</t>
  </si>
  <si>
    <t xml:space="preserve">aadeshrawal
</t>
  </si>
  <si>
    <t xml:space="preserve">codie_sanchez
</t>
  </si>
  <si>
    <t xml:space="preserve">joshqharris
</t>
  </si>
  <si>
    <t xml:space="preserve">linkedin
</t>
  </si>
  <si>
    <t xml:space="preserve">shellypalmer
</t>
  </si>
  <si>
    <t xml:space="preserve">yourstoryco
</t>
  </si>
  <si>
    <t xml:space="preserve">paypal
</t>
  </si>
  <si>
    <t xml:space="preserve">eenadu
</t>
  </si>
  <si>
    <t xml:space="preserve">pinterest
</t>
  </si>
  <si>
    <t xml:space="preserve">quiffboy
</t>
  </si>
  <si>
    <t>oviedojc
@Inovies hello i'm interestesd
in further information for multiple
clients on regards of mobile apps,
what do you guys have to offer</t>
  </si>
  <si>
    <t xml:space="preserve">mashable
</t>
  </si>
  <si>
    <t xml:space="preserve">development_web
</t>
  </si>
  <si>
    <t>farooqdesigns
@Inovies Which are the best colleges
in Hyderabad where i could learn
web application design , responsive
page design app designs etc?</t>
  </si>
  <si>
    <t>martintenvoorde
Marketing - Optimise Leadership
(145) - Think effectively with
SEO and brand building strategies
via @Inovies https://t.co/AI7arBynFv</t>
  </si>
  <si>
    <t>bob_thompson
7 Social media habits you need
to stop right now by @inovies https://t.co/sxtimMFujv
via @CustomerThink</t>
  </si>
  <si>
    <t xml:space="preserve">customerthink
</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</si>
  <si>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</si>
  <si>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</si>
  <si>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</si>
  <si>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</si>
  <si>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</si>
  <si>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</si>
  <si>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</si>
  <si>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</si>
  <si>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</si>
  <si>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laurieciss
@Biogroup_Labo @Inovies @LaboBiopyrenees</t>
  </si>
  <si>
    <t xml:space="preserve">labobiopyrenees
</t>
  </si>
  <si>
    <t>altereco_
Ces entreprises suscitent l’appétit
de fonds d’investissement étrangers
https://t.co/IbQ1Z2KvVa</t>
  </si>
  <si>
    <t>growthmktconf
@Inovies we published a post about
creating a framework for rapid
growth. I think you'd like it:
https://t.co/aQDFokYyrg</t>
  </si>
  <si>
    <t>slidesource
@Inovies Welcome! Hope you find
the tweets we share useful.</t>
  </si>
  <si>
    <t>artworksbyshana
@Inovies I thought you might like
this post I wrote about #ContentPromotion
tactics. Take a look: https://t.co/AWaRjKO7da</t>
  </si>
  <si>
    <t>gvalan
Thanks for the recent follow @dinesh_vetal
@SuccessLake @Inovies! Happy to
connect :) have a great Monday.
_xD83D__xDD36_ https://t.co/59N8l0SVQ6</t>
  </si>
  <si>
    <t xml:space="preserve">successlake
</t>
  </si>
  <si>
    <t>chandra_sekhare
@Inovies #StandByPVSunilKumarIPS</t>
  </si>
  <si>
    <t>rameshdudala
Ubuntu smartphone won't be as 'open'
as they say  http://t.co/f7Bt1QEXE5
via @inovies</t>
  </si>
  <si>
    <t>aim_pvsk
@Inovies #StandByPVSunilKumarIPS</t>
  </si>
  <si>
    <t>coopsgreenteam
Hey Inovies thanks for following
me. Make it a great day @Inovies
!</t>
  </si>
  <si>
    <t>indywoodifc
Congratulations Inovies Consulting
Pvt. Ltd. being awarded with #Indywood_IT_Excellence_Award
for Excellence in Web Development
and Digital Marketing. #Indywood
#ITExcellenceAward #Inovies #WebDevelopment
#DigitalMarketing @Inovies https://t.co/SX2nIDNofr</t>
  </si>
  <si>
    <t>procharitynews
Hi @Inovies Thanks for following!
Pre-register for PROnounce here
https://t.co/ylkO9QiwYN via https://t.co/urNtwGDfT5</t>
  </si>
  <si>
    <t>codeitwright
#HappyMonday @crimebooks01 @TobiMapsOffice
@Inovies thanks for being top new
followers - have a great week :)</t>
  </si>
  <si>
    <t>jetrubyagency
@RankVisibility @Inovies @skotwaldron
- Thanks for being new top engaged
this week :)</t>
  </si>
  <si>
    <t xml:space="preserve">skotwaldron
</t>
  </si>
  <si>
    <t xml:space="preserve">rankvisibility
</t>
  </si>
  <si>
    <t>redbookfilms
@Inovies Hey thanks for following,
let me know a bit more about what
you do... https://t.co/zFn4jVXFw0</t>
  </si>
  <si>
    <t>twibs
@inovies added as a twitter business
at http://t.co/HRrR2A34m1. To manage
your account, go to http://t.co/XAfTgtF2tv</t>
  </si>
  <si>
    <t>twitpulse_in
Paging inovies (@inovies, 629 followers).
Your last tweet was 90 days ago.
Are you OK? _xD83E__xDD12_</t>
  </si>
  <si>
    <t>cssnectar
New #WebDesign Inspiration - inovies
https://t.co/0a5BoK2qAX on https://t.co/iELzF7M2oL
@Inovies https://t.co/U7AWjmAuFY</t>
  </si>
  <si>
    <t xml:space="preserve">w3webdesign_in
</t>
  </si>
  <si>
    <t>kalungigroup
@Inovies feels great to be followed
by you find out more about me here
https://t.co/pcbwvsrmKU via https://t.co/oVnhkyrDBz</t>
  </si>
  <si>
    <t>goodfirms
A client said @Inovies has ability
&amp;amp; reliability factor on @GoodFirms
https://t.co/lLMMr12bWm #GoodFirms
#Reviews #MobileAppDevelopment
https://t.co/6T2V0tKIfH</t>
  </si>
  <si>
    <t>defindia
@Inovies Embrace us with your presence
@manthanaward on Dec1-9th Annual
Digital Festival Development. http://t.co/9bIhAz92
#manthan</t>
  </si>
  <si>
    <t xml:space="preserve">manthanaward
</t>
  </si>
  <si>
    <t>nodebb
Will you become one with Growth
Hacker marketing? by @inovies https://t.co/VcihkqQ0sJ
via @CustomerThink #forum #nodebb</t>
  </si>
  <si>
    <t>wiergeezy
@Inovies @PNBurrows @creditcarddl
- Happy to have you in my community
:)</t>
  </si>
  <si>
    <t xml:space="preserve">pnburrows
</t>
  </si>
  <si>
    <t>shanebruwer
@Inovies Whats up there , thank
you for following , I truthfully
value it . Allow me to share an
element that would undoubtedly
interest y</t>
  </si>
  <si>
    <t>net_comms
@Inovies TFTF your awesome and
we appreciate you. https://t.co/AIrmJ0SmTO</t>
  </si>
  <si>
    <t>1stchoicerec
Thank you for the follow! @CameronFirefish
@t0nyh0ran @pure_banners @finreluk
@Inovies @crystalprosky #FridayFeeling</t>
  </si>
  <si>
    <t xml:space="preserve">finreluk
</t>
  </si>
  <si>
    <t xml:space="preserve">t0nyh0ran
</t>
  </si>
  <si>
    <t>laura_logic
@Inovies Thank you for the follow!
:)</t>
  </si>
  <si>
    <t>azahar_shaik
@Inovies #StandWithPVsunilkumarIPS</t>
  </si>
  <si>
    <t>peopleperhour
@Inovies Thank you for following,
_xD83D__xDC1B_ Have you joined our G+ Community
_xD83D__xDC49_ https://t.co/JdxdutDFSu</t>
  </si>
  <si>
    <t>iistefka
@Inovies Hi, I saw you, guys, on
Awwwards' website &amp;amp; would love
to get your feedback on a recent
submission: https://t.co/qkoScoYq1Z</t>
  </si>
  <si>
    <t>willowassist
TFTF @Inovies _xD83D__xDC9A_ Did you see "Be
The Tree, Not a Leaf" ➡️ https://t.co/LAOuX75G2V
⬅️ #SelfHealing #Love #Mindfulness
#Understanding #Life https://t.co/qHgi8M1cFF</t>
  </si>
  <si>
    <t>mehkaadams
RT https://t.co/ihg0FcpYCd Best
Digital Marketing Consulting Company
in Hyderabad-@Inovies see more&amp;gt;https://t.co/phGzagIvst
#Best #DigitalMarketing #consulting
#company #Hyderabad #inovies #S…
https://t.co/TCdfc7yzzs</t>
  </si>
  <si>
    <t>carolinebombart
@MonroeConsult @successmethod_
@Inovies - Hi! Happy to have you
in my community :)</t>
  </si>
  <si>
    <t xml:space="preserve">monroeconsult
</t>
  </si>
  <si>
    <t>mfcnovo
Is your Website ready to face the
next... http://t.co/tKCAsIuXi7
#mobilefriendlywebsite #responsivewebsite
#responsivedesign via @Inovies</t>
  </si>
  <si>
    <t>tsm_b2b
@Inovies Do you want to learn how
to achieve online success without
burning money on ads? Free Webinar:
https://t.co/2RtEo1GnRB</t>
  </si>
  <si>
    <t>brainleafit
#HappyMonday @Inovies @av_tms @PennylaneVideos
thanks for being top new followers
- have a great week :)</t>
  </si>
  <si>
    <t xml:space="preserve">tonycompton
</t>
  </si>
  <si>
    <t xml:space="preserve">pennylanevideos
</t>
  </si>
  <si>
    <t xml:space="preserve">av_tms
</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</si>
  <si>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</si>
  <si>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</si>
  <si>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</si>
  <si>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</si>
  <si>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</si>
  <si>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</si>
  <si>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</si>
  <si>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</si>
  <si>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</si>
  <si>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</si>
  <si>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</si>
  <si>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</si>
  <si>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</si>
  <si>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</si>
  <si>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evontech
@TopDevelopersCo @a1future @ripenappstech
@Phoenix_Bizz @promatics @SoftwaredevIn
@Inovies @octalitsolution @SunArc_tech
Thank you so much @TopDevelopersCo
to select @Evontech as a Top #UIUXDesigningAgencies</t>
  </si>
  <si>
    <t xml:space="preserve">sunarc_tech
</t>
  </si>
  <si>
    <t xml:space="preserve">octalitsolution
</t>
  </si>
  <si>
    <t xml:space="preserve">softwaredevin
</t>
  </si>
  <si>
    <t xml:space="preserve">promatics
</t>
  </si>
  <si>
    <t xml:space="preserve">phoenix_bizz
</t>
  </si>
  <si>
    <t xml:space="preserve">ripenappstech
</t>
  </si>
  <si>
    <t xml:space="preserve">a1future
</t>
  </si>
  <si>
    <t>thriveagency
@TopDevelopersCo @leveronline @dashtwo
@Inovies @digivate @DigitlResource
@StraightNorth @Perfect_Search
@gexton @ethanewebtech Thank you!</t>
  </si>
  <si>
    <t>wendy97053587
Hi @Inovies.</t>
  </si>
  <si>
    <t>bluformiga
Le sigo de vuelta a @Inovies ➽
❤/RT Gracias, por seguirme!. "Like"
FB Fanpage https://t.co/6D1loW3HVy
via https://t.co/q7YKpZnOfD</t>
  </si>
  <si>
    <t>mackphason
 nice http://t.co/029pYK8R0r via
@Inovies</t>
  </si>
  <si>
    <t>softwarefindr_
Hey @Inovies, Thank you for the
follow!</t>
  </si>
  <si>
    <t>stcstudios
#article Top marketing trends to
not be missed in 2K18 by @inovies
https://t.co/dJ2M6gMTZg via @CustomerThink
https://t.co/BqZI4dRPVx</t>
  </si>
  <si>
    <t>designbrandind
The Web Design for your business
Daily is out! https://t.co/fXlSLZQUCf
Stories via @minipea @Inovies @fmidesign</t>
  </si>
  <si>
    <t xml:space="preserve">fmidesign
</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</si>
  <si>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</si>
  <si>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</si>
  <si>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</si>
  <si>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</si>
  <si>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</si>
  <si>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</si>
  <si>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getgeekrelief
@Inovies Do you know how to analyze
your web traffic? Check out how
to make the most of your data -
https://t.co/Rjk7fWsMm6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</si>
  <si>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</si>
  <si>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</si>
  <si>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dpanshugahlaut
Will you become one with #GrowthHacker
marketing? by @inovies https://t.co/zgUGO2RDH2
via @CustomerThink</t>
  </si>
  <si>
    <t>zerocoollatte
Thanks for the recent follow @Bskhod
@Inovies Happy to connect :) have
a great Saturday. ➡️ Want this
_xD83C__xDD93_❓ https://t.co/osnmCP95Qb</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</si>
  <si>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</si>
  <si>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</si>
  <si>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</si>
  <si>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</si>
  <si>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</si>
  <si>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followupthen
@Inovies Start using FollowUpThen
with our unlimited free plan. https://t.co/M3XtXuOXGt</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</si>
  <si>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&lt;LayoutUserSettings&gt;
      &lt;setting name="Layout" serializeAs="String"&gt;
        &lt;value&gt;HarelKorenFastMultiscale&lt;/value&gt;
      &lt;/setting&gt;
    &lt;/LayoutUserSettings&gt;
    &lt;GroupUserSettings&gt;
      &lt;setting name="ReadGroups" serializeAs="String"&gt;
        &lt;value&gt;True&lt;/value&gt;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ExportToNodeXLGraphGallery&lt;/value&gt;
      &lt;/setting&gt;
    &lt;/AutomateTasksUserSettings&gt;
    &lt;ExportToNodeXLGraphGalleryUserSettings&gt;
      &lt;setting name="Author" serializeAs="String"&gt;
        &lt;value&gt;inoviesbn&lt;/value&gt;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t>
  </si>
  <si>
    <t>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&lt;value&gt;0, 128, 255&lt;/value&gt;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&lt;value&gt;Red&lt;/value&gt;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&lt;value&gt;Lime&lt;/value&gt;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</si>
  <si>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GraphSource░TwitterSearch3▓GraphTerm░@Inovies▓ImportDescription░The graph represents a network of 156 Twitter users whose recent tweets contained "@Inovies", or who were replied to, mentioned, retweeted or quoted in those tweets, taken from a data set limited to a maximum of 3,798 tweets, tweeted between 01-01-2009 00:00:00 and 09-12-2023 11:47:29.  The network was obtained from Twitter on Sunday, 10 December 2023 at 06:18 UTC.
The tweets in the network were tweeted over the 4185-day, 4-hour, 7-minute period from Monday, 25 June 2012 at 07:40 UTC to Sunday, 10 December 2023 at 11:48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Sunday, 10 December 2023 at 06:18 UTC▓ImportSuggestedFileNameNoExtension░2023-12-10 06-18-04 NodeXL Twitter Search @Inovies▓LayoutAlgorithm░The graph was laid out using the Harel-Koren Fast Multiscale layout algorithm.▓GraphDirectedness░The graph is directed.▓GroupingDescription░The graph's vertices were grouped by cluster using the Clauset-Newman-Moore cluster algorithm.</t>
  </si>
  <si>
    <t>https://twitter.com/Inovies/status/1402693044516757504</t>
  </si>
  <si>
    <t>https://Statusbrew.com</t>
  </si>
  <si>
    <t>https://twitter.com/suryakotianu/status/938667558806286337</t>
  </si>
  <si>
    <t>https://goo.gl/UDmV7L</t>
  </si>
  <si>
    <t>http://CSSNectar.com</t>
  </si>
  <si>
    <t>http://www.inovies.com/10-simple-ways-to-drive-better-quality-leads-from-your-website-78-inovies.html</t>
  </si>
  <si>
    <t>https://www.dreamcreationsevents.com/event/tcpl-season-2/</t>
  </si>
  <si>
    <t>https://commun.it/?aid=thankyou162</t>
  </si>
  <si>
    <t>https://customerthink.com/will-you-become-one-with-growth-hacker-marketing/</t>
  </si>
  <si>
    <t>http://webguruawards.com/winners</t>
  </si>
  <si>
    <t>https://twitter.com/inovies/status/1402693044516757504</t>
  </si>
  <si>
    <t>https://www.linkedin.com/pulse/its-time-raise-your-web-design-rates-nagendra-b</t>
  </si>
  <si>
    <t>https://www.linkedin.com/pulse/chipping-people-you-ready-shelly-palmer</t>
  </si>
  <si>
    <t>https://yourstory.com/2016/11/4ec59cb4da-i-would-love-to-turn-odds-to-my-favor/?utm_source=twitter</t>
  </si>
  <si>
    <t>https://www.paypal-proserv.com/newmoney/celebrating-entrepreneurs/allprofiles.php?id=865</t>
  </si>
  <si>
    <t>https://bit.ly/3fs59eV</t>
  </si>
  <si>
    <t>https://bit.ly/39b0qy9</t>
  </si>
  <si>
    <t>https://bit.ly/2ItxUwZ</t>
  </si>
  <si>
    <t>http://TopDevelopers.co</t>
  </si>
  <si>
    <t>https://bit.ly/3kr97ri</t>
  </si>
  <si>
    <t>https://www.altereco.media/cW0</t>
  </si>
  <si>
    <t>https://bit.ly/30r2Oga</t>
  </si>
  <si>
    <t>https://www.webguruawards.com/user/details/webdesignagency-1662</t>
  </si>
  <si>
    <t>https://twitter.com/Inovies/status/1402693044516757504 https://Statusbrew.com https://twitter.com/suryakotianu/status/938667558806286337 https://goo.gl/UDmV7L http://www.inovies.com/10-simple-ways-to-drive-better-quality-leads-from-your-website-78-inovies.html https://twitter.com/inovies/status/1402693044516757504 https://www.linkedin.com/pulse/its-time-raise-your-web-design-rates-nagendra-b https://www.linkedin.com/pulse/chipping-people-you-ready-shelly-palmer https://yourstory.com/2016/11/4ec59cb4da-i-would-love-to-turn-odds-to-my-favor/?utm_source=twitter https://www.paypal-proserv.com/newmoney/celebrating-entrepreneurs/allprofiles.php?id=865</t>
  </si>
  <si>
    <t>https://bit.ly/3fs59eV https://bit.ly/39b0qy9 https://bit.ly/2ItxUwZ http://TopDevelopers.co https://bit.ly/3kr97ri</t>
  </si>
  <si>
    <t>http://webguruawards.com/winners https://www.webguruawards.com/user/details/webdesignagency-1662</t>
  </si>
  <si>
    <t>http://paper.li/e-1435832732?edition_id=85117d90-bb72-11e5-96f4-002590a5ba2d</t>
  </si>
  <si>
    <t>http://bitly.com/QsHZJ1</t>
  </si>
  <si>
    <t>http://CSSNectar.com http://cssnectar.com/css-gallery-inspiration/best-website-design-company-in-hyderabad-india/ http://cssnectar.com/css-gallery-inspiration/best-web-design-company-in-uae/</t>
  </si>
  <si>
    <t>https://commun.it/thank-you/?aid=thankyou134</t>
  </si>
  <si>
    <t>statusbrew.com</t>
  </si>
  <si>
    <t>twitter.com inovies.com goo.gl bit.ly customerthink.com statusbrew.com linkedin.com twibs.com yourstory.com paypal-proserv.com</t>
  </si>
  <si>
    <t>bit.ly topdevelopers.co</t>
  </si>
  <si>
    <t>company</t>
  </si>
  <si>
    <t>appdevelopment</t>
  </si>
  <si>
    <t>consulting</t>
  </si>
  <si>
    <t>appdevelopmentagencies</t>
  </si>
  <si>
    <t>appdevelopers</t>
  </si>
  <si>
    <t>appdevelopmentcompanies</t>
  </si>
  <si>
    <t>seocompanies</t>
  </si>
  <si>
    <t>seoagencies</t>
  </si>
  <si>
    <t>searchengineoptimizationservices</t>
  </si>
  <si>
    <t>mobileapp</t>
  </si>
  <si>
    <t>companies</t>
  </si>
  <si>
    <t>7hsportsevents</t>
  </si>
  <si>
    <t>tcpl</t>
  </si>
  <si>
    <t>tv5</t>
  </si>
  <si>
    <t>eliteacademy</t>
  </si>
  <si>
    <t>hoteljubilleridge</t>
  </si>
  <si>
    <t>cricket</t>
  </si>
  <si>
    <t>corporate</t>
  </si>
  <si>
    <t>winners</t>
  </si>
  <si>
    <t>may</t>
  </si>
  <si>
    <t>standbypvsunilkumarips inovies digitalmarketing best company hyderabad consulting s free webdesign</t>
  </si>
  <si>
    <t>appdevelopment appdevelopmentagencies appdevelopers appdevelopmentcompanies uiuxdesigningagencies seo august2020 seocompanies seoagencies searchengineoptimizationservices</t>
  </si>
  <si>
    <t>webguruawards winners may 19may 19may2015 19may2016 19may2017 19may2018 19may2019 19may2020</t>
  </si>
  <si>
    <t>#standbypvsunilkumarips</t>
  </si>
  <si>
    <t>thanks</t>
  </si>
  <si>
    <t>#inovies</t>
  </si>
  <si>
    <t>following</t>
  </si>
  <si>
    <t>gexton</t>
  </si>
  <si>
    <t>development</t>
  </si>
  <si>
    <t>followers</t>
  </si>
  <si>
    <t>being</t>
  </si>
  <si>
    <t>19</t>
  </si>
  <si>
    <t>#webguruawards</t>
  </si>
  <si>
    <t>inovies via #standbypvsunilkumarips marketing more #inovies web #digitalmarketing following see</t>
  </si>
  <si>
    <t>inovies topdevelopersco digitlresource perfect_search straightnorth ethanewebtech digivate gexton dashtwo top</t>
  </si>
  <si>
    <t>gabrielattal biogroup_labo inovies</t>
  </si>
  <si>
    <t>new followers top week being inovies thanks av_tms</t>
  </si>
  <si>
    <t>19 #webguruawards inovies</t>
  </si>
  <si>
    <t>#webdesign new inovies inspiration</t>
  </si>
  <si>
    <t>#standbypvsunilkumarips,#standbypvsunilkumarips</t>
  </si>
  <si>
    <t>inovies,see</t>
  </si>
  <si>
    <t>gexton,ethanewebtech</t>
  </si>
  <si>
    <t>via,inovies</t>
  </si>
  <si>
    <t>straightnorth,perfect_search</t>
  </si>
  <si>
    <t>more,gt</t>
  </si>
  <si>
    <t>gt,https</t>
  </si>
  <si>
    <t>#hyderabad,#inovies</t>
  </si>
  <si>
    <t>see,more</t>
  </si>
  <si>
    <t>perfect_search,gexton</t>
  </si>
  <si>
    <t>dashtwo,inovies</t>
  </si>
  <si>
    <t>inovies,digivate</t>
  </si>
  <si>
    <t>digitlresource,straightnorth</t>
  </si>
  <si>
    <t>digivate,digitlresource</t>
  </si>
  <si>
    <t>leveronline,dashtwo</t>
  </si>
  <si>
    <t>topdevelopersco,leveronline</t>
  </si>
  <si>
    <t>ripenappstech,phoenix_bizz</t>
  </si>
  <si>
    <t>biogroup_labo,inovies</t>
  </si>
  <si>
    <t>new,followers</t>
  </si>
  <si>
    <t>being,top</t>
  </si>
  <si>
    <t>top,new</t>
  </si>
  <si>
    <t>thanks,being</t>
  </si>
  <si>
    <t>inovies,av_tms</t>
  </si>
  <si>
    <t>#standbypvsunilkumarips,#standbypvsunilkumarips  inovies,see  digital,marketing  https,t  via,inovies  more,gt  gt,https  #hyderabad,#inovies  t,co  see,more</t>
  </si>
  <si>
    <t>gexton,ethanewebtech  perfect_search,gexton  dashtwo,inovies  inovies,digivate  digitlresource,straightnorth  straightnorth,perfect_search  digivate,digitlresource  leveronline,dashtwo  topdevelopersco,leveronline  ripenappstech,phoenix_bizz</t>
  </si>
  <si>
    <t>new,followers  being,top  top,new  thanks,being  inovies,av_tms</t>
  </si>
  <si>
    <t>#webdesign,inspiration  new,#webdesign</t>
  </si>
  <si>
    <t>mogilipaka1</t>
  </si>
  <si>
    <t>intellmarketer</t>
  </si>
  <si>
    <t>inspiredlywrit</t>
  </si>
  <si>
    <t>impressicodigi</t>
  </si>
  <si>
    <t>cameronfirefish</t>
  </si>
  <si>
    <t>pure_banners</t>
  </si>
  <si>
    <t>crystalprosky</t>
  </si>
  <si>
    <t>inovies webguruawards missionambedkar bedasampath mogilipaka1 maddiletibanda4 nithin_bussa amarbyagari intellmarketer upskillyourlife</t>
  </si>
  <si>
    <t>biogroup_labo agindre</t>
  </si>
  <si>
    <t>inovies customerthink linkedin sfi_arjun rspraveenswaero pv_sunil_kumar revanth_anumula bhatticlp shellypalmer yourstoryco</t>
  </si>
  <si>
    <t>inovies dashtwo digivate digitlresource straightnorth perfect_search gexton ethanewebtech leveronline thriveagency</t>
  </si>
  <si>
    <t>inovies labobiopyrenees lci gabrielattal cerballiance biogroup_labo eaglaboratories</t>
  </si>
  <si>
    <t>ipfconline1 inovies inspiredlywrit smokingchili jeremyscrivens johngow swiftymorgan</t>
  </si>
  <si>
    <t>inovies av_tms tonycompton pennylanevideos</t>
  </si>
  <si>
    <t>cameronfirefish t0nyh0ran pure_banners finreluk inovies crystalprosky</t>
  </si>
  <si>
    <t>inovies skotwaldron</t>
  </si>
  <si>
    <t>successmethod_ inovies</t>
  </si>
  <si>
    <t>pnburrows creditcarddl</t>
  </si>
  <si>
    <t>mashable tsm_b2b coopsgreenteam mackphason peopleperhour yourstoryco hydcitypolice shellypalmer mfcnovo quiffboy</t>
  </si>
  <si>
    <t>softwaredevin straightnorth perfect_search evontech digivate digitlresource worryfreelabs topdevelopersco improvingmx thriveagency</t>
  </si>
  <si>
    <t>lci altereco_ agindre garcias_jmichel gabrielattal eaglaboratories biogroup_labo laurieciss labobiopyrenees cerballiance</t>
  </si>
  <si>
    <t>ipfconline1 jeremyscrivens smokingchili barnabywass swiftymorgan johngow</t>
  </si>
  <si>
    <t>thecolourmoon develop4u_co nethues tvishat switchsoft navaratantech</t>
  </si>
  <si>
    <t>thhyderabad cricclubs rsmgears nandi_tyres dc_dreamsevents</t>
  </si>
  <si>
    <t>brainleafit av_tms pennylanevideos tonycompton</t>
  </si>
  <si>
    <t>1stchoicerec t0nyh0ran finreluk</t>
  </si>
  <si>
    <t>rankvisibility jetrubyagency skotwaldron</t>
  </si>
  <si>
    <t>webguruawards virtuoso_qa</t>
  </si>
  <si>
    <t>designbrandind fmidesign</t>
  </si>
  <si>
    <t>carolinebombart monroeconsult</t>
  </si>
  <si>
    <t>wiergeezy pnburrows</t>
  </si>
  <si>
    <t>defindia manthanaward</t>
  </si>
  <si>
    <t>cssnectar w3webdesign_in</t>
  </si>
  <si>
    <t>gvalan successlake</t>
  </si>
  <si>
    <t>https://www.followupthen.com</t>
  </si>
  <si>
    <t>https://twitter.com/Inovies/status/1402693044516757504 http://www.inovies.com/10-simple-ways-to-drive-better-quality-leads-from-your-website-78-inovies.html https://www.inovies.com http://pinterest.com/pin/274156696036825674/ https://www.inovies.com/insights/news/when-eetaram-eenadu-finds-inovies-lively#.WKqgd0yvlKU.twitter https://www.paypal-proserv.com/newmoney/celebrating-entrepreneurs/allprofiles.php?id=865 https://yourstory.com/2016/11/4ec59cb4da-i-would-love-to-turn-odds-to-my-favor/?utm_source=twitter https://www.linkedin.com/pulse/chipping-people-you-ready-shelly-palmer https://www.linkedin.com/pulse/its-time-raise-your-web-design-rates-nagendra-b https://twitter.com/inovies/status/1402693044516757504</t>
  </si>
  <si>
    <t>http://goo.gl/r2JwDD</t>
  </si>
  <si>
    <t>http://www.micromanagerapps.com/</t>
  </si>
  <si>
    <t>https://lnkd.in/eTP-h_M</t>
  </si>
  <si>
    <t>http://customerthink.com/think-effectively-with-seo-and-brand-building-strategies/</t>
  </si>
  <si>
    <t>https://bit.ly/3fs59eV http://TopDevelopers.co https://bit.ly/3kr97ri https://bit.ly/2ItxUwZ https://bit.ly/39b0qy9</t>
  </si>
  <si>
    <t>http://grwth.link/whats-growth-marketing</t>
  </si>
  <si>
    <t>http://bit.ly/ShanaHaynie</t>
  </si>
  <si>
    <t>http://www.inovies.com/ubuntu-smartphone-wont-be-as-open-as-they-say-18-inovies.html</t>
  </si>
  <si>
    <t>http://bit.ly/watch-behind-the-scenes</t>
  </si>
  <si>
    <t>https://goo.gl/ozkQCA</t>
  </si>
  <si>
    <t>http://customerthink.com/will-you-become-one-with-growth-hacker-marketing/</t>
  </si>
  <si>
    <t>https://www.mynetcomms.com</t>
  </si>
  <si>
    <t>http://goo.gl/nV4liR</t>
  </si>
  <si>
    <t>https://www.awwwards.com/sites/onbrand-17-beyond</t>
  </si>
  <si>
    <t>http://willow.link/grounded/</t>
  </si>
  <si>
    <t>http://www.example.com/</t>
  </si>
  <si>
    <t>http://smarturl.it/mh9e52</t>
  </si>
  <si>
    <t>http://www.inovies.com/news.php</t>
  </si>
  <si>
    <t>http://bit.ly/2DNutt8</t>
  </si>
  <si>
    <t>http://www.geekrelief.com/business-analytics-website-maintenance-checklist-part-2/</t>
  </si>
  <si>
    <t>https://twitter.com/Inovies/status/1402693044516757504 http://www.inovies.com/10-simple-ways-to-drive-better-quality-leads-from-your-website-78-inovies.html https://www.linkedin.com/pulse/its-time-raise-your-web-design-rates-nagendra-b https://www.paypal-proserv.com/newmoney/celebrating-entrepreneurs/allprofiles.php?id=865 https://yourstory.com/2016/11/4ec59cb4da-i-would-love-to-turn-odds-to-my-favor/?utm_source=twitter https://www.inovies.com/insights/news/when-eetaram-eenadu-finds-inovies-lively#.WKqgd0yvlKU.twitter https://twitter.com/inovies/status/1402693044516757504 http://pinterest.com/pin/274156696036825674/ https://www.linkedin.com/pulse/chipping-people-you-ready-shelly-palmer https://www.inovies.com</t>
  </si>
  <si>
    <t>https://bit.ly/3fs59eV https://bit.ly/39b0qy9 http://TopDevelopers.co https://bit.ly/3kr97ri https://bit.ly/2ItxUwZ</t>
  </si>
  <si>
    <t>http://www.twibs.com/signin.php http://www.twibs.com</t>
  </si>
  <si>
    <t>http://cssnectar.com/css-gallery-inspiration/best-website-design-company-in-hyderabad-india/ http://cssnectar.com/css-gallery-inspiration/best-web-design-company-in-uae/ http://CSSNectar.com</t>
  </si>
  <si>
    <t>twitter.com inovies.com linkedin.com pinterest.com paypal-proserv.com yourstory.com</t>
  </si>
  <si>
    <t>twitter.com inovies.com linkedin.com yourstory.com paypal-proserv.com pinterest.com</t>
  </si>
  <si>
    <t>statusbrew.com pronounce.media</t>
  </si>
  <si>
    <t>statusbrew.com youtu.be</t>
  </si>
  <si>
    <t>statusbrew.com bit.ly</t>
  </si>
  <si>
    <t>websitedesigningcompany paypalentrepreneurcontest telangana inovies anticorruptionday dontignoreus deepikapadukone</t>
  </si>
  <si>
    <t>ppc conversion rate optz best company in hyderabad inovies digitalmarketing</t>
  </si>
  <si>
    <t>standbypvsunilkumarips standbypvsunilkumarip</t>
  </si>
  <si>
    <t>appdevelopment appdevelopers appdevelopmentcompanies appdevelopmentagencies seo august2020 seocompanies seoagencies searchengineoptimizationservices seoservices</t>
  </si>
  <si>
    <t>free images website webdesign</t>
  </si>
  <si>
    <t>telangana paypalentrepreneurcontest websitedesigningcompany inovies deepikapadukone dontignoreus anticorruptionday</t>
  </si>
  <si>
    <t>s company digitalmarketing inovies hyderabad consulting best</t>
  </si>
  <si>
    <t>webdesign optz company ppc contentmarketing digitalmarketing inovies hyderabad india rate</t>
  </si>
  <si>
    <t>top hyderabad companies list mobileapp</t>
  </si>
  <si>
    <t>appdevelopment appdevelopers appdevelopmentcompanies appdevelopmentagencies uiuxdesign webdesign seoagencies appdev mobileappdevelopment searchengineoptimizationservices</t>
  </si>
  <si>
    <t>indywood digitalmarketing inovies webdevelopment itexcellenceaward indywood_it_excellence_award</t>
  </si>
  <si>
    <t>goodfirms mobileappdevelopment reviews</t>
  </si>
  <si>
    <t>selfhealing mindfulness love life understanding</t>
  </si>
  <si>
    <t>free webdesign website images</t>
  </si>
  <si>
    <t>19may2020 19may2021 19may 19may2022 application marketing may webguru development digital</t>
  </si>
  <si>
    <t>tv5 telangana hoteljubilleridge 7hsportsevents hyderabad corporate tcpl cricket eliteacademy</t>
  </si>
  <si>
    <t>free plan inovies using unlimited followupthen start</t>
  </si>
  <si>
    <t>inovies dev web design drive people better ways 10 sir</t>
  </si>
  <si>
    <t>#inovies #company marketing #digitalmarketing digital more consulting https see company</t>
  </si>
  <si>
    <t>#hyderabad company #rate #conversion based gt #best more #india co</t>
  </si>
  <si>
    <t>#standbypvsunilkumarips #standbypvsunilkumarip inovies rspraveenswaero</t>
  </si>
  <si>
    <t>gabrielattal sur agindre eaglaboratories lci point à ce raison il</t>
  </si>
  <si>
    <t>already without even knowing much inovies loose money</t>
  </si>
  <si>
    <t>development #hyderabad nethues looking #top here more impressicodigi switchsoft mobile</t>
  </si>
  <si>
    <t>clients inovies though guessing few</t>
  </si>
  <si>
    <t>send email com more detailed info description inovies kirubu blank</t>
  </si>
  <si>
    <t>design colleges application best web app designs learn inovies hyderabad</t>
  </si>
  <si>
    <t>think leadership marketing building via seo effectively strategies 145 inovies</t>
  </si>
  <si>
    <t>strategies building brand customerthink via inovies seo effectively think</t>
  </si>
  <si>
    <t>straightnorth gexton digivate dashtwo thank ethanewebtech perfect_search inovies thriveagency topdevelopersco</t>
  </si>
  <si>
    <t>straightnorth gexton woo digivate dashtwo ethanewebtech perfect_search hoo inovies thriveagency</t>
  </si>
  <si>
    <t>inovies list #appdevelopment #appdevelopers top nichetechsol square63 companies #appdevelopmentcompanies digitbazar</t>
  </si>
  <si>
    <t>labobiopyrenees inovies biogroup_labo</t>
  </si>
  <si>
    <t>d investissement de l entreprises étrangers fonds ces suscitent appétit</t>
  </si>
  <si>
    <t>think growth framework rapid inovies published post creating</t>
  </si>
  <si>
    <t>tweets useful inovies share welcome hope find</t>
  </si>
  <si>
    <t>#linkedin inovies love connect add here find</t>
  </si>
  <si>
    <t>happy connect successlake great monday recent dinesh_vetal inovies follow thanks</t>
  </si>
  <si>
    <t>inovies #standbypvsunilkumarips</t>
  </si>
  <si>
    <t>inovies via ubuntu 'open' gerg smartphone</t>
  </si>
  <si>
    <t>inovies thanks great following day hey make</t>
  </si>
  <si>
    <t>inovies #inovies #itexcellenceaward #indywood #indywood_it_excellence_award excellence marketing #digitalmarketing digital development</t>
  </si>
  <si>
    <t>here following via pre inovies pronounce register thanks hi</t>
  </si>
  <si>
    <t>tobimapsoffice top thanks followers new inovies crimebooks01 week connect happy</t>
  </si>
  <si>
    <t>rankvisibility new top week engaged being skotwaldron inovies thanks</t>
  </si>
  <si>
    <t>thanks following more inovies know bit hey</t>
  </si>
  <si>
    <t>business account inovies go manage added twitter</t>
  </si>
  <si>
    <t>inovies return lunch followers ago days tweet never 747 92</t>
  </si>
  <si>
    <t>#webdesign new inovies inspiration design web w3webdesign_in welkin best</t>
  </si>
  <si>
    <t>great feels via more inovies followed out here find</t>
  </si>
  <si>
    <t>#goodfirms reliability factor #reviews inovies client #mobileappdevelopment ability amp goodfirms</t>
  </si>
  <si>
    <t>embrace development digital #manthan festival annual presence inovies dec1 9th</t>
  </si>
  <si>
    <t>marketing hacker growth via one #forum inovies become #nodebb customerthink</t>
  </si>
  <si>
    <t>creditcarddl pnburrows inovies community happy</t>
  </si>
  <si>
    <t>up whats interest truthfully following element undoubtedly thank share y</t>
  </si>
  <si>
    <t>awesome inovies appreciate tftf</t>
  </si>
  <si>
    <t>follow inovies pure_banners finreluk cameronfirefish thank #fridayfeeling crystalprosky t0nyh0ran</t>
  </si>
  <si>
    <t>follow inovies thank</t>
  </si>
  <si>
    <t>inovies #standwithpvsunilkumarips</t>
  </si>
  <si>
    <t>joined following inovies g community thank</t>
  </si>
  <si>
    <t>guys awwwards' feedback saw recent inovies website amp hi love</t>
  </si>
  <si>
    <t>#love #mindfulness #selfhealing #life see inovies tftf leaf #understanding tree</t>
  </si>
  <si>
    <t>inovies hi successmethod_ community monroeconsult happy</t>
  </si>
  <si>
    <t>#free images #webdesign via inovies #images website #website websites 10</t>
  </si>
  <si>
    <t>want online success webinar ads burning achieve without learn inovies</t>
  </si>
  <si>
    <t>new followers top week being inovies thanks av_tms great share</t>
  </si>
  <si>
    <t>topdevelopersco select sunarc_tech softwaredevin phoenix_bizz thank top #uiuxdesigningagencies ripenappstech much</t>
  </si>
  <si>
    <t>straightnorth gexton digivate dashtwo thank ethanewebtech perfect_search inovies topdevelopersco digitlresource</t>
  </si>
  <si>
    <t>inovies hi</t>
  </si>
  <si>
    <t>vuelta le via fb por inovies fanpage sigo gracias de</t>
  </si>
  <si>
    <t>via inovies nice</t>
  </si>
  <si>
    <t>follow inovies thank hey</t>
  </si>
  <si>
    <t>marketing top customerthink via inovies missed trends #article 2k18</t>
  </si>
  <si>
    <t>business design minipea web fmidesign via stories inovies out daily</t>
  </si>
  <si>
    <t>happy inspiredlywrit ipfconline1 connect johngow inovies swiftymorgan jeremyscrivens follow smokingchili</t>
  </si>
  <si>
    <t>web analyze data inovies traffic out know check make</t>
  </si>
  <si>
    <t>19 #webguruawards inovies #may #client #winners #customized #19may2018 2018 #competitors</t>
  </si>
  <si>
    <t>marketing #growthhacker via one inovies become customerthink</t>
  </si>
  <si>
    <t>want happy connect great saturday recent inovies follow thanks bskhod</t>
  </si>
  <si>
    <t>#corporate #hyderabad #tcpl grab #tv5 nandi_tyres free tcpl rsmgears #hoteljubilleridge</t>
  </si>
  <si>
    <t>dev inovies sir amp web design drive people better ways</t>
  </si>
  <si>
    <t>#appdevelopment #appdevelopers top nichetechsol square63 companies #appdevelopmentcompanies digitbazar #appdevelopmentagencies #uiuxdesign</t>
  </si>
  <si>
    <t>via ubuntu 'open' gerg smartphone inovies</t>
  </si>
  <si>
    <t>design web w3webdesign_in welkin best #webdesign new inovies inspiration</t>
  </si>
  <si>
    <t>great share pennylanevideos tonycompton #happymonday love new followers top week</t>
  </si>
  <si>
    <t>#may #client #winners #customized #19may2018 2018 #competitors #global amp #19may2019</t>
  </si>
  <si>
    <t>followupthen,unlimited  inovies,start  start,using  free,plan  unlimited,free  using,followupthen</t>
  </si>
  <si>
    <t>simple,ways  ways,drive  web,design  quality,leads  10,simple  better,quality  leads,website  drive,better  games,9  inovies,made</t>
  </si>
  <si>
    <t>#digitalmarketing,#consulting  see,more  #company,#hyderabad  #hyderabad,#inovies  best,digital  digital,marketing  marketing,consulting  co,sbowsme9zn  sbowsme9zn,#best  inovies,see</t>
  </si>
  <si>
    <t>#company,#in  #conversion,#rate  #webdesign,#webdevelopment  hyderabad,india  #ppc,#conversion  #optz,#best  #best,#company  ppc,conversion  see,more  conversion,rate</t>
  </si>
  <si>
    <t>#standbypvsunilkumarips,#standbypvsunilkumarips  #standbypvsunilkumarips,#standbypvsunilkumarip  inovies,#standbypvsunilkumarips  rspraveenswaero,inovies  #standbypvsunilkumarip,#standbypvsunilkumarips</t>
  </si>
  <si>
    <t>#consulting,#company  t,co  best,digital  more,gt  rt,best  see,more  digital,marketing  #digitalmarketing,#consulting  #inovies,#s  inovies,see</t>
  </si>
  <si>
    <t>inovies,eaglaboratories  biogroup_labo,inovies  raison,gabrielattal  point,il  à,fait  cerballiance,biogroup_labo  sur,ce  tout,à  fait,raison  il,tout</t>
  </si>
  <si>
    <t>even,knowing  already,without  much,money  loose,already  without,even  money,loose  inovies,much</t>
  </si>
  <si>
    <t>nethues,navaratantech  development,#companies  inovies,nethues  here,#list  india,here  app,development  top,#mobileapp  development,companies  #hyderabad,india  looking,#top</t>
  </si>
  <si>
    <t>clients,though  inovies,few  few,guessing  guessing,clients</t>
  </si>
  <si>
    <t>kirubu,com  com,send  blank,email  more,detailed  send,blank  inovies,send  info,kirubu  send,more  detailed,description  email,info</t>
  </si>
  <si>
    <t>designs,etc  best,colleges  design,app  design,responsive  app,designs  page,design  web,application  colleges,hyderabad  inovies,best  application,design</t>
  </si>
  <si>
    <t>via,inovies  strategies,via  building,strategies  seo,brand  think,effectively  optimise,leadership  marketing,optimise  leadership,145  brand,building  145,think</t>
  </si>
  <si>
    <t>via,customerthink  building,strategies  seo,brand  strategies,inovies  think,effectively  inovies,via  brand,building  effectively,seo</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</si>
  <si>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</si>
  <si>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</si>
  <si>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inovies,digitbazar  #appdevelopers,#appdevelopmentcompanies  digitbazar,square63  #seoagencies,#searchengineoptimizationservices  ma5mmpfxwm,#seocompanies  cost,effective  square63,#appdevelopers  #seocompanies,#seoagencies  sunarc_tech,#uiuxdesigners  gexton,ethanewebtech</t>
  </si>
  <si>
    <t>biogroup_labo,inovies  inovies,labobiopyrenees</t>
  </si>
  <si>
    <t>d,investissement  de,fonds  entreprises,suscitent  appétit,de  ces,entreprises  investissement,étrangers  l,appétit  fonds,d  suscitent,l</t>
  </si>
  <si>
    <t>growth,think  published,post  framework,rapid  creating,framework  inovies,published  rapid,growth  post,creating</t>
  </si>
  <si>
    <t>hope,find  inovies,welcome  tweets,share  find,tweets  share,useful  welcome,hope</t>
  </si>
  <si>
    <t>add,find  connect,#linkedin  #linkedin,add  find,here  love,connect  inovies,love</t>
  </si>
  <si>
    <t>follow,dinesh_vetal  great,monday  inovies,happy  successlake,inovies  dinesh_vetal,successlake  recent,follow  happy,connect  thanks,recent  connect,great</t>
  </si>
  <si>
    <t>inovies,#standbypvsunilkumarips</t>
  </si>
  <si>
    <t>inovies,gerg  smartphone,'open'  via,inovies  ubuntu,smartphone  'open',via</t>
  </si>
  <si>
    <t>hey,inovies  following,make  inovies,thanks  make,great  day,inovies  thanks,following  great,day</t>
  </si>
  <si>
    <t>#itexcellenceaward,#inovies  marketing,#indywood  development,digital  awarded,#indywood_it_excellence_award  congratulations,inovies  pvt,ltd  digital,marketing  being,awarded  #webdevelopment,#digitalmarketing  #inovies,#webdevelopment</t>
  </si>
  <si>
    <t>register,pronounce  here,via  pronounce,here  following,pre  inovies,thanks  pre,register  thanks,following  hi,inovies</t>
  </si>
  <si>
    <t>top,new  crimebooks01,tobimapsoffice  week,crimebooks01  inovies,happy  followers,week  tobimapsoffice,inovies  happy,connect  new,followers  thanks,top</t>
  </si>
  <si>
    <t>inovies,skotwaldron  skotwaldron,thanks  engaged,week  rankvisibility,inovies  being,new  thanks,being  new,top  top,engaged</t>
  </si>
  <si>
    <t>inovies,hey  following,know  hey,thanks  thanks,following  bit,more  know,bit</t>
  </si>
  <si>
    <t>added,twitter  manage,account  business,manage  inovies,added  twitter,business  account,go</t>
  </si>
  <si>
    <t>guy,go  92,days  days,ago  return,last  tweet,92  followers,twitter  inovies,747  inovies,inovies  go,lunch  twitter,guy</t>
  </si>
  <si>
    <t>#webdesign,inspiration  new,#webdesign  best,inovies  inovies,w3webdesign_in  design,inovies  inspiration,best  inspiration,welkin  web,design  welkin,web</t>
  </si>
  <si>
    <t>out,more  find,out  inovies,feels  great,followed  followed,find  feels,great  more,here  here,via</t>
  </si>
  <si>
    <t>#goodfirms,#reviews  goodfirms,#goodfirms  reliability,factor  #reviews,#mobileappdevelopment  amp,reliability  inovies,ability  factor,goodfirms  ability,amp  client,inovies</t>
  </si>
  <si>
    <t>digital,festival  9th,annual  presence,manthanaward  festival,development  annual,digital  manthanaward,dec1  embrace,presence  inovies,embrace  development,#manthan  dec1,9th</t>
  </si>
  <si>
    <t>hacker,marketing  growth,hacker  via,customerthink  one,growth  customerthink,#forum  become,one  #forum,#nodebb  marketing,inovies  inovies,via</t>
  </si>
  <si>
    <t>inovies,pnburrows  happy,community  creditcarddl,happy  pnburrows,creditcarddl</t>
  </si>
  <si>
    <t>following,truthfully  undoubtedly,interest  share,element  interest,y  element,undoubtedly  whats,up  allow,share  value,allow  thank,following  up,thank</t>
  </si>
  <si>
    <t>awesome,appreciate  inovies,tftf  tftf,awesome</t>
  </si>
  <si>
    <t>crystalprosky,#fridayfeeling  finreluk,inovies  inovies,crystalprosky  cameronfirefish,t0nyh0ran  pure_banners,finreluk  thank,follow  t0nyh0ran,pure_banners  follow,cameronfirefish</t>
  </si>
  <si>
    <t>thank,follow  inovies,thank</t>
  </si>
  <si>
    <t>inovies,#standwithpvsunilkumarips</t>
  </si>
  <si>
    <t>joined,g  g,community  inovies,thank  thank,following  following,joined</t>
  </si>
  <si>
    <t>amp,love  love,feedback  feedback,recent  awwwards',website  hi,saw  website,amp  recent,submission  guys,awwwards'  saw,guys  inovies,hi</t>
  </si>
  <si>
    <t>leaf,#selfhealing  tftf,inovies  tree,leaf  #mindfulness,#understanding  #understanding,#life  #selfhealing,#love  see,tree  #love,#mindfulness  inovies,see</t>
  </si>
  <si>
    <t>#digitalmarketing,#consulting  see,more  #company,#hyderabad  #hyderabad,#inovies  best,digital  digital,marketing  marketing,consulting  inovies,see  rt,best  #consulting,#company</t>
  </si>
  <si>
    <t>happy,community  monroeconsult,successmethod_  inovies,hi  hi,happy  successmethod_,inovies</t>
  </si>
  <si>
    <t>#images,website  #website,images  via,inovies  #free,images  inovies,#webdesign  images,#website  images,via  #free,#images  10,websites  websites,#free</t>
  </si>
  <si>
    <t>inovies,want  money,ads  online,success  want,learn  success,without  free,webinar  ads,free  burning,money  without,burning  learn,achieve</t>
  </si>
  <si>
    <t>new,followers  being,top  top,new  thanks,being  inovies,av_tms  followers,great  love,tonycompton  #happymonday,inovies  tonycompton,inovies  great,week</t>
  </si>
  <si>
    <t>promatics,softwaredevin  phoenix_bizz,promatics  select,evontech  a1future,ripenappstech  sunarc_tech,thank  ripenappstech,phoenix_bizz  topdevelopersco,select  much,topdevelopersco  top,#uiuxdesigningagencies  evontech,top</t>
  </si>
  <si>
    <t>ethanewebtech,thank  digitlresource,straightnorth  topdevelopersco,leveronline  digivate,digitlresource  gexton,ethanewebtech  perfect_search,gexton  dashtwo,inovies  inovies,digivate  straightnorth,perfect_search  leveronline,dashtwo</t>
  </si>
  <si>
    <t>hi,inovies</t>
  </si>
  <si>
    <t>rt,gracias  sigo,de  por,seguirme  seguirme,fb  de,vuelta  fanpage,via  le,sigo  vuelta,inovies  fb,fanpage  gracias,por</t>
  </si>
  <si>
    <t>nice,via  via,inovies</t>
  </si>
  <si>
    <t>hey,inovies  thank,follow  inovies,thank</t>
  </si>
  <si>
    <t>2k18,inovies  #article,top  marketing,trends  top,marketing  missed,2k18  trends,missed  via,customerthink  inovies,via</t>
  </si>
  <si>
    <t>daily,out  via,minipea  out,stories  web,design  stories,via  design,business  minipea,inovies  inovies,fmidesign  business,daily</t>
  </si>
  <si>
    <t>happy,connect  swiftymorgan,happy  inovies,inspiredlywrit  jeremyscrivens,johngow  smokingchili,jeremyscrivens  inspiredlywrit,smokingchili  ipfconline1,inovies  thanks,follow  follow,ipfconline1  johngow,swiftymorgan</t>
  </si>
  <si>
    <t>web,traffic  know,analyze  analyze,web  check,out  out,make  make,data  traffic,check  inovies,know</t>
  </si>
  <si>
    <t>#international,#global  #throwback,inovies  #development,#digital  month,19  inovies,india  #global,#statistics  check,previous  #19may2017,#19may2018  guru,day  web,design</t>
  </si>
  <si>
    <t>marketing,inovies  one,#growthhacker  become,one  via,customerthink  #growthhacker,marketing  inovies,via</t>
  </si>
  <si>
    <t>saturday,want  great,saturday  inovies,happy  bskhod,inovies  recent,follow  happy,connect  thanks,recent  connect,great  follow,bskhod</t>
  </si>
  <si>
    <t>#tv5,nandi_tyres  #telangana,grab  nandi_tyres,inovies  #eliteacademy,#hoteljubilleridge  rsmgears,thhyderabad  cricclubs,rsmgears  seasons,2  #cricket,#corporate  grab,free  #hyderabad,#telangana</t>
  </si>
  <si>
    <t>best,inovies  inovies,w3webdesign_in  design,inovies  inspiration,best  inspiration,welkin  web,design  welkin,web  #webdesign,inspiration  new,#webdesign</t>
  </si>
  <si>
    <t>followers,great  love,tonycompton  #happymonday,inovies  tonycompton,inovies  great,week  av_tms,pennylanevideos  pennylanevideos,thanks  share,love  av_tms,thanks  followers,week</t>
  </si>
  <si>
    <t>@Inovies</t>
  </si>
  <si>
    <t>The graph represents a network of 156 Twitter users whose recent tweets contained "@Inovies", or who were replied to, mentioned, retweeted or quoted in those tweets, taken from a data set limited to a maximum of 3,798 tweets, tweeted between 01-01-2009 00:00:00 and 09-12-2023 11:47:29.  The network was obtained from Twitter on Sunday, 10 December 2023 at 06:18 UTC.
The tweets in the network were tweeted over the 4185-day, 4-hour, 7-minute period from Monday, 25 June 2012 at 07:40 UTC to Sunday, 10 December 2023 at 11:48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</si>
  <si>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</si>
  <si>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Subgraph</t>
  </si>
  <si>
    <t>https://nodexlgraphgallery.org/Pages/Graph.aspx?graphID=294066</t>
  </si>
  <si>
    <t>https://nodexlgraphgallery.org/Images/Image.ashx?graphID=294066&amp;type=f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</si>
</sst>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7" xfId="28" applyFill="1" applyBorder="1" applyAlignment="1">
      <alignment/>
    </xf>
    <xf numFmtId="0" fontId="0" fillId="3" borderId="1" xfId="23" applyNumberFormat="1" applyFont="1"/>
    <xf numFmtId="0" fontId="0" fillId="2" borderId="1" xfId="20" applyNumberFormat="1" applyFont="1"/>
    <xf numFmtId="0" fontId="0" fillId="0" borderId="0" xfId="0" applyAlignment="1" quotePrefix="1">
      <alignment wrapText="1"/>
    </xf>
    <xf numFmtId="17" fontId="0" fillId="0" borderId="0" xfId="0" applyNumberFormat="1" applyAlignment="1">
      <alignment/>
    </xf>
    <xf numFmtId="0" fontId="0" fillId="0" borderId="0" xfId="22" applyFont="1" applyAlignment="1">
      <alignment/>
    </xf>
    <xf numFmtId="0" fontId="0" fillId="0" borderId="0" xfId="22" applyFont="1" applyAlignment="1">
      <alignment wrapTex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 fontId="0" fillId="0" borderId="0" xfId="0" applyNumberFormat="1" applyAlignment="1">
      <alignment/>
    </xf>
    <xf numFmtId="15" fontId="0" fillId="0" borderId="0" xfId="0" applyNumberFormat="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7">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6"/>
      <tableStyleElement type="headerRow" dxfId="405"/>
    </tableStyle>
    <tableStyle name="NodeXL Table" pivot="0" count="1">
      <tableStyleElement type="headerRow" dxfId="4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342071"/>
        <c:axId val="24207728"/>
      </c:barChart>
      <c:catAx>
        <c:axId val="62342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07728"/>
        <c:crosses val="autoZero"/>
        <c:auto val="1"/>
        <c:lblOffset val="100"/>
        <c:noMultiLvlLbl val="0"/>
      </c:catAx>
      <c:valAx>
        <c:axId val="242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542961"/>
        <c:axId val="14668922"/>
      </c:barChart>
      <c:catAx>
        <c:axId val="165429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68922"/>
        <c:crosses val="autoZero"/>
        <c:auto val="1"/>
        <c:lblOffset val="100"/>
        <c:noMultiLvlLbl val="0"/>
      </c:catAx>
      <c:valAx>
        <c:axId val="14668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911435"/>
        <c:axId val="47332004"/>
      </c:barChart>
      <c:catAx>
        <c:axId val="64911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332004"/>
        <c:crosses val="autoZero"/>
        <c:auto val="1"/>
        <c:lblOffset val="100"/>
        <c:noMultiLvlLbl val="0"/>
      </c:catAx>
      <c:valAx>
        <c:axId val="4733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11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334853"/>
        <c:axId val="8687086"/>
      </c:barChart>
      <c:catAx>
        <c:axId val="23334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87086"/>
        <c:crosses val="autoZero"/>
        <c:auto val="1"/>
        <c:lblOffset val="100"/>
        <c:noMultiLvlLbl val="0"/>
      </c:catAx>
      <c:valAx>
        <c:axId val="868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4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074911"/>
        <c:axId val="32565336"/>
      </c:barChart>
      <c:catAx>
        <c:axId val="11074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65336"/>
        <c:crosses val="autoZero"/>
        <c:auto val="1"/>
        <c:lblOffset val="100"/>
        <c:noMultiLvlLbl val="0"/>
      </c:catAx>
      <c:valAx>
        <c:axId val="3256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4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52569"/>
        <c:axId val="20546530"/>
      </c:barChart>
      <c:catAx>
        <c:axId val="24652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46530"/>
        <c:crosses val="autoZero"/>
        <c:auto val="1"/>
        <c:lblOffset val="100"/>
        <c:noMultiLvlLbl val="0"/>
      </c:catAx>
      <c:valAx>
        <c:axId val="20546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52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701043"/>
        <c:axId val="53656204"/>
      </c:barChart>
      <c:catAx>
        <c:axId val="507010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56204"/>
        <c:crosses val="autoZero"/>
        <c:auto val="1"/>
        <c:lblOffset val="100"/>
        <c:noMultiLvlLbl val="0"/>
      </c:catAx>
      <c:valAx>
        <c:axId val="53656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1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143789"/>
        <c:axId val="51185238"/>
      </c:barChart>
      <c:catAx>
        <c:axId val="13143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185238"/>
        <c:crosses val="autoZero"/>
        <c:auto val="1"/>
        <c:lblOffset val="100"/>
        <c:noMultiLvlLbl val="0"/>
      </c:catAx>
      <c:valAx>
        <c:axId val="5118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3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13959"/>
        <c:axId val="52363584"/>
      </c:barChart>
      <c:catAx>
        <c:axId val="58013959"/>
        <c:scaling>
          <c:orientation val="minMax"/>
        </c:scaling>
        <c:axPos val="b"/>
        <c:delete val="1"/>
        <c:majorTickMark val="out"/>
        <c:minorTickMark val="none"/>
        <c:tickLblPos val="none"/>
        <c:crossAx val="52363584"/>
        <c:crosses val="autoZero"/>
        <c:auto val="1"/>
        <c:lblOffset val="100"/>
        <c:noMultiLvlLbl val="0"/>
      </c:catAx>
      <c:valAx>
        <c:axId val="52363584"/>
        <c:scaling>
          <c:orientation val="minMax"/>
        </c:scaling>
        <c:axPos val="l"/>
        <c:delete val="1"/>
        <c:majorTickMark val="out"/>
        <c:minorTickMark val="none"/>
        <c:tickLblPos val="none"/>
        <c:crossAx val="580139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followupth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inovi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sumanth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jameslbrower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suryakotian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narenadarswaer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rspraveenswaer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dbmwebmarketi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garcias_jmiche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eaglaboratori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cerballianc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gabrielatt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lc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agind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biogroup_lab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bullrushap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develop4u_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thecolourmo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switchsof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tvis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navaratantec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nethu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missionambedk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sfi_arju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bedasampat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mnaveenss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maddiletibanda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pv_sunil_kum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nithin_buss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amarbyaga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byles_digita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bhatticl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revanth_anumul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upskillyourlif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aadeshraw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codie_sanch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joshqharri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linked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shellypalm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yourstoryc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payp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eenadu"/>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pinteres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hydcitypoli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quiffbo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oviedoj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mashabl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development_we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farooqdesign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martintenvoord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bob_thomps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customerth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allifrye12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ethanewebte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perfect_sear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13" name="Subgraph-straightnort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15" name="Subgraph-digitlresour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17" name="Subgraph-digivat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19" name="Subgraph-dashtw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21" name="Subgraph-leveronli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123" name="Subgraph-topdevelopersc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125" name="Subgraph-lauriecis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127" name="Subgraph-labobiopyrene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129" name="Subgraph-altereco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131" name="Subgraph-growthmktco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133" name="Subgraph-slidesourc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135" name="Subgraph-artworksbyshan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137" name="Subgraph-gvala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139" name="Subgraph-successlak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141" name="Subgraph-chandra_sekha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143" name="Subgraph-rameshdudal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145" name="Subgraph-aim_pvs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147" name="Subgraph-coopsgreentea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149" name="Subgraph-indywoodif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151" name="Subgraph-procharity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153" name="Subgraph-codeitwrigh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155" name="Subgraph-jetrubyagenc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157" name="Subgraph-skotwaldr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3604200"/>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159" name="Subgraph-rankvisibilit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032825"/>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161" name="Subgraph-redbookfilm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4461450"/>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163" name="Subgraph-twib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4890075"/>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165" name="Subgraph-twitpulse_i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5318700"/>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167" name="Subgraph-cssnecta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5747325"/>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169" name="Subgraph-w3webdesign_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175950"/>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171" name="Subgraph-kalungigrou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6604575"/>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173" name="Subgraph-goodfirm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7033200"/>
          <a:ext cx="571500" cy="381000"/>
        </a:xfrm>
        <a:prstGeom prst="rect">
          <a:avLst/>
        </a:prstGeom>
        <a:ln>
          <a:noFill/>
        </a:ln>
      </xdr:spPr>
    </xdr:pic>
    <xdr:clientData/>
  </xdr:twoCellAnchor>
  <xdr:twoCellAnchor editAs="oneCell">
    <xdr:from>
      <xdr:col>1</xdr:col>
      <xdr:colOff>28575</xdr:colOff>
      <xdr:row>88</xdr:row>
      <xdr:rowOff>28575</xdr:rowOff>
    </xdr:from>
    <xdr:to>
      <xdr:col>1</xdr:col>
      <xdr:colOff>600075</xdr:colOff>
      <xdr:row>88</xdr:row>
      <xdr:rowOff>409575</xdr:rowOff>
    </xdr:to>
    <xdr:pic>
      <xdr:nvPicPr>
        <xdr:cNvPr id="175" name="Subgraph-defindi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7461825"/>
          <a:ext cx="571500" cy="381000"/>
        </a:xfrm>
        <a:prstGeom prst="rect">
          <a:avLst/>
        </a:prstGeom>
        <a:ln>
          <a:noFill/>
        </a:ln>
      </xdr:spPr>
    </xdr:pic>
    <xdr:clientData/>
  </xdr:twoCellAnchor>
  <xdr:twoCellAnchor editAs="oneCell">
    <xdr:from>
      <xdr:col>1</xdr:col>
      <xdr:colOff>28575</xdr:colOff>
      <xdr:row>89</xdr:row>
      <xdr:rowOff>28575</xdr:rowOff>
    </xdr:from>
    <xdr:to>
      <xdr:col>1</xdr:col>
      <xdr:colOff>600075</xdr:colOff>
      <xdr:row>89</xdr:row>
      <xdr:rowOff>409575</xdr:rowOff>
    </xdr:to>
    <xdr:pic>
      <xdr:nvPicPr>
        <xdr:cNvPr id="177" name="Subgraph-manthanawar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7890450"/>
          <a:ext cx="571500" cy="381000"/>
        </a:xfrm>
        <a:prstGeom prst="rect">
          <a:avLst/>
        </a:prstGeom>
        <a:ln>
          <a:noFill/>
        </a:ln>
      </xdr:spPr>
    </xdr:pic>
    <xdr:clientData/>
  </xdr:twoCellAnchor>
  <xdr:twoCellAnchor editAs="oneCell">
    <xdr:from>
      <xdr:col>1</xdr:col>
      <xdr:colOff>28575</xdr:colOff>
      <xdr:row>90</xdr:row>
      <xdr:rowOff>28575</xdr:rowOff>
    </xdr:from>
    <xdr:to>
      <xdr:col>1</xdr:col>
      <xdr:colOff>600075</xdr:colOff>
      <xdr:row>90</xdr:row>
      <xdr:rowOff>409575</xdr:rowOff>
    </xdr:to>
    <xdr:pic>
      <xdr:nvPicPr>
        <xdr:cNvPr id="179" name="Subgraph-nodebb"/>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319075"/>
          <a:ext cx="571500" cy="381000"/>
        </a:xfrm>
        <a:prstGeom prst="rect">
          <a:avLst/>
        </a:prstGeom>
        <a:ln>
          <a:noFill/>
        </a:ln>
      </xdr:spPr>
    </xdr:pic>
    <xdr:clientData/>
  </xdr:twoCellAnchor>
  <xdr:twoCellAnchor editAs="oneCell">
    <xdr:from>
      <xdr:col>1</xdr:col>
      <xdr:colOff>28575</xdr:colOff>
      <xdr:row>91</xdr:row>
      <xdr:rowOff>28575</xdr:rowOff>
    </xdr:from>
    <xdr:to>
      <xdr:col>1</xdr:col>
      <xdr:colOff>600075</xdr:colOff>
      <xdr:row>91</xdr:row>
      <xdr:rowOff>409575</xdr:rowOff>
    </xdr:to>
    <xdr:pic>
      <xdr:nvPicPr>
        <xdr:cNvPr id="181" name="Subgraph-wiergeez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8747700"/>
          <a:ext cx="571500" cy="381000"/>
        </a:xfrm>
        <a:prstGeom prst="rect">
          <a:avLst/>
        </a:prstGeom>
        <a:ln>
          <a:noFill/>
        </a:ln>
      </xdr:spPr>
    </xdr:pic>
    <xdr:clientData/>
  </xdr:twoCellAnchor>
  <xdr:twoCellAnchor editAs="oneCell">
    <xdr:from>
      <xdr:col>1</xdr:col>
      <xdr:colOff>28575</xdr:colOff>
      <xdr:row>92</xdr:row>
      <xdr:rowOff>28575</xdr:rowOff>
    </xdr:from>
    <xdr:to>
      <xdr:col>1</xdr:col>
      <xdr:colOff>600075</xdr:colOff>
      <xdr:row>92</xdr:row>
      <xdr:rowOff>409575</xdr:rowOff>
    </xdr:to>
    <xdr:pic>
      <xdr:nvPicPr>
        <xdr:cNvPr id="183" name="Subgraph-pnburrow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9176325"/>
          <a:ext cx="571500" cy="381000"/>
        </a:xfrm>
        <a:prstGeom prst="rect">
          <a:avLst/>
        </a:prstGeom>
        <a:ln>
          <a:noFill/>
        </a:ln>
      </xdr:spPr>
    </xdr:pic>
    <xdr:clientData/>
  </xdr:twoCellAnchor>
  <xdr:twoCellAnchor editAs="oneCell">
    <xdr:from>
      <xdr:col>1</xdr:col>
      <xdr:colOff>28575</xdr:colOff>
      <xdr:row>93</xdr:row>
      <xdr:rowOff>28575</xdr:rowOff>
    </xdr:from>
    <xdr:to>
      <xdr:col>1</xdr:col>
      <xdr:colOff>600075</xdr:colOff>
      <xdr:row>93</xdr:row>
      <xdr:rowOff>409575</xdr:rowOff>
    </xdr:to>
    <xdr:pic>
      <xdr:nvPicPr>
        <xdr:cNvPr id="185" name="Subgraph-shanebruw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604950"/>
          <a:ext cx="571500" cy="381000"/>
        </a:xfrm>
        <a:prstGeom prst="rect">
          <a:avLst/>
        </a:prstGeom>
        <a:ln>
          <a:noFill/>
        </a:ln>
      </xdr:spPr>
    </xdr:pic>
    <xdr:clientData/>
  </xdr:twoCellAnchor>
  <xdr:twoCellAnchor editAs="oneCell">
    <xdr:from>
      <xdr:col>1</xdr:col>
      <xdr:colOff>28575</xdr:colOff>
      <xdr:row>94</xdr:row>
      <xdr:rowOff>28575</xdr:rowOff>
    </xdr:from>
    <xdr:to>
      <xdr:col>1</xdr:col>
      <xdr:colOff>600075</xdr:colOff>
      <xdr:row>94</xdr:row>
      <xdr:rowOff>409575</xdr:rowOff>
    </xdr:to>
    <xdr:pic>
      <xdr:nvPicPr>
        <xdr:cNvPr id="187" name="Subgraph-net_comm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033575"/>
          <a:ext cx="571500" cy="381000"/>
        </a:xfrm>
        <a:prstGeom prst="rect">
          <a:avLst/>
        </a:prstGeom>
        <a:ln>
          <a:noFill/>
        </a:ln>
      </xdr:spPr>
    </xdr:pic>
    <xdr:clientData/>
  </xdr:twoCellAnchor>
  <xdr:twoCellAnchor editAs="oneCell">
    <xdr:from>
      <xdr:col>1</xdr:col>
      <xdr:colOff>28575</xdr:colOff>
      <xdr:row>95</xdr:row>
      <xdr:rowOff>28575</xdr:rowOff>
    </xdr:from>
    <xdr:to>
      <xdr:col>1</xdr:col>
      <xdr:colOff>600075</xdr:colOff>
      <xdr:row>95</xdr:row>
      <xdr:rowOff>409575</xdr:rowOff>
    </xdr:to>
    <xdr:pic>
      <xdr:nvPicPr>
        <xdr:cNvPr id="189" name="Subgraph-1stchoicere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0462200"/>
          <a:ext cx="571500" cy="381000"/>
        </a:xfrm>
        <a:prstGeom prst="rect">
          <a:avLst/>
        </a:prstGeom>
        <a:ln>
          <a:noFill/>
        </a:ln>
      </xdr:spPr>
    </xdr:pic>
    <xdr:clientData/>
  </xdr:twoCellAnchor>
  <xdr:twoCellAnchor editAs="oneCell">
    <xdr:from>
      <xdr:col>1</xdr:col>
      <xdr:colOff>28575</xdr:colOff>
      <xdr:row>96</xdr:row>
      <xdr:rowOff>28575</xdr:rowOff>
    </xdr:from>
    <xdr:to>
      <xdr:col>1</xdr:col>
      <xdr:colOff>600075</xdr:colOff>
      <xdr:row>96</xdr:row>
      <xdr:rowOff>409575</xdr:rowOff>
    </xdr:to>
    <xdr:pic>
      <xdr:nvPicPr>
        <xdr:cNvPr id="191" name="Subgraph-finrelu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0890825"/>
          <a:ext cx="571500" cy="381000"/>
        </a:xfrm>
        <a:prstGeom prst="rect">
          <a:avLst/>
        </a:prstGeom>
        <a:ln>
          <a:noFill/>
        </a:ln>
      </xdr:spPr>
    </xdr:pic>
    <xdr:clientData/>
  </xdr:twoCellAnchor>
  <xdr:twoCellAnchor editAs="oneCell">
    <xdr:from>
      <xdr:col>1</xdr:col>
      <xdr:colOff>28575</xdr:colOff>
      <xdr:row>97</xdr:row>
      <xdr:rowOff>28575</xdr:rowOff>
    </xdr:from>
    <xdr:to>
      <xdr:col>1</xdr:col>
      <xdr:colOff>600075</xdr:colOff>
      <xdr:row>97</xdr:row>
      <xdr:rowOff>409575</xdr:rowOff>
    </xdr:to>
    <xdr:pic>
      <xdr:nvPicPr>
        <xdr:cNvPr id="193" name="Subgraph-t0nyh0r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1319450"/>
          <a:ext cx="571500" cy="381000"/>
        </a:xfrm>
        <a:prstGeom prst="rect">
          <a:avLst/>
        </a:prstGeom>
        <a:ln>
          <a:noFill/>
        </a:ln>
      </xdr:spPr>
    </xdr:pic>
    <xdr:clientData/>
  </xdr:twoCellAnchor>
  <xdr:twoCellAnchor editAs="oneCell">
    <xdr:from>
      <xdr:col>1</xdr:col>
      <xdr:colOff>28575</xdr:colOff>
      <xdr:row>98</xdr:row>
      <xdr:rowOff>28575</xdr:rowOff>
    </xdr:from>
    <xdr:to>
      <xdr:col>1</xdr:col>
      <xdr:colOff>600075</xdr:colOff>
      <xdr:row>98</xdr:row>
      <xdr:rowOff>409575</xdr:rowOff>
    </xdr:to>
    <xdr:pic>
      <xdr:nvPicPr>
        <xdr:cNvPr id="195" name="Subgraph-laura_logi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748075"/>
          <a:ext cx="571500" cy="381000"/>
        </a:xfrm>
        <a:prstGeom prst="rect">
          <a:avLst/>
        </a:prstGeom>
        <a:ln>
          <a:noFill/>
        </a:ln>
      </xdr:spPr>
    </xdr:pic>
    <xdr:clientData/>
  </xdr:twoCellAnchor>
  <xdr:twoCellAnchor editAs="oneCell">
    <xdr:from>
      <xdr:col>1</xdr:col>
      <xdr:colOff>28575</xdr:colOff>
      <xdr:row>99</xdr:row>
      <xdr:rowOff>28575</xdr:rowOff>
    </xdr:from>
    <xdr:to>
      <xdr:col>1</xdr:col>
      <xdr:colOff>600075</xdr:colOff>
      <xdr:row>99</xdr:row>
      <xdr:rowOff>409575</xdr:rowOff>
    </xdr:to>
    <xdr:pic>
      <xdr:nvPicPr>
        <xdr:cNvPr id="197" name="Subgraph-azahar_shai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76700"/>
          <a:ext cx="571500" cy="381000"/>
        </a:xfrm>
        <a:prstGeom prst="rect">
          <a:avLst/>
        </a:prstGeom>
        <a:ln>
          <a:noFill/>
        </a:ln>
      </xdr:spPr>
    </xdr:pic>
    <xdr:clientData/>
  </xdr:twoCellAnchor>
  <xdr:twoCellAnchor editAs="oneCell">
    <xdr:from>
      <xdr:col>1</xdr:col>
      <xdr:colOff>28575</xdr:colOff>
      <xdr:row>100</xdr:row>
      <xdr:rowOff>28575</xdr:rowOff>
    </xdr:from>
    <xdr:to>
      <xdr:col>1</xdr:col>
      <xdr:colOff>600075</xdr:colOff>
      <xdr:row>100</xdr:row>
      <xdr:rowOff>409575</xdr:rowOff>
    </xdr:to>
    <xdr:pic>
      <xdr:nvPicPr>
        <xdr:cNvPr id="199" name="Subgraph-peopleperho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05325"/>
          <a:ext cx="571500" cy="381000"/>
        </a:xfrm>
        <a:prstGeom prst="rect">
          <a:avLst/>
        </a:prstGeom>
        <a:ln>
          <a:noFill/>
        </a:ln>
      </xdr:spPr>
    </xdr:pic>
    <xdr:clientData/>
  </xdr:twoCellAnchor>
  <xdr:twoCellAnchor editAs="oneCell">
    <xdr:from>
      <xdr:col>1</xdr:col>
      <xdr:colOff>28575</xdr:colOff>
      <xdr:row>101</xdr:row>
      <xdr:rowOff>28575</xdr:rowOff>
    </xdr:from>
    <xdr:to>
      <xdr:col>1</xdr:col>
      <xdr:colOff>600075</xdr:colOff>
      <xdr:row>101</xdr:row>
      <xdr:rowOff>409575</xdr:rowOff>
    </xdr:to>
    <xdr:pic>
      <xdr:nvPicPr>
        <xdr:cNvPr id="201" name="Subgraph-iistef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571500" cy="381000"/>
        </a:xfrm>
        <a:prstGeom prst="rect">
          <a:avLst/>
        </a:prstGeom>
        <a:ln>
          <a:noFill/>
        </a:ln>
      </xdr:spPr>
    </xdr:pic>
    <xdr:clientData/>
  </xdr:twoCellAnchor>
  <xdr:twoCellAnchor editAs="oneCell">
    <xdr:from>
      <xdr:col>1</xdr:col>
      <xdr:colOff>28575</xdr:colOff>
      <xdr:row>102</xdr:row>
      <xdr:rowOff>28575</xdr:rowOff>
    </xdr:from>
    <xdr:to>
      <xdr:col>1</xdr:col>
      <xdr:colOff>600075</xdr:colOff>
      <xdr:row>102</xdr:row>
      <xdr:rowOff>409575</xdr:rowOff>
    </xdr:to>
    <xdr:pic>
      <xdr:nvPicPr>
        <xdr:cNvPr id="203" name="Subgraph-willowassis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3462575"/>
          <a:ext cx="571500" cy="381000"/>
        </a:xfrm>
        <a:prstGeom prst="rect">
          <a:avLst/>
        </a:prstGeom>
        <a:ln>
          <a:noFill/>
        </a:ln>
      </xdr:spPr>
    </xdr:pic>
    <xdr:clientData/>
  </xdr:twoCellAnchor>
  <xdr:twoCellAnchor editAs="oneCell">
    <xdr:from>
      <xdr:col>1</xdr:col>
      <xdr:colOff>28575</xdr:colOff>
      <xdr:row>103</xdr:row>
      <xdr:rowOff>28575</xdr:rowOff>
    </xdr:from>
    <xdr:to>
      <xdr:col>1</xdr:col>
      <xdr:colOff>600075</xdr:colOff>
      <xdr:row>103</xdr:row>
      <xdr:rowOff>409575</xdr:rowOff>
    </xdr:to>
    <xdr:pic>
      <xdr:nvPicPr>
        <xdr:cNvPr id="205" name="Subgraph-mehkaadam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3891200"/>
          <a:ext cx="571500" cy="381000"/>
        </a:xfrm>
        <a:prstGeom prst="rect">
          <a:avLst/>
        </a:prstGeom>
        <a:ln>
          <a:noFill/>
        </a:ln>
      </xdr:spPr>
    </xdr:pic>
    <xdr:clientData/>
  </xdr:twoCellAnchor>
  <xdr:twoCellAnchor editAs="oneCell">
    <xdr:from>
      <xdr:col>1</xdr:col>
      <xdr:colOff>28575</xdr:colOff>
      <xdr:row>104</xdr:row>
      <xdr:rowOff>28575</xdr:rowOff>
    </xdr:from>
    <xdr:to>
      <xdr:col>1</xdr:col>
      <xdr:colOff>600075</xdr:colOff>
      <xdr:row>104</xdr:row>
      <xdr:rowOff>409575</xdr:rowOff>
    </xdr:to>
    <xdr:pic>
      <xdr:nvPicPr>
        <xdr:cNvPr id="207" name="Subgraph-carolinebombar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4319825"/>
          <a:ext cx="571500" cy="381000"/>
        </a:xfrm>
        <a:prstGeom prst="rect">
          <a:avLst/>
        </a:prstGeom>
        <a:ln>
          <a:noFill/>
        </a:ln>
      </xdr:spPr>
    </xdr:pic>
    <xdr:clientData/>
  </xdr:twoCellAnchor>
  <xdr:twoCellAnchor editAs="oneCell">
    <xdr:from>
      <xdr:col>1</xdr:col>
      <xdr:colOff>28575</xdr:colOff>
      <xdr:row>105</xdr:row>
      <xdr:rowOff>28575</xdr:rowOff>
    </xdr:from>
    <xdr:to>
      <xdr:col>1</xdr:col>
      <xdr:colOff>600075</xdr:colOff>
      <xdr:row>105</xdr:row>
      <xdr:rowOff>409575</xdr:rowOff>
    </xdr:to>
    <xdr:pic>
      <xdr:nvPicPr>
        <xdr:cNvPr id="209" name="Subgraph-monroeconsul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748450"/>
          <a:ext cx="571500" cy="381000"/>
        </a:xfrm>
        <a:prstGeom prst="rect">
          <a:avLst/>
        </a:prstGeom>
        <a:ln>
          <a:noFill/>
        </a:ln>
      </xdr:spPr>
    </xdr:pic>
    <xdr:clientData/>
  </xdr:twoCellAnchor>
  <xdr:twoCellAnchor editAs="oneCell">
    <xdr:from>
      <xdr:col>1</xdr:col>
      <xdr:colOff>28575</xdr:colOff>
      <xdr:row>106</xdr:row>
      <xdr:rowOff>28575</xdr:rowOff>
    </xdr:from>
    <xdr:to>
      <xdr:col>1</xdr:col>
      <xdr:colOff>600075</xdr:colOff>
      <xdr:row>106</xdr:row>
      <xdr:rowOff>409575</xdr:rowOff>
    </xdr:to>
    <xdr:pic>
      <xdr:nvPicPr>
        <xdr:cNvPr id="211" name="Subgraph-mfcnov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177075"/>
          <a:ext cx="571500" cy="381000"/>
        </a:xfrm>
        <a:prstGeom prst="rect">
          <a:avLst/>
        </a:prstGeom>
        <a:ln>
          <a:noFill/>
        </a:ln>
      </xdr:spPr>
    </xdr:pic>
    <xdr:clientData/>
  </xdr:twoCellAnchor>
  <xdr:twoCellAnchor editAs="oneCell">
    <xdr:from>
      <xdr:col>1</xdr:col>
      <xdr:colOff>28575</xdr:colOff>
      <xdr:row>107</xdr:row>
      <xdr:rowOff>28575</xdr:rowOff>
    </xdr:from>
    <xdr:to>
      <xdr:col>1</xdr:col>
      <xdr:colOff>600075</xdr:colOff>
      <xdr:row>107</xdr:row>
      <xdr:rowOff>409575</xdr:rowOff>
    </xdr:to>
    <xdr:pic>
      <xdr:nvPicPr>
        <xdr:cNvPr id="213" name="Subgraph-tsm_b2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605700"/>
          <a:ext cx="571500" cy="381000"/>
        </a:xfrm>
        <a:prstGeom prst="rect">
          <a:avLst/>
        </a:prstGeom>
        <a:ln>
          <a:noFill/>
        </a:ln>
      </xdr:spPr>
    </xdr:pic>
    <xdr:clientData/>
  </xdr:twoCellAnchor>
  <xdr:twoCellAnchor editAs="oneCell">
    <xdr:from>
      <xdr:col>1</xdr:col>
      <xdr:colOff>28575</xdr:colOff>
      <xdr:row>108</xdr:row>
      <xdr:rowOff>28575</xdr:rowOff>
    </xdr:from>
    <xdr:to>
      <xdr:col>1</xdr:col>
      <xdr:colOff>600075</xdr:colOff>
      <xdr:row>108</xdr:row>
      <xdr:rowOff>409575</xdr:rowOff>
    </xdr:to>
    <xdr:pic>
      <xdr:nvPicPr>
        <xdr:cNvPr id="215" name="Subgraph-brainleafi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6034325"/>
          <a:ext cx="571500" cy="381000"/>
        </a:xfrm>
        <a:prstGeom prst="rect">
          <a:avLst/>
        </a:prstGeom>
        <a:ln>
          <a:noFill/>
        </a:ln>
      </xdr:spPr>
    </xdr:pic>
    <xdr:clientData/>
  </xdr:twoCellAnchor>
  <xdr:twoCellAnchor editAs="oneCell">
    <xdr:from>
      <xdr:col>1</xdr:col>
      <xdr:colOff>28575</xdr:colOff>
      <xdr:row>109</xdr:row>
      <xdr:rowOff>28575</xdr:rowOff>
    </xdr:from>
    <xdr:to>
      <xdr:col>1</xdr:col>
      <xdr:colOff>600075</xdr:colOff>
      <xdr:row>109</xdr:row>
      <xdr:rowOff>409575</xdr:rowOff>
    </xdr:to>
    <xdr:pic>
      <xdr:nvPicPr>
        <xdr:cNvPr id="217" name="Subgraph-tonycompt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6462950"/>
          <a:ext cx="571500" cy="381000"/>
        </a:xfrm>
        <a:prstGeom prst="rect">
          <a:avLst/>
        </a:prstGeom>
        <a:ln>
          <a:noFill/>
        </a:ln>
      </xdr:spPr>
    </xdr:pic>
    <xdr:clientData/>
  </xdr:twoCellAnchor>
  <xdr:twoCellAnchor editAs="oneCell">
    <xdr:from>
      <xdr:col>1</xdr:col>
      <xdr:colOff>28575</xdr:colOff>
      <xdr:row>110</xdr:row>
      <xdr:rowOff>28575</xdr:rowOff>
    </xdr:from>
    <xdr:to>
      <xdr:col>1</xdr:col>
      <xdr:colOff>600075</xdr:colOff>
      <xdr:row>110</xdr:row>
      <xdr:rowOff>409575</xdr:rowOff>
    </xdr:to>
    <xdr:pic>
      <xdr:nvPicPr>
        <xdr:cNvPr id="219" name="Subgraph-pennylanevideo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6891575"/>
          <a:ext cx="571500" cy="381000"/>
        </a:xfrm>
        <a:prstGeom prst="rect">
          <a:avLst/>
        </a:prstGeom>
        <a:ln>
          <a:noFill/>
        </a:ln>
      </xdr:spPr>
    </xdr:pic>
    <xdr:clientData/>
  </xdr:twoCellAnchor>
  <xdr:twoCellAnchor editAs="oneCell">
    <xdr:from>
      <xdr:col>1</xdr:col>
      <xdr:colOff>28575</xdr:colOff>
      <xdr:row>111</xdr:row>
      <xdr:rowOff>28575</xdr:rowOff>
    </xdr:from>
    <xdr:to>
      <xdr:col>1</xdr:col>
      <xdr:colOff>600075</xdr:colOff>
      <xdr:row>111</xdr:row>
      <xdr:rowOff>409575</xdr:rowOff>
    </xdr:to>
    <xdr:pic>
      <xdr:nvPicPr>
        <xdr:cNvPr id="221" name="Subgraph-av_tm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7320200"/>
          <a:ext cx="571500" cy="381000"/>
        </a:xfrm>
        <a:prstGeom prst="rect">
          <a:avLst/>
        </a:prstGeom>
        <a:ln>
          <a:noFill/>
        </a:ln>
      </xdr:spPr>
    </xdr:pic>
    <xdr:clientData/>
  </xdr:twoCellAnchor>
  <xdr:twoCellAnchor editAs="oneCell">
    <xdr:from>
      <xdr:col>1</xdr:col>
      <xdr:colOff>28575</xdr:colOff>
      <xdr:row>112</xdr:row>
      <xdr:rowOff>28575</xdr:rowOff>
    </xdr:from>
    <xdr:to>
      <xdr:col>1</xdr:col>
      <xdr:colOff>600075</xdr:colOff>
      <xdr:row>112</xdr:row>
      <xdr:rowOff>409575</xdr:rowOff>
    </xdr:to>
    <xdr:pic>
      <xdr:nvPicPr>
        <xdr:cNvPr id="223" name="Subgraph-quovanti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7748825"/>
          <a:ext cx="571500" cy="381000"/>
        </a:xfrm>
        <a:prstGeom prst="rect">
          <a:avLst/>
        </a:prstGeom>
        <a:ln>
          <a:noFill/>
        </a:ln>
      </xdr:spPr>
    </xdr:pic>
    <xdr:clientData/>
  </xdr:twoCellAnchor>
  <xdr:twoCellAnchor editAs="oneCell">
    <xdr:from>
      <xdr:col>1</xdr:col>
      <xdr:colOff>28575</xdr:colOff>
      <xdr:row>113</xdr:row>
      <xdr:rowOff>28575</xdr:rowOff>
    </xdr:from>
    <xdr:to>
      <xdr:col>1</xdr:col>
      <xdr:colOff>600075</xdr:colOff>
      <xdr:row>113</xdr:row>
      <xdr:rowOff>409575</xdr:rowOff>
    </xdr:to>
    <xdr:pic>
      <xdr:nvPicPr>
        <xdr:cNvPr id="225" name="Subgraph-redwer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177450"/>
          <a:ext cx="571500" cy="381000"/>
        </a:xfrm>
        <a:prstGeom prst="rect">
          <a:avLst/>
        </a:prstGeom>
        <a:ln>
          <a:noFill/>
        </a:ln>
      </xdr:spPr>
    </xdr:pic>
    <xdr:clientData/>
  </xdr:twoCellAnchor>
  <xdr:twoCellAnchor editAs="oneCell">
    <xdr:from>
      <xdr:col>1</xdr:col>
      <xdr:colOff>28575</xdr:colOff>
      <xdr:row>114</xdr:row>
      <xdr:rowOff>28575</xdr:rowOff>
    </xdr:from>
    <xdr:to>
      <xdr:col>1</xdr:col>
      <xdr:colOff>600075</xdr:colOff>
      <xdr:row>114</xdr:row>
      <xdr:rowOff>409575</xdr:rowOff>
    </xdr:to>
    <xdr:pic>
      <xdr:nvPicPr>
        <xdr:cNvPr id="227" name="Subgraph-skynet_t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606075"/>
          <a:ext cx="571500" cy="381000"/>
        </a:xfrm>
        <a:prstGeom prst="rect">
          <a:avLst/>
        </a:prstGeom>
        <a:ln>
          <a:noFill/>
        </a:ln>
      </xdr:spPr>
    </xdr:pic>
    <xdr:clientData/>
  </xdr:twoCellAnchor>
  <xdr:twoCellAnchor editAs="oneCell">
    <xdr:from>
      <xdr:col>1</xdr:col>
      <xdr:colOff>28575</xdr:colOff>
      <xdr:row>115</xdr:row>
      <xdr:rowOff>28575</xdr:rowOff>
    </xdr:from>
    <xdr:to>
      <xdr:col>1</xdr:col>
      <xdr:colOff>600075</xdr:colOff>
      <xdr:row>115</xdr:row>
      <xdr:rowOff>409575</xdr:rowOff>
    </xdr:to>
    <xdr:pic>
      <xdr:nvPicPr>
        <xdr:cNvPr id="229" name="Subgraph-intexsof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9034700"/>
          <a:ext cx="571500" cy="381000"/>
        </a:xfrm>
        <a:prstGeom prst="rect">
          <a:avLst/>
        </a:prstGeom>
        <a:ln>
          <a:noFill/>
        </a:ln>
      </xdr:spPr>
    </xdr:pic>
    <xdr:clientData/>
  </xdr:twoCellAnchor>
  <xdr:twoCellAnchor editAs="oneCell">
    <xdr:from>
      <xdr:col>1</xdr:col>
      <xdr:colOff>28575</xdr:colOff>
      <xdr:row>116</xdr:row>
      <xdr:rowOff>28575</xdr:rowOff>
    </xdr:from>
    <xdr:to>
      <xdr:col>1</xdr:col>
      <xdr:colOff>600075</xdr:colOff>
      <xdr:row>116</xdr:row>
      <xdr:rowOff>409575</xdr:rowOff>
    </xdr:to>
    <xdr:pic>
      <xdr:nvPicPr>
        <xdr:cNvPr id="231" name="Subgraph-improvingm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9463325"/>
          <a:ext cx="571500" cy="381000"/>
        </a:xfrm>
        <a:prstGeom prst="rect">
          <a:avLst/>
        </a:prstGeom>
        <a:ln>
          <a:noFill/>
        </a:ln>
      </xdr:spPr>
    </xdr:pic>
    <xdr:clientData/>
  </xdr:twoCellAnchor>
  <xdr:twoCellAnchor editAs="oneCell">
    <xdr:from>
      <xdr:col>1</xdr:col>
      <xdr:colOff>28575</xdr:colOff>
      <xdr:row>117</xdr:row>
      <xdr:rowOff>28575</xdr:rowOff>
    </xdr:from>
    <xdr:to>
      <xdr:col>1</xdr:col>
      <xdr:colOff>600075</xdr:colOff>
      <xdr:row>117</xdr:row>
      <xdr:rowOff>409575</xdr:rowOff>
    </xdr:to>
    <xdr:pic>
      <xdr:nvPicPr>
        <xdr:cNvPr id="233" name="Subgraph-star_knowledg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9891950"/>
          <a:ext cx="571500" cy="381000"/>
        </a:xfrm>
        <a:prstGeom prst="rect">
          <a:avLst/>
        </a:prstGeom>
        <a:ln>
          <a:noFill/>
        </a:ln>
      </xdr:spPr>
    </xdr:pic>
    <xdr:clientData/>
  </xdr:twoCellAnchor>
  <xdr:twoCellAnchor editAs="oneCell">
    <xdr:from>
      <xdr:col>1</xdr:col>
      <xdr:colOff>28575</xdr:colOff>
      <xdr:row>118</xdr:row>
      <xdr:rowOff>28575</xdr:rowOff>
    </xdr:from>
    <xdr:to>
      <xdr:col>1</xdr:col>
      <xdr:colOff>600075</xdr:colOff>
      <xdr:row>118</xdr:row>
      <xdr:rowOff>409575</xdr:rowOff>
    </xdr:to>
    <xdr:pic>
      <xdr:nvPicPr>
        <xdr:cNvPr id="235" name="Subgraph-square6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0320575"/>
          <a:ext cx="571500" cy="381000"/>
        </a:xfrm>
        <a:prstGeom prst="rect">
          <a:avLst/>
        </a:prstGeom>
        <a:ln>
          <a:noFill/>
        </a:ln>
      </xdr:spPr>
    </xdr:pic>
    <xdr:clientData/>
  </xdr:twoCellAnchor>
  <xdr:twoCellAnchor editAs="oneCell">
    <xdr:from>
      <xdr:col>1</xdr:col>
      <xdr:colOff>28575</xdr:colOff>
      <xdr:row>119</xdr:row>
      <xdr:rowOff>28575</xdr:rowOff>
    </xdr:from>
    <xdr:to>
      <xdr:col>1</xdr:col>
      <xdr:colOff>600075</xdr:colOff>
      <xdr:row>119</xdr:row>
      <xdr:rowOff>409575</xdr:rowOff>
    </xdr:to>
    <xdr:pic>
      <xdr:nvPicPr>
        <xdr:cNvPr id="237" name="Subgraph-digitbaz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0749200"/>
          <a:ext cx="571500" cy="381000"/>
        </a:xfrm>
        <a:prstGeom prst="rect">
          <a:avLst/>
        </a:prstGeom>
        <a:ln>
          <a:noFill/>
        </a:ln>
      </xdr:spPr>
    </xdr:pic>
    <xdr:clientData/>
  </xdr:twoCellAnchor>
  <xdr:twoCellAnchor editAs="oneCell">
    <xdr:from>
      <xdr:col>1</xdr:col>
      <xdr:colOff>28575</xdr:colOff>
      <xdr:row>120</xdr:row>
      <xdr:rowOff>28575</xdr:rowOff>
    </xdr:from>
    <xdr:to>
      <xdr:col>1</xdr:col>
      <xdr:colOff>600075</xdr:colOff>
      <xdr:row>120</xdr:row>
      <xdr:rowOff>409575</xdr:rowOff>
    </xdr:to>
    <xdr:pic>
      <xdr:nvPicPr>
        <xdr:cNvPr id="239" name="Subgraph-nichetechso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177825"/>
          <a:ext cx="571500" cy="381000"/>
        </a:xfrm>
        <a:prstGeom prst="rect">
          <a:avLst/>
        </a:prstGeom>
        <a:ln>
          <a:noFill/>
        </a:ln>
      </xdr:spPr>
    </xdr:pic>
    <xdr:clientData/>
  </xdr:twoCellAnchor>
  <xdr:twoCellAnchor editAs="oneCell">
    <xdr:from>
      <xdr:col>1</xdr:col>
      <xdr:colOff>28575</xdr:colOff>
      <xdr:row>121</xdr:row>
      <xdr:rowOff>28575</xdr:rowOff>
    </xdr:from>
    <xdr:to>
      <xdr:col>1</xdr:col>
      <xdr:colOff>600075</xdr:colOff>
      <xdr:row>121</xdr:row>
      <xdr:rowOff>409575</xdr:rowOff>
    </xdr:to>
    <xdr:pic>
      <xdr:nvPicPr>
        <xdr:cNvPr id="241" name="Subgraph-worryfreelab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606450"/>
          <a:ext cx="571500" cy="381000"/>
        </a:xfrm>
        <a:prstGeom prst="rect">
          <a:avLst/>
        </a:prstGeom>
        <a:ln>
          <a:noFill/>
        </a:ln>
      </xdr:spPr>
    </xdr:pic>
    <xdr:clientData/>
  </xdr:twoCellAnchor>
  <xdr:twoCellAnchor editAs="oneCell">
    <xdr:from>
      <xdr:col>1</xdr:col>
      <xdr:colOff>28575</xdr:colOff>
      <xdr:row>122</xdr:row>
      <xdr:rowOff>28575</xdr:rowOff>
    </xdr:from>
    <xdr:to>
      <xdr:col>1</xdr:col>
      <xdr:colOff>600075</xdr:colOff>
      <xdr:row>122</xdr:row>
      <xdr:rowOff>409575</xdr:rowOff>
    </xdr:to>
    <xdr:pic>
      <xdr:nvPicPr>
        <xdr:cNvPr id="243" name="Subgraph-goodworklab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035075"/>
          <a:ext cx="571500" cy="381000"/>
        </a:xfrm>
        <a:prstGeom prst="rect">
          <a:avLst/>
        </a:prstGeom>
        <a:ln>
          <a:noFill/>
        </a:ln>
      </xdr:spPr>
    </xdr:pic>
    <xdr:clientData/>
  </xdr:twoCellAnchor>
  <xdr:twoCellAnchor editAs="oneCell">
    <xdr:from>
      <xdr:col>1</xdr:col>
      <xdr:colOff>28575</xdr:colOff>
      <xdr:row>123</xdr:row>
      <xdr:rowOff>28575</xdr:rowOff>
    </xdr:from>
    <xdr:to>
      <xdr:col>1</xdr:col>
      <xdr:colOff>600075</xdr:colOff>
      <xdr:row>123</xdr:row>
      <xdr:rowOff>409575</xdr:rowOff>
    </xdr:to>
    <xdr:pic>
      <xdr:nvPicPr>
        <xdr:cNvPr id="245" name="Subgraph-dom_and_to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463700"/>
          <a:ext cx="571500" cy="381000"/>
        </a:xfrm>
        <a:prstGeom prst="rect">
          <a:avLst/>
        </a:prstGeom>
        <a:ln>
          <a:noFill/>
        </a:ln>
      </xdr:spPr>
    </xdr:pic>
    <xdr:clientData/>
  </xdr:twoCellAnchor>
  <xdr:twoCellAnchor editAs="oneCell">
    <xdr:from>
      <xdr:col>1</xdr:col>
      <xdr:colOff>28575</xdr:colOff>
      <xdr:row>124</xdr:row>
      <xdr:rowOff>28575</xdr:rowOff>
    </xdr:from>
    <xdr:to>
      <xdr:col>1</xdr:col>
      <xdr:colOff>600075</xdr:colOff>
      <xdr:row>124</xdr:row>
      <xdr:rowOff>409575</xdr:rowOff>
    </xdr:to>
    <xdr:pic>
      <xdr:nvPicPr>
        <xdr:cNvPr id="247" name="Subgraph-rocketinsight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892325"/>
          <a:ext cx="571500" cy="381000"/>
        </a:xfrm>
        <a:prstGeom prst="rect">
          <a:avLst/>
        </a:prstGeom>
        <a:ln>
          <a:noFill/>
        </a:ln>
      </xdr:spPr>
    </xdr:pic>
    <xdr:clientData/>
  </xdr:twoCellAnchor>
  <xdr:twoCellAnchor editAs="oneCell">
    <xdr:from>
      <xdr:col>1</xdr:col>
      <xdr:colOff>28575</xdr:colOff>
      <xdr:row>125</xdr:row>
      <xdr:rowOff>28575</xdr:rowOff>
    </xdr:from>
    <xdr:to>
      <xdr:col>1</xdr:col>
      <xdr:colOff>600075</xdr:colOff>
      <xdr:row>125</xdr:row>
      <xdr:rowOff>409575</xdr:rowOff>
    </xdr:to>
    <xdr:pic>
      <xdr:nvPicPr>
        <xdr:cNvPr id="249" name="Subgraph-miamitechsper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3320950"/>
          <a:ext cx="571500" cy="381000"/>
        </a:xfrm>
        <a:prstGeom prst="rect">
          <a:avLst/>
        </a:prstGeom>
        <a:ln>
          <a:noFill/>
        </a:ln>
      </xdr:spPr>
    </xdr:pic>
    <xdr:clientData/>
  </xdr:twoCellAnchor>
  <xdr:twoCellAnchor editAs="oneCell">
    <xdr:from>
      <xdr:col>1</xdr:col>
      <xdr:colOff>28575</xdr:colOff>
      <xdr:row>126</xdr:row>
      <xdr:rowOff>28575</xdr:rowOff>
    </xdr:from>
    <xdr:to>
      <xdr:col>1</xdr:col>
      <xdr:colOff>600075</xdr:colOff>
      <xdr:row>126</xdr:row>
      <xdr:rowOff>409575</xdr:rowOff>
    </xdr:to>
    <xdr:pic>
      <xdr:nvPicPr>
        <xdr:cNvPr id="251" name="Subgraph-evontech"/>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3749575"/>
          <a:ext cx="571500" cy="381000"/>
        </a:xfrm>
        <a:prstGeom prst="rect">
          <a:avLst/>
        </a:prstGeom>
        <a:ln>
          <a:noFill/>
        </a:ln>
      </xdr:spPr>
    </xdr:pic>
    <xdr:clientData/>
  </xdr:twoCellAnchor>
  <xdr:twoCellAnchor editAs="oneCell">
    <xdr:from>
      <xdr:col>1</xdr:col>
      <xdr:colOff>28575</xdr:colOff>
      <xdr:row>127</xdr:row>
      <xdr:rowOff>28575</xdr:rowOff>
    </xdr:from>
    <xdr:to>
      <xdr:col>1</xdr:col>
      <xdr:colOff>600075</xdr:colOff>
      <xdr:row>127</xdr:row>
      <xdr:rowOff>409575</xdr:rowOff>
    </xdr:to>
    <xdr:pic>
      <xdr:nvPicPr>
        <xdr:cNvPr id="253" name="Subgraph-sunarc_tec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4178200"/>
          <a:ext cx="571500" cy="381000"/>
        </a:xfrm>
        <a:prstGeom prst="rect">
          <a:avLst/>
        </a:prstGeom>
        <a:ln>
          <a:noFill/>
        </a:ln>
      </xdr:spPr>
    </xdr:pic>
    <xdr:clientData/>
  </xdr:twoCellAnchor>
  <xdr:twoCellAnchor editAs="oneCell">
    <xdr:from>
      <xdr:col>1</xdr:col>
      <xdr:colOff>28575</xdr:colOff>
      <xdr:row>128</xdr:row>
      <xdr:rowOff>28575</xdr:rowOff>
    </xdr:from>
    <xdr:to>
      <xdr:col>1</xdr:col>
      <xdr:colOff>600075</xdr:colOff>
      <xdr:row>128</xdr:row>
      <xdr:rowOff>409575</xdr:rowOff>
    </xdr:to>
    <xdr:pic>
      <xdr:nvPicPr>
        <xdr:cNvPr id="255" name="Subgraph-octalitsolutio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4606825"/>
          <a:ext cx="571500" cy="381000"/>
        </a:xfrm>
        <a:prstGeom prst="rect">
          <a:avLst/>
        </a:prstGeom>
        <a:ln>
          <a:noFill/>
        </a:ln>
      </xdr:spPr>
    </xdr:pic>
    <xdr:clientData/>
  </xdr:twoCellAnchor>
  <xdr:twoCellAnchor editAs="oneCell">
    <xdr:from>
      <xdr:col>1</xdr:col>
      <xdr:colOff>28575</xdr:colOff>
      <xdr:row>129</xdr:row>
      <xdr:rowOff>28575</xdr:rowOff>
    </xdr:from>
    <xdr:to>
      <xdr:col>1</xdr:col>
      <xdr:colOff>600075</xdr:colOff>
      <xdr:row>129</xdr:row>
      <xdr:rowOff>409575</xdr:rowOff>
    </xdr:to>
    <xdr:pic>
      <xdr:nvPicPr>
        <xdr:cNvPr id="257" name="Subgraph-softwaredevi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5035450"/>
          <a:ext cx="571500" cy="381000"/>
        </a:xfrm>
        <a:prstGeom prst="rect">
          <a:avLst/>
        </a:prstGeom>
        <a:ln>
          <a:noFill/>
        </a:ln>
      </xdr:spPr>
    </xdr:pic>
    <xdr:clientData/>
  </xdr:twoCellAnchor>
  <xdr:twoCellAnchor editAs="oneCell">
    <xdr:from>
      <xdr:col>1</xdr:col>
      <xdr:colOff>28575</xdr:colOff>
      <xdr:row>130</xdr:row>
      <xdr:rowOff>28575</xdr:rowOff>
    </xdr:from>
    <xdr:to>
      <xdr:col>1</xdr:col>
      <xdr:colOff>600075</xdr:colOff>
      <xdr:row>130</xdr:row>
      <xdr:rowOff>409575</xdr:rowOff>
    </xdr:to>
    <xdr:pic>
      <xdr:nvPicPr>
        <xdr:cNvPr id="259" name="Subgraph-promatic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5464075"/>
          <a:ext cx="571500" cy="381000"/>
        </a:xfrm>
        <a:prstGeom prst="rect">
          <a:avLst/>
        </a:prstGeom>
        <a:ln>
          <a:noFill/>
        </a:ln>
      </xdr:spPr>
    </xdr:pic>
    <xdr:clientData/>
  </xdr:twoCellAnchor>
  <xdr:twoCellAnchor editAs="oneCell">
    <xdr:from>
      <xdr:col>1</xdr:col>
      <xdr:colOff>28575</xdr:colOff>
      <xdr:row>131</xdr:row>
      <xdr:rowOff>28575</xdr:rowOff>
    </xdr:from>
    <xdr:to>
      <xdr:col>1</xdr:col>
      <xdr:colOff>600075</xdr:colOff>
      <xdr:row>131</xdr:row>
      <xdr:rowOff>409575</xdr:rowOff>
    </xdr:to>
    <xdr:pic>
      <xdr:nvPicPr>
        <xdr:cNvPr id="261" name="Subgraph-phoenix_bizz"/>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5892700"/>
          <a:ext cx="571500" cy="381000"/>
        </a:xfrm>
        <a:prstGeom prst="rect">
          <a:avLst/>
        </a:prstGeom>
        <a:ln>
          <a:noFill/>
        </a:ln>
      </xdr:spPr>
    </xdr:pic>
    <xdr:clientData/>
  </xdr:twoCellAnchor>
  <xdr:twoCellAnchor editAs="oneCell">
    <xdr:from>
      <xdr:col>1</xdr:col>
      <xdr:colOff>28575</xdr:colOff>
      <xdr:row>132</xdr:row>
      <xdr:rowOff>28575</xdr:rowOff>
    </xdr:from>
    <xdr:to>
      <xdr:col>1</xdr:col>
      <xdr:colOff>600075</xdr:colOff>
      <xdr:row>132</xdr:row>
      <xdr:rowOff>409575</xdr:rowOff>
    </xdr:to>
    <xdr:pic>
      <xdr:nvPicPr>
        <xdr:cNvPr id="263" name="Subgraph-ripenappstech"/>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6321325"/>
          <a:ext cx="571500" cy="381000"/>
        </a:xfrm>
        <a:prstGeom prst="rect">
          <a:avLst/>
        </a:prstGeom>
        <a:ln>
          <a:noFill/>
        </a:ln>
      </xdr:spPr>
    </xdr:pic>
    <xdr:clientData/>
  </xdr:twoCellAnchor>
  <xdr:twoCellAnchor editAs="oneCell">
    <xdr:from>
      <xdr:col>1</xdr:col>
      <xdr:colOff>28575</xdr:colOff>
      <xdr:row>133</xdr:row>
      <xdr:rowOff>28575</xdr:rowOff>
    </xdr:from>
    <xdr:to>
      <xdr:col>1</xdr:col>
      <xdr:colOff>600075</xdr:colOff>
      <xdr:row>133</xdr:row>
      <xdr:rowOff>409575</xdr:rowOff>
    </xdr:to>
    <xdr:pic>
      <xdr:nvPicPr>
        <xdr:cNvPr id="265" name="Subgraph-a1futur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6749950"/>
          <a:ext cx="571500" cy="381000"/>
        </a:xfrm>
        <a:prstGeom prst="rect">
          <a:avLst/>
        </a:prstGeom>
        <a:ln>
          <a:noFill/>
        </a:ln>
      </xdr:spPr>
    </xdr:pic>
    <xdr:clientData/>
  </xdr:twoCellAnchor>
  <xdr:twoCellAnchor editAs="oneCell">
    <xdr:from>
      <xdr:col>1</xdr:col>
      <xdr:colOff>28575</xdr:colOff>
      <xdr:row>134</xdr:row>
      <xdr:rowOff>28575</xdr:rowOff>
    </xdr:from>
    <xdr:to>
      <xdr:col>1</xdr:col>
      <xdr:colOff>600075</xdr:colOff>
      <xdr:row>134</xdr:row>
      <xdr:rowOff>409575</xdr:rowOff>
    </xdr:to>
    <xdr:pic>
      <xdr:nvPicPr>
        <xdr:cNvPr id="267" name="Subgraph-thriveagenc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7178575"/>
          <a:ext cx="571500" cy="381000"/>
        </a:xfrm>
        <a:prstGeom prst="rect">
          <a:avLst/>
        </a:prstGeom>
        <a:ln>
          <a:noFill/>
        </a:ln>
      </xdr:spPr>
    </xdr:pic>
    <xdr:clientData/>
  </xdr:twoCellAnchor>
  <xdr:twoCellAnchor editAs="oneCell">
    <xdr:from>
      <xdr:col>1</xdr:col>
      <xdr:colOff>28575</xdr:colOff>
      <xdr:row>135</xdr:row>
      <xdr:rowOff>28575</xdr:rowOff>
    </xdr:from>
    <xdr:to>
      <xdr:col>1</xdr:col>
      <xdr:colOff>600075</xdr:colOff>
      <xdr:row>135</xdr:row>
      <xdr:rowOff>409575</xdr:rowOff>
    </xdr:to>
    <xdr:pic>
      <xdr:nvPicPr>
        <xdr:cNvPr id="269" name="Subgraph-wendy9705358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7607200"/>
          <a:ext cx="571500" cy="381000"/>
        </a:xfrm>
        <a:prstGeom prst="rect">
          <a:avLst/>
        </a:prstGeom>
        <a:ln>
          <a:noFill/>
        </a:ln>
      </xdr:spPr>
    </xdr:pic>
    <xdr:clientData/>
  </xdr:twoCellAnchor>
  <xdr:twoCellAnchor editAs="oneCell">
    <xdr:from>
      <xdr:col>1</xdr:col>
      <xdr:colOff>28575</xdr:colOff>
      <xdr:row>136</xdr:row>
      <xdr:rowOff>28575</xdr:rowOff>
    </xdr:from>
    <xdr:to>
      <xdr:col>1</xdr:col>
      <xdr:colOff>600075</xdr:colOff>
      <xdr:row>136</xdr:row>
      <xdr:rowOff>409575</xdr:rowOff>
    </xdr:to>
    <xdr:pic>
      <xdr:nvPicPr>
        <xdr:cNvPr id="271" name="Subgraph-bluformig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035825"/>
          <a:ext cx="571500" cy="381000"/>
        </a:xfrm>
        <a:prstGeom prst="rect">
          <a:avLst/>
        </a:prstGeom>
        <a:ln>
          <a:noFill/>
        </a:ln>
      </xdr:spPr>
    </xdr:pic>
    <xdr:clientData/>
  </xdr:twoCellAnchor>
  <xdr:twoCellAnchor editAs="oneCell">
    <xdr:from>
      <xdr:col>1</xdr:col>
      <xdr:colOff>28575</xdr:colOff>
      <xdr:row>137</xdr:row>
      <xdr:rowOff>28575</xdr:rowOff>
    </xdr:from>
    <xdr:to>
      <xdr:col>1</xdr:col>
      <xdr:colOff>600075</xdr:colOff>
      <xdr:row>137</xdr:row>
      <xdr:rowOff>409575</xdr:rowOff>
    </xdr:to>
    <xdr:pic>
      <xdr:nvPicPr>
        <xdr:cNvPr id="273" name="Subgraph-mackpha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464450"/>
          <a:ext cx="571500" cy="381000"/>
        </a:xfrm>
        <a:prstGeom prst="rect">
          <a:avLst/>
        </a:prstGeom>
        <a:ln>
          <a:noFill/>
        </a:ln>
      </xdr:spPr>
    </xdr:pic>
    <xdr:clientData/>
  </xdr:twoCellAnchor>
  <xdr:twoCellAnchor editAs="oneCell">
    <xdr:from>
      <xdr:col>1</xdr:col>
      <xdr:colOff>28575</xdr:colOff>
      <xdr:row>138</xdr:row>
      <xdr:rowOff>28575</xdr:rowOff>
    </xdr:from>
    <xdr:to>
      <xdr:col>1</xdr:col>
      <xdr:colOff>600075</xdr:colOff>
      <xdr:row>138</xdr:row>
      <xdr:rowOff>409575</xdr:rowOff>
    </xdr:to>
    <xdr:pic>
      <xdr:nvPicPr>
        <xdr:cNvPr id="275" name="Subgraph-softwarefindr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893075"/>
          <a:ext cx="571500" cy="381000"/>
        </a:xfrm>
        <a:prstGeom prst="rect">
          <a:avLst/>
        </a:prstGeom>
        <a:ln>
          <a:noFill/>
        </a:ln>
      </xdr:spPr>
    </xdr:pic>
    <xdr:clientData/>
  </xdr:twoCellAnchor>
  <xdr:twoCellAnchor editAs="oneCell">
    <xdr:from>
      <xdr:col>1</xdr:col>
      <xdr:colOff>28575</xdr:colOff>
      <xdr:row>139</xdr:row>
      <xdr:rowOff>28575</xdr:rowOff>
    </xdr:from>
    <xdr:to>
      <xdr:col>1</xdr:col>
      <xdr:colOff>600075</xdr:colOff>
      <xdr:row>139</xdr:row>
      <xdr:rowOff>409575</xdr:rowOff>
    </xdr:to>
    <xdr:pic>
      <xdr:nvPicPr>
        <xdr:cNvPr id="277" name="Subgraph-stcstudio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9321700"/>
          <a:ext cx="571500" cy="381000"/>
        </a:xfrm>
        <a:prstGeom prst="rect">
          <a:avLst/>
        </a:prstGeom>
        <a:ln>
          <a:noFill/>
        </a:ln>
      </xdr:spPr>
    </xdr:pic>
    <xdr:clientData/>
  </xdr:twoCellAnchor>
  <xdr:twoCellAnchor editAs="oneCell">
    <xdr:from>
      <xdr:col>1</xdr:col>
      <xdr:colOff>28575</xdr:colOff>
      <xdr:row>140</xdr:row>
      <xdr:rowOff>28575</xdr:rowOff>
    </xdr:from>
    <xdr:to>
      <xdr:col>1</xdr:col>
      <xdr:colOff>600075</xdr:colOff>
      <xdr:row>140</xdr:row>
      <xdr:rowOff>409575</xdr:rowOff>
    </xdr:to>
    <xdr:pic>
      <xdr:nvPicPr>
        <xdr:cNvPr id="279" name="Subgraph-designbrandin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9750325"/>
          <a:ext cx="571500" cy="381000"/>
        </a:xfrm>
        <a:prstGeom prst="rect">
          <a:avLst/>
        </a:prstGeom>
        <a:ln>
          <a:noFill/>
        </a:ln>
      </xdr:spPr>
    </xdr:pic>
    <xdr:clientData/>
  </xdr:twoCellAnchor>
  <xdr:twoCellAnchor editAs="oneCell">
    <xdr:from>
      <xdr:col>1</xdr:col>
      <xdr:colOff>28575</xdr:colOff>
      <xdr:row>141</xdr:row>
      <xdr:rowOff>28575</xdr:rowOff>
    </xdr:from>
    <xdr:to>
      <xdr:col>1</xdr:col>
      <xdr:colOff>600075</xdr:colOff>
      <xdr:row>141</xdr:row>
      <xdr:rowOff>409575</xdr:rowOff>
    </xdr:to>
    <xdr:pic>
      <xdr:nvPicPr>
        <xdr:cNvPr id="281" name="Subgraph-fmidesig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0178950"/>
          <a:ext cx="571500" cy="381000"/>
        </a:xfrm>
        <a:prstGeom prst="rect">
          <a:avLst/>
        </a:prstGeom>
        <a:ln>
          <a:noFill/>
        </a:ln>
      </xdr:spPr>
    </xdr:pic>
    <xdr:clientData/>
  </xdr:twoCellAnchor>
  <xdr:twoCellAnchor editAs="oneCell">
    <xdr:from>
      <xdr:col>1</xdr:col>
      <xdr:colOff>28575</xdr:colOff>
      <xdr:row>142</xdr:row>
      <xdr:rowOff>28575</xdr:rowOff>
    </xdr:from>
    <xdr:to>
      <xdr:col>1</xdr:col>
      <xdr:colOff>600075</xdr:colOff>
      <xdr:row>142</xdr:row>
      <xdr:rowOff>409575</xdr:rowOff>
    </xdr:to>
    <xdr:pic>
      <xdr:nvPicPr>
        <xdr:cNvPr id="283" name="Subgraph-barnabywas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0607575"/>
          <a:ext cx="571500" cy="381000"/>
        </a:xfrm>
        <a:prstGeom prst="rect">
          <a:avLst/>
        </a:prstGeom>
        <a:ln>
          <a:noFill/>
        </a:ln>
      </xdr:spPr>
    </xdr:pic>
    <xdr:clientData/>
  </xdr:twoCellAnchor>
  <xdr:twoCellAnchor editAs="oneCell">
    <xdr:from>
      <xdr:col>1</xdr:col>
      <xdr:colOff>28575</xdr:colOff>
      <xdr:row>143</xdr:row>
      <xdr:rowOff>28575</xdr:rowOff>
    </xdr:from>
    <xdr:to>
      <xdr:col>1</xdr:col>
      <xdr:colOff>600075</xdr:colOff>
      <xdr:row>143</xdr:row>
      <xdr:rowOff>409575</xdr:rowOff>
    </xdr:to>
    <xdr:pic>
      <xdr:nvPicPr>
        <xdr:cNvPr id="285" name="Subgraph-swiftymorg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1036200"/>
          <a:ext cx="571500" cy="381000"/>
        </a:xfrm>
        <a:prstGeom prst="rect">
          <a:avLst/>
        </a:prstGeom>
        <a:ln>
          <a:noFill/>
        </a:ln>
      </xdr:spPr>
    </xdr:pic>
    <xdr:clientData/>
  </xdr:twoCellAnchor>
  <xdr:twoCellAnchor editAs="oneCell">
    <xdr:from>
      <xdr:col>1</xdr:col>
      <xdr:colOff>28575</xdr:colOff>
      <xdr:row>144</xdr:row>
      <xdr:rowOff>28575</xdr:rowOff>
    </xdr:from>
    <xdr:to>
      <xdr:col>1</xdr:col>
      <xdr:colOff>600075</xdr:colOff>
      <xdr:row>144</xdr:row>
      <xdr:rowOff>409575</xdr:rowOff>
    </xdr:to>
    <xdr:pic>
      <xdr:nvPicPr>
        <xdr:cNvPr id="287" name="Subgraph-johngow"/>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1464825"/>
          <a:ext cx="571500" cy="381000"/>
        </a:xfrm>
        <a:prstGeom prst="rect">
          <a:avLst/>
        </a:prstGeom>
        <a:ln>
          <a:noFill/>
        </a:ln>
      </xdr:spPr>
    </xdr:pic>
    <xdr:clientData/>
  </xdr:twoCellAnchor>
  <xdr:twoCellAnchor editAs="oneCell">
    <xdr:from>
      <xdr:col>1</xdr:col>
      <xdr:colOff>28575</xdr:colOff>
      <xdr:row>145</xdr:row>
      <xdr:rowOff>28575</xdr:rowOff>
    </xdr:from>
    <xdr:to>
      <xdr:col>1</xdr:col>
      <xdr:colOff>600075</xdr:colOff>
      <xdr:row>145</xdr:row>
      <xdr:rowOff>409575</xdr:rowOff>
    </xdr:to>
    <xdr:pic>
      <xdr:nvPicPr>
        <xdr:cNvPr id="289" name="Subgraph-jeremyscrive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893450"/>
          <a:ext cx="571500" cy="381000"/>
        </a:xfrm>
        <a:prstGeom prst="rect">
          <a:avLst/>
        </a:prstGeom>
        <a:ln>
          <a:noFill/>
        </a:ln>
      </xdr:spPr>
    </xdr:pic>
    <xdr:clientData/>
  </xdr:twoCellAnchor>
  <xdr:twoCellAnchor editAs="oneCell">
    <xdr:from>
      <xdr:col>1</xdr:col>
      <xdr:colOff>28575</xdr:colOff>
      <xdr:row>146</xdr:row>
      <xdr:rowOff>28575</xdr:rowOff>
    </xdr:from>
    <xdr:to>
      <xdr:col>1</xdr:col>
      <xdr:colOff>600075</xdr:colOff>
      <xdr:row>146</xdr:row>
      <xdr:rowOff>409575</xdr:rowOff>
    </xdr:to>
    <xdr:pic>
      <xdr:nvPicPr>
        <xdr:cNvPr id="291" name="Subgraph-smokingchil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2322075"/>
          <a:ext cx="571500" cy="381000"/>
        </a:xfrm>
        <a:prstGeom prst="rect">
          <a:avLst/>
        </a:prstGeom>
        <a:ln>
          <a:noFill/>
        </a:ln>
      </xdr:spPr>
    </xdr:pic>
    <xdr:clientData/>
  </xdr:twoCellAnchor>
  <xdr:twoCellAnchor editAs="oneCell">
    <xdr:from>
      <xdr:col>1</xdr:col>
      <xdr:colOff>28575</xdr:colOff>
      <xdr:row>147</xdr:row>
      <xdr:rowOff>28575</xdr:rowOff>
    </xdr:from>
    <xdr:to>
      <xdr:col>1</xdr:col>
      <xdr:colOff>600075</xdr:colOff>
      <xdr:row>147</xdr:row>
      <xdr:rowOff>409575</xdr:rowOff>
    </xdr:to>
    <xdr:pic>
      <xdr:nvPicPr>
        <xdr:cNvPr id="293" name="Subgraph-ipfconline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2750700"/>
          <a:ext cx="571500" cy="381000"/>
        </a:xfrm>
        <a:prstGeom prst="rect">
          <a:avLst/>
        </a:prstGeom>
        <a:ln>
          <a:noFill/>
        </a:ln>
      </xdr:spPr>
    </xdr:pic>
    <xdr:clientData/>
  </xdr:twoCellAnchor>
  <xdr:twoCellAnchor editAs="oneCell">
    <xdr:from>
      <xdr:col>1</xdr:col>
      <xdr:colOff>28575</xdr:colOff>
      <xdr:row>148</xdr:row>
      <xdr:rowOff>28575</xdr:rowOff>
    </xdr:from>
    <xdr:to>
      <xdr:col>1</xdr:col>
      <xdr:colOff>600075</xdr:colOff>
      <xdr:row>148</xdr:row>
      <xdr:rowOff>409575</xdr:rowOff>
    </xdr:to>
    <xdr:pic>
      <xdr:nvPicPr>
        <xdr:cNvPr id="295" name="Subgraph-getgeekrelief"/>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3179325"/>
          <a:ext cx="571500" cy="381000"/>
        </a:xfrm>
        <a:prstGeom prst="rect">
          <a:avLst/>
        </a:prstGeom>
        <a:ln>
          <a:noFill/>
        </a:ln>
      </xdr:spPr>
    </xdr:pic>
    <xdr:clientData/>
  </xdr:twoCellAnchor>
  <xdr:twoCellAnchor editAs="oneCell">
    <xdr:from>
      <xdr:col>1</xdr:col>
      <xdr:colOff>28575</xdr:colOff>
      <xdr:row>149</xdr:row>
      <xdr:rowOff>28575</xdr:rowOff>
    </xdr:from>
    <xdr:to>
      <xdr:col>1</xdr:col>
      <xdr:colOff>600075</xdr:colOff>
      <xdr:row>149</xdr:row>
      <xdr:rowOff>409575</xdr:rowOff>
    </xdr:to>
    <xdr:pic>
      <xdr:nvPicPr>
        <xdr:cNvPr id="297" name="Subgraph-webguruaward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3607950"/>
          <a:ext cx="571500" cy="381000"/>
        </a:xfrm>
        <a:prstGeom prst="rect">
          <a:avLst/>
        </a:prstGeom>
        <a:ln>
          <a:noFill/>
        </a:ln>
      </xdr:spPr>
    </xdr:pic>
    <xdr:clientData/>
  </xdr:twoCellAnchor>
  <xdr:twoCellAnchor editAs="oneCell">
    <xdr:from>
      <xdr:col>1</xdr:col>
      <xdr:colOff>28575</xdr:colOff>
      <xdr:row>150</xdr:row>
      <xdr:rowOff>28575</xdr:rowOff>
    </xdr:from>
    <xdr:to>
      <xdr:col>1</xdr:col>
      <xdr:colOff>600075</xdr:colOff>
      <xdr:row>150</xdr:row>
      <xdr:rowOff>409575</xdr:rowOff>
    </xdr:to>
    <xdr:pic>
      <xdr:nvPicPr>
        <xdr:cNvPr id="299" name="Subgraph-virtuoso_q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4036575"/>
          <a:ext cx="571500" cy="381000"/>
        </a:xfrm>
        <a:prstGeom prst="rect">
          <a:avLst/>
        </a:prstGeom>
        <a:ln>
          <a:noFill/>
        </a:ln>
      </xdr:spPr>
    </xdr:pic>
    <xdr:clientData/>
  </xdr:twoCellAnchor>
  <xdr:twoCellAnchor editAs="oneCell">
    <xdr:from>
      <xdr:col>1</xdr:col>
      <xdr:colOff>28575</xdr:colOff>
      <xdr:row>151</xdr:row>
      <xdr:rowOff>28575</xdr:rowOff>
    </xdr:from>
    <xdr:to>
      <xdr:col>1</xdr:col>
      <xdr:colOff>600075</xdr:colOff>
      <xdr:row>151</xdr:row>
      <xdr:rowOff>409575</xdr:rowOff>
    </xdr:to>
    <xdr:pic>
      <xdr:nvPicPr>
        <xdr:cNvPr id="301" name="Subgraph-dpanshugahlau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4465200"/>
          <a:ext cx="571500" cy="381000"/>
        </a:xfrm>
        <a:prstGeom prst="rect">
          <a:avLst/>
        </a:prstGeom>
        <a:ln>
          <a:noFill/>
        </a:ln>
      </xdr:spPr>
    </xdr:pic>
    <xdr:clientData/>
  </xdr:twoCellAnchor>
  <xdr:twoCellAnchor editAs="oneCell">
    <xdr:from>
      <xdr:col>1</xdr:col>
      <xdr:colOff>28575</xdr:colOff>
      <xdr:row>152</xdr:row>
      <xdr:rowOff>28575</xdr:rowOff>
    </xdr:from>
    <xdr:to>
      <xdr:col>1</xdr:col>
      <xdr:colOff>600075</xdr:colOff>
      <xdr:row>152</xdr:row>
      <xdr:rowOff>409575</xdr:rowOff>
    </xdr:to>
    <xdr:pic>
      <xdr:nvPicPr>
        <xdr:cNvPr id="303" name="Subgraph-zerocoollatt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4893825"/>
          <a:ext cx="571500" cy="381000"/>
        </a:xfrm>
        <a:prstGeom prst="rect">
          <a:avLst/>
        </a:prstGeom>
        <a:ln>
          <a:noFill/>
        </a:ln>
      </xdr:spPr>
    </xdr:pic>
    <xdr:clientData/>
  </xdr:twoCellAnchor>
  <xdr:twoCellAnchor editAs="oneCell">
    <xdr:from>
      <xdr:col>1</xdr:col>
      <xdr:colOff>28575</xdr:colOff>
      <xdr:row>153</xdr:row>
      <xdr:rowOff>28575</xdr:rowOff>
    </xdr:from>
    <xdr:to>
      <xdr:col>1</xdr:col>
      <xdr:colOff>600075</xdr:colOff>
      <xdr:row>153</xdr:row>
      <xdr:rowOff>409575</xdr:rowOff>
    </xdr:to>
    <xdr:pic>
      <xdr:nvPicPr>
        <xdr:cNvPr id="305" name="Subgraph-dc_dreamsevent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5322450"/>
          <a:ext cx="571500" cy="381000"/>
        </a:xfrm>
        <a:prstGeom prst="rect">
          <a:avLst/>
        </a:prstGeom>
        <a:ln>
          <a:noFill/>
        </a:ln>
      </xdr:spPr>
    </xdr:pic>
    <xdr:clientData/>
  </xdr:twoCellAnchor>
  <xdr:twoCellAnchor editAs="oneCell">
    <xdr:from>
      <xdr:col>1</xdr:col>
      <xdr:colOff>28575</xdr:colOff>
      <xdr:row>154</xdr:row>
      <xdr:rowOff>28575</xdr:rowOff>
    </xdr:from>
    <xdr:to>
      <xdr:col>1</xdr:col>
      <xdr:colOff>600075</xdr:colOff>
      <xdr:row>154</xdr:row>
      <xdr:rowOff>409575</xdr:rowOff>
    </xdr:to>
    <xdr:pic>
      <xdr:nvPicPr>
        <xdr:cNvPr id="307" name="Subgraph-thhyderaba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5751075"/>
          <a:ext cx="571500" cy="381000"/>
        </a:xfrm>
        <a:prstGeom prst="rect">
          <a:avLst/>
        </a:prstGeom>
        <a:ln>
          <a:noFill/>
        </a:ln>
      </xdr:spPr>
    </xdr:pic>
    <xdr:clientData/>
  </xdr:twoCellAnchor>
  <xdr:twoCellAnchor editAs="oneCell">
    <xdr:from>
      <xdr:col>1</xdr:col>
      <xdr:colOff>28575</xdr:colOff>
      <xdr:row>155</xdr:row>
      <xdr:rowOff>28575</xdr:rowOff>
    </xdr:from>
    <xdr:to>
      <xdr:col>1</xdr:col>
      <xdr:colOff>600075</xdr:colOff>
      <xdr:row>155</xdr:row>
      <xdr:rowOff>409575</xdr:rowOff>
    </xdr:to>
    <xdr:pic>
      <xdr:nvPicPr>
        <xdr:cNvPr id="309" name="Subgraph-rsmgear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6179700"/>
          <a:ext cx="571500" cy="381000"/>
        </a:xfrm>
        <a:prstGeom prst="rect">
          <a:avLst/>
        </a:prstGeom>
        <a:ln>
          <a:noFill/>
        </a:ln>
      </xdr:spPr>
    </xdr:pic>
    <xdr:clientData/>
  </xdr:twoCellAnchor>
  <xdr:twoCellAnchor editAs="oneCell">
    <xdr:from>
      <xdr:col>1</xdr:col>
      <xdr:colOff>28575</xdr:colOff>
      <xdr:row>156</xdr:row>
      <xdr:rowOff>28575</xdr:rowOff>
    </xdr:from>
    <xdr:to>
      <xdr:col>1</xdr:col>
      <xdr:colOff>600075</xdr:colOff>
      <xdr:row>156</xdr:row>
      <xdr:rowOff>409575</xdr:rowOff>
    </xdr:to>
    <xdr:pic>
      <xdr:nvPicPr>
        <xdr:cNvPr id="311" name="Subgraph-cricclub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6608325"/>
          <a:ext cx="571500" cy="381000"/>
        </a:xfrm>
        <a:prstGeom prst="rect">
          <a:avLst/>
        </a:prstGeom>
        <a:ln>
          <a:noFill/>
        </a:ln>
      </xdr:spPr>
    </xdr:pic>
    <xdr:clientData/>
  </xdr:twoCellAnchor>
  <xdr:twoCellAnchor editAs="oneCell">
    <xdr:from>
      <xdr:col>1</xdr:col>
      <xdr:colOff>28575</xdr:colOff>
      <xdr:row>157</xdr:row>
      <xdr:rowOff>28575</xdr:rowOff>
    </xdr:from>
    <xdr:to>
      <xdr:col>1</xdr:col>
      <xdr:colOff>600075</xdr:colOff>
      <xdr:row>157</xdr:row>
      <xdr:rowOff>409575</xdr:rowOff>
    </xdr:to>
    <xdr:pic>
      <xdr:nvPicPr>
        <xdr:cNvPr id="313" name="Subgraph-nandi_tyr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7036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08" totalsRowShown="0" headerRowDxfId="403" dataDxfId="363">
  <autoFilter ref="A2:BL208"/>
  <tableColumns count="64">
    <tableColumn id="1" name="Vertex 1" dataDxfId="348"/>
    <tableColumn id="2" name="Vertex 2" dataDxfId="346"/>
    <tableColumn id="3" name="Color" dataDxfId="347"/>
    <tableColumn id="4" name="Width" dataDxfId="372"/>
    <tableColumn id="11" name="Style" dataDxfId="371"/>
    <tableColumn id="5" name="Opacity" dataDxfId="370"/>
    <tableColumn id="6" name="Visibility" dataDxfId="369"/>
    <tableColumn id="10" name="Label" dataDxfId="368"/>
    <tableColumn id="12" name="Label Text Color" dataDxfId="367"/>
    <tableColumn id="13" name="Label Font Size" dataDxfId="366"/>
    <tableColumn id="14" name="Reciprocated?" dataDxfId="229"/>
    <tableColumn id="7" name="ID" dataDxfId="365"/>
    <tableColumn id="9" name="Dynamic Filter" dataDxfId="364"/>
    <tableColumn id="8" name="Add Your Own Columns Here" dataDxfId="345"/>
    <tableColumn id="15" name="Relationship" dataDxfId="344"/>
    <tableColumn id="16" name="Relationship Date (UTC)" dataDxfId="343"/>
    <tableColumn id="17" name="Tweet" dataDxfId="342"/>
    <tableColumn id="18" name="Retweet Count" dataDxfId="341"/>
    <tableColumn id="19" name="Favorite Count" dataDxfId="340"/>
    <tableColumn id="20" name="Reply Count" dataDxfId="339"/>
    <tableColumn id="21" name="Quote Count" dataDxfId="338"/>
    <tableColumn id="22" name="Impression Count" dataDxfId="337"/>
    <tableColumn id="23" name="Hashtags in Tweet" dataDxfId="336"/>
    <tableColumn id="24" name="URLs in Tweet" dataDxfId="335"/>
    <tableColumn id="25" name="Domains in Tweet" dataDxfId="334"/>
    <tableColumn id="26" name="Mentions in Tweet" dataDxfId="333"/>
    <tableColumn id="27" name="Media in Tweet" dataDxfId="332"/>
    <tableColumn id="28" name="Media Type" dataDxfId="331"/>
    <tableColumn id="29" name="Source" dataDxfId="330"/>
    <tableColumn id="30" name="Language" dataDxfId="329"/>
    <tableColumn id="31" name="Twitter Page for Tweet" dataDxfId="328"/>
    <tableColumn id="32" name="Tweet Date (UTC)" dataDxfId="327"/>
    <tableColumn id="33" name="Date" dataDxfId="326"/>
    <tableColumn id="34" name="Time" dataDxfId="325"/>
    <tableColumn id="35" name="Possibly Sensitive" dataDxfId="324"/>
    <tableColumn id="36" name="Place Bounding Box" dataDxfId="323"/>
    <tableColumn id="37" name="Place Country" dataDxfId="322"/>
    <tableColumn id="38" name="Place Country Code" dataDxfId="321"/>
    <tableColumn id="39" name="Place Full Name" dataDxfId="320"/>
    <tableColumn id="40" name="Place ID" dataDxfId="319"/>
    <tableColumn id="41" name="Place Name" dataDxfId="318"/>
    <tableColumn id="42" name="Place Type" dataDxfId="317"/>
    <tableColumn id="43" name="Media Key" dataDxfId="316"/>
    <tableColumn id="44" name="Media Duration (ms)" dataDxfId="315"/>
    <tableColumn id="45" name="Media Height" dataDxfId="314"/>
    <tableColumn id="46" name="Media Width" dataDxfId="313"/>
    <tableColumn id="47" name="Media View Count" dataDxfId="312"/>
    <tableColumn id="48" name="Tweet Image File" dataDxfId="311"/>
    <tableColumn id="49" name="Imported ID" dataDxfId="310"/>
    <tableColumn id="50" name="Conversation ID" dataDxfId="309"/>
    <tableColumn id="51" name="In Reply To User ID" dataDxfId="308"/>
    <tableColumn id="52" name="In Reply To Tweet ID" dataDxfId="307"/>
    <tableColumn id="53" name="Quoted Status ID" dataDxfId="306"/>
    <tableColumn id="54" name="Retweet ID" dataDxfId="305"/>
    <tableColumn id="55" name="Unified Twitter ID" dataDxfId="304"/>
    <tableColumn id="56" name="Author ID" dataDxfId="303"/>
    <tableColumn id="57" name="Poll ID" dataDxfId="302"/>
    <tableColumn id="58" name="Poll Options" dataDxfId="301"/>
    <tableColumn id="59" name="Poll Duration" dataDxfId="300"/>
    <tableColumn id="60" name="Poll End Date" dataDxfId="299"/>
    <tableColumn id="61" name="Poll Voting Status" dataDxfId="298"/>
    <tableColumn id="62" name="Edge Weight" dataDxfId="246"/>
    <tableColumn id="67" name="Vertex 1 Group" dataDxfId="245">
      <calculatedColumnFormula>REPLACE(INDEX(GroupVertices[Group], MATCH("~"&amp;Edges[[#This Row],[Vertex 1]],GroupVertices[Vertex],0)),1,1,"")</calculatedColumnFormula>
    </tableColumn>
    <tableColumn id="68" name="Vertex 2 Group" dataDxfId="244">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9" name="TwitterSearchNetworkTopItems_1" displayName="TwitterSearchNetworkTopItems_1" ref="A1:V11" totalsRowShown="0" headerRowDxfId="228" dataDxfId="227">
  <autoFilter ref="A1:V11"/>
  <tableColumns count="22">
    <tableColumn id="1" name="Top URLs in Tweet in Entire Graph" dataDxfId="226"/>
    <tableColumn id="2" name="Entire Graph Count" dataDxfId="225"/>
    <tableColumn id="3" name="Top URLs in Tweet in G1" dataDxfId="224"/>
    <tableColumn id="4" name="G1 Count" dataDxfId="223"/>
    <tableColumn id="5" name="Top URLs in Tweet in G2" dataDxfId="222"/>
    <tableColumn id="6" name="G2 Count" dataDxfId="221"/>
    <tableColumn id="7" name="Top URLs in Tweet in G3" dataDxfId="220"/>
    <tableColumn id="8" name="G3 Count" dataDxfId="219"/>
    <tableColumn id="9" name="Top URLs in Tweet in G4" dataDxfId="218"/>
    <tableColumn id="10" name="G4 Count" dataDxfId="217"/>
    <tableColumn id="11" name="Top URLs in Tweet in G5" dataDxfId="216"/>
    <tableColumn id="12" name="G5 Count" dataDxfId="215"/>
    <tableColumn id="13" name="Top URLs in Tweet in G6" dataDxfId="214"/>
    <tableColumn id="14" name="G6 Count" dataDxfId="213"/>
    <tableColumn id="15" name="Top URLs in Tweet in G7" dataDxfId="212"/>
    <tableColumn id="16" name="G7 Count" dataDxfId="211"/>
    <tableColumn id="17" name="Top URLs in Tweet in G8" dataDxfId="210"/>
    <tableColumn id="18" name="G8 Count" dataDxfId="209"/>
    <tableColumn id="19" name="Top URLs in Tweet in G9" dataDxfId="208"/>
    <tableColumn id="20" name="G9 Count" dataDxfId="207"/>
    <tableColumn id="21" name="Top URLs in Tweet in G10" dataDxfId="206"/>
    <tableColumn id="22" name="G10 Count" dataDxfId="205"/>
  </tableColumns>
  <tableStyleInfo name="NodeXL Table" showFirstColumn="0" showLastColumn="0" showRowStripes="1" showColumnStripes="0"/>
</table>
</file>

<file path=xl/tables/table12.xml><?xml version="1.0" encoding="utf-8"?>
<table xmlns="http://schemas.openxmlformats.org/spreadsheetml/2006/main" id="30" name="TwitterSearchNetworkTopItems_2" displayName="TwitterSearchNetworkTopItems_2" ref="A14:V24" totalsRowShown="0" headerRowDxfId="203" dataDxfId="202">
  <autoFilter ref="A14:V24"/>
  <tableColumns count="22">
    <tableColumn id="1" name="Top Domains in Tweet in Entire Graph" dataDxfId="201"/>
    <tableColumn id="2" name="Entire Graph Count" dataDxfId="200"/>
    <tableColumn id="3" name="Top Domains in Tweet in G1" dataDxfId="199"/>
    <tableColumn id="4" name="G1 Count" dataDxfId="198"/>
    <tableColumn id="5" name="Top Domains in Tweet in G2" dataDxfId="197"/>
    <tableColumn id="6" name="G2 Count" dataDxfId="196"/>
    <tableColumn id="7" name="Top Domains in Tweet in G3" dataDxfId="195"/>
    <tableColumn id="8" name="G3 Count" dataDxfId="194"/>
    <tableColumn id="9" name="Top Domains in Tweet in G4" dataDxfId="193"/>
    <tableColumn id="10" name="G4 Count" dataDxfId="192"/>
    <tableColumn id="11" name="Top Domains in Tweet in G5" dataDxfId="191"/>
    <tableColumn id="12" name="G5 Count" dataDxfId="190"/>
    <tableColumn id="13" name="Top Domains in Tweet in G6" dataDxfId="189"/>
    <tableColumn id="14" name="G6 Count" dataDxfId="188"/>
    <tableColumn id="15" name="Top Domains in Tweet in G7" dataDxfId="187"/>
    <tableColumn id="16" name="G7 Count" dataDxfId="186"/>
    <tableColumn id="17" name="Top Domains in Tweet in G8" dataDxfId="185"/>
    <tableColumn id="18" name="G8 Count" dataDxfId="184"/>
    <tableColumn id="19" name="Top Domains in Tweet in G9" dataDxfId="183"/>
    <tableColumn id="20" name="G9 Count" dataDxfId="182"/>
    <tableColumn id="21" name="Top Domains in Tweet in G10" dataDxfId="181"/>
    <tableColumn id="22" name="G10 Count" dataDxfId="180"/>
  </tableColumns>
  <tableStyleInfo name="NodeXL Table" showFirstColumn="0" showLastColumn="0" showRowStripes="1" showColumnStripes="0"/>
</table>
</file>

<file path=xl/tables/table13.xml><?xml version="1.0" encoding="utf-8"?>
<table xmlns="http://schemas.openxmlformats.org/spreadsheetml/2006/main" id="31" name="TwitterSearchNetworkTopItems_3" displayName="TwitterSearchNetworkTopItems_3" ref="A27:V37" totalsRowShown="0" headerRowDxfId="178" dataDxfId="177">
  <autoFilter ref="A27:V37"/>
  <tableColumns count="22">
    <tableColumn id="1" name="Top Hashtags in Tweet in Entire Graph" dataDxfId="176"/>
    <tableColumn id="2" name="Entire Graph Count" dataDxfId="175"/>
    <tableColumn id="3" name="Top Hashtags in Tweet in G1" dataDxfId="174"/>
    <tableColumn id="4" name="G1 Count" dataDxfId="173"/>
    <tableColumn id="5" name="Top Hashtags in Tweet in G2" dataDxfId="172"/>
    <tableColumn id="6" name="G2 Count" dataDxfId="171"/>
    <tableColumn id="7" name="Top Hashtags in Tweet in G3" dataDxfId="170"/>
    <tableColumn id="8" name="G3 Count" dataDxfId="169"/>
    <tableColumn id="9" name="Top Hashtags in Tweet in G4" dataDxfId="168"/>
    <tableColumn id="10" name="G4 Count" dataDxfId="167"/>
    <tableColumn id="11" name="Top Hashtags in Tweet in G5" dataDxfId="166"/>
    <tableColumn id="12" name="G5 Count" dataDxfId="165"/>
    <tableColumn id="13" name="Top Hashtags in Tweet in G6" dataDxfId="164"/>
    <tableColumn id="14" name="G6 Count" dataDxfId="163"/>
    <tableColumn id="15" name="Top Hashtags in Tweet in G7" dataDxfId="162"/>
    <tableColumn id="16" name="G7 Count" dataDxfId="161"/>
    <tableColumn id="17" name="Top Hashtags in Tweet in G8" dataDxfId="160"/>
    <tableColumn id="18" name="G8 Count" dataDxfId="159"/>
    <tableColumn id="19" name="Top Hashtags in Tweet in G9" dataDxfId="158"/>
    <tableColumn id="20" name="G9 Count" dataDxfId="157"/>
    <tableColumn id="21" name="Top Hashtags in Tweet in G10" dataDxfId="156"/>
    <tableColumn id="22" name="G10 Count" dataDxfId="155"/>
  </tableColumns>
  <tableStyleInfo name="NodeXL Table" showFirstColumn="0" showLastColumn="0" showRowStripes="1" showColumnStripes="0"/>
</table>
</file>

<file path=xl/tables/table14.xml><?xml version="1.0" encoding="utf-8"?>
<table xmlns="http://schemas.openxmlformats.org/spreadsheetml/2006/main" id="32" name="TwitterSearchNetworkTopItems_4" displayName="TwitterSearchNetworkTopItems_4" ref="A40:V50" totalsRowShown="0" headerRowDxfId="153" dataDxfId="152">
  <autoFilter ref="A40:V50"/>
  <tableColumns count="2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 id="13" name="Top Words in Tweet in G6" dataDxfId="139"/>
    <tableColumn id="14" name="G6 Count" dataDxfId="138"/>
    <tableColumn id="15" name="Top Words in Tweet in G7" dataDxfId="137"/>
    <tableColumn id="16" name="G7 Count" dataDxfId="136"/>
    <tableColumn id="17" name="Top Words in Tweet in G8" dataDxfId="135"/>
    <tableColumn id="18" name="G8 Count" dataDxfId="134"/>
    <tableColumn id="19" name="Top Words in Tweet in G9" dataDxfId="133"/>
    <tableColumn id="20" name="G9 Count" dataDxfId="132"/>
    <tableColumn id="21" name="Top Words in Tweet in G10" dataDxfId="131"/>
    <tableColumn id="22" name="G10 Count" dataDxfId="130"/>
  </tableColumns>
  <tableStyleInfo name="NodeXL Table" showFirstColumn="0" showLastColumn="0" showRowStripes="1" showColumnStripes="0"/>
</table>
</file>

<file path=xl/tables/table15.xml><?xml version="1.0" encoding="utf-8"?>
<table xmlns="http://schemas.openxmlformats.org/spreadsheetml/2006/main" id="33" name="TwitterSearchNetworkTopItems_5" displayName="TwitterSearchNetworkTopItems_5" ref="A53:V63" totalsRowShown="0" headerRowDxfId="128" dataDxfId="127">
  <autoFilter ref="A53:V63"/>
  <tableColumns count="22">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 id="7" name="Top Word Pairs in Tweet in G3" dataDxfId="120"/>
    <tableColumn id="8" name="G3 Count" dataDxfId="119"/>
    <tableColumn id="9" name="Top Word Pairs in Tweet in G4" dataDxfId="118"/>
    <tableColumn id="10" name="G4 Count" dataDxfId="117"/>
    <tableColumn id="11" name="Top Word Pairs in Tweet in G5" dataDxfId="116"/>
    <tableColumn id="12" name="G5 Count" dataDxfId="115"/>
    <tableColumn id="13" name="Top Word Pairs in Tweet in G6" dataDxfId="114"/>
    <tableColumn id="14" name="G6 Count" dataDxfId="113"/>
    <tableColumn id="15" name="Top Word Pairs in Tweet in G7" dataDxfId="112"/>
    <tableColumn id="16" name="G7 Count" dataDxfId="111"/>
    <tableColumn id="17" name="Top Word Pairs in Tweet in G8" dataDxfId="110"/>
    <tableColumn id="18" name="G8 Count" dataDxfId="109"/>
    <tableColumn id="19" name="Top Word Pairs in Tweet in G9" dataDxfId="108"/>
    <tableColumn id="20" name="G9 Count" dataDxfId="107"/>
    <tableColumn id="21" name="Top Word Pairs in Tweet in G10" dataDxfId="106"/>
    <tableColumn id="22" name="G10 Count" dataDxfId="105"/>
  </tableColumns>
  <tableStyleInfo name="NodeXL Table" showFirstColumn="0" showLastColumn="0" showRowStripes="1" showColumnStripes="0"/>
</table>
</file>

<file path=xl/tables/table16.xml><?xml version="1.0" encoding="utf-8"?>
<table xmlns="http://schemas.openxmlformats.org/spreadsheetml/2006/main" id="34" name="TwitterSearchNetworkTopItems_6" displayName="TwitterSearchNetworkTopItems_6" ref="A66:V76" totalsRowShown="0" headerRowDxfId="103" dataDxfId="102">
  <autoFilter ref="A66:V76"/>
  <tableColumns count="22">
    <tableColumn id="1" name="Top Replied-To in Entire Graph" dataDxfId="101"/>
    <tableColumn id="2" name="Entire Graph Count" dataDxfId="97"/>
    <tableColumn id="3" name="Top Replied-To in G1" dataDxfId="96"/>
    <tableColumn id="4" name="G1 Count" dataDxfId="93"/>
    <tableColumn id="5" name="Top Replied-To in G2" dataDxfId="92"/>
    <tableColumn id="6" name="G2 Count" dataDxfId="89"/>
    <tableColumn id="7" name="Top Replied-To in G3" dataDxfId="88"/>
    <tableColumn id="8" name="G3 Count" dataDxfId="85"/>
    <tableColumn id="9" name="Top Replied-To in G4" dataDxfId="84"/>
    <tableColumn id="10" name="G4 Count" dataDxfId="81"/>
    <tableColumn id="11" name="Top Replied-To in G5" dataDxfId="80"/>
    <tableColumn id="12" name="G5 Count" dataDxfId="77"/>
    <tableColumn id="13" name="Top Replied-To in G6" dataDxfId="76"/>
    <tableColumn id="14" name="G6 Count" dataDxfId="73"/>
    <tableColumn id="15" name="Top Replied-To in G7" dataDxfId="72"/>
    <tableColumn id="16" name="G7 Count" dataDxfId="69"/>
    <tableColumn id="17" name="Top Replied-To in G8" dataDxfId="68"/>
    <tableColumn id="18" name="G8 Count" dataDxfId="65"/>
    <tableColumn id="19" name="Top Replied-To in G9" dataDxfId="64"/>
    <tableColumn id="20" name="G9 Count" dataDxfId="61"/>
    <tableColumn id="21" name="Top Replied-To in G10" dataDxfId="60"/>
    <tableColumn id="22" name="G10 Count" dataDxfId="59"/>
  </tableColumns>
  <tableStyleInfo name="NodeXL Table" showFirstColumn="0" showLastColumn="0" showRowStripes="1" showColumnStripes="0"/>
</table>
</file>

<file path=xl/tables/table17.xml><?xml version="1.0" encoding="utf-8"?>
<table xmlns="http://schemas.openxmlformats.org/spreadsheetml/2006/main" id="35" name="TwitterSearchNetworkTopItems_7" displayName="TwitterSearchNetworkTopItems_7" ref="A79:V89" totalsRowShown="0" headerRowDxfId="100" dataDxfId="99">
  <autoFilter ref="A79:V89"/>
  <tableColumns count="22">
    <tableColumn id="1" name="Top Mentioned in Entire Graph" dataDxfId="98"/>
    <tableColumn id="2" name="Entire Graph Count" dataDxfId="95"/>
    <tableColumn id="3" name="Top Mentioned in G1" dataDxfId="94"/>
    <tableColumn id="4" name="G1 Count" dataDxfId="91"/>
    <tableColumn id="5" name="Top Mentioned in G2" dataDxfId="90"/>
    <tableColumn id="6" name="G2 Count" dataDxfId="87"/>
    <tableColumn id="7" name="Top Mentioned in G3" dataDxfId="86"/>
    <tableColumn id="8" name="G3 Count" dataDxfId="83"/>
    <tableColumn id="9" name="Top Mentioned in G4" dataDxfId="82"/>
    <tableColumn id="10" name="G4 Count" dataDxfId="79"/>
    <tableColumn id="11" name="Top Mentioned in G5" dataDxfId="78"/>
    <tableColumn id="12" name="G5 Count" dataDxfId="75"/>
    <tableColumn id="13" name="Top Mentioned in G6" dataDxfId="74"/>
    <tableColumn id="14" name="G6 Count" dataDxfId="71"/>
    <tableColumn id="15" name="Top Mentioned in G7" dataDxfId="70"/>
    <tableColumn id="16" name="G7 Count" dataDxfId="67"/>
    <tableColumn id="17" name="Top Mentioned in G8" dataDxfId="66"/>
    <tableColumn id="18" name="G8 Count" dataDxfId="63"/>
    <tableColumn id="19" name="Top Mentioned in G9" dataDxfId="62"/>
    <tableColumn id="20" name="G9 Count" dataDxfId="58"/>
    <tableColumn id="21" name="Top Mentioned in G10" dataDxfId="57"/>
    <tableColumn id="22" name="G10 Count" dataDxfId="56"/>
  </tableColumns>
  <tableStyleInfo name="NodeXL Table" showFirstColumn="0" showLastColumn="0" showRowStripes="1" showColumnStripes="0"/>
</table>
</file>

<file path=xl/tables/table18.xml><?xml version="1.0" encoding="utf-8"?>
<table xmlns="http://schemas.openxmlformats.org/spreadsheetml/2006/main" id="36" name="TwitterSearchNetworkTopItems_8" displayName="TwitterSearchNetworkTopItems_8" ref="A92:V102" totalsRowShown="0" headerRowDxfId="53" dataDxfId="52">
  <autoFilter ref="A92:V102"/>
  <tableColumns count="22">
    <tableColumn id="1" name="Top Tweeters in Entire Graph" dataDxfId="51"/>
    <tableColumn id="2" name="Entire Graph Count" dataDxfId="50"/>
    <tableColumn id="3" name="Top Tweeters in G1" dataDxfId="49"/>
    <tableColumn id="4" name="G1 Count" dataDxfId="48"/>
    <tableColumn id="5" name="Top Tweeters in G2" dataDxfId="47"/>
    <tableColumn id="6" name="G2 Count" dataDxfId="46"/>
    <tableColumn id="7" name="Top Tweeters in G3" dataDxfId="45"/>
    <tableColumn id="8" name="G3 Count" dataDxfId="44"/>
    <tableColumn id="9" name="Top Tweeters in G4" dataDxfId="43"/>
    <tableColumn id="10" name="G4 Count" dataDxfId="42"/>
    <tableColumn id="11" name="Top Tweeters in G5" dataDxfId="41"/>
    <tableColumn id="12" name="G5 Count" dataDxfId="40"/>
    <tableColumn id="13" name="Top Tweeters in G6" dataDxfId="39"/>
    <tableColumn id="14" name="G6 Count" dataDxfId="38"/>
    <tableColumn id="15" name="Top Tweeters in G7" dataDxfId="37"/>
    <tableColumn id="16" name="G7 Count" dataDxfId="36"/>
    <tableColumn id="17" name="Top Tweeters in G8" dataDxfId="35"/>
    <tableColumn id="18" name="G8 Count" dataDxfId="34"/>
    <tableColumn id="19" name="Top Tweeters in G9" dataDxfId="33"/>
    <tableColumn id="20" name="G9 Count" dataDxfId="32"/>
    <tableColumn id="21" name="Top Tweeters in G10" dataDxfId="31"/>
    <tableColumn id="22" name="G10 Count" dataDxfId="30"/>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76" dataDxfId="375">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58" totalsRowShown="0" headerRowDxfId="402" dataDxfId="349">
  <autoFilter ref="A2:CA158"/>
  <tableColumns count="79">
    <tableColumn id="1" name="Vertex" dataDxfId="362"/>
    <tableColumn id="79" name="Subgraph"/>
    <tableColumn id="2" name="Color" dataDxfId="361"/>
    <tableColumn id="5" name="Shape" dataDxfId="360"/>
    <tableColumn id="6" name="Size" dataDxfId="359"/>
    <tableColumn id="4" name="Opacity" dataDxfId="261"/>
    <tableColumn id="7" name="Image File" dataDxfId="259"/>
    <tableColumn id="3" name="Visibility" dataDxfId="260"/>
    <tableColumn id="10" name="Label" dataDxfId="358"/>
    <tableColumn id="16" name="Label Fill Color" dataDxfId="357"/>
    <tableColumn id="9" name="Label Position" dataDxfId="256"/>
    <tableColumn id="8" name="Tooltip" dataDxfId="254"/>
    <tableColumn id="18" name="Layout Order" dataDxfId="255"/>
    <tableColumn id="13" name="X" dataDxfId="356"/>
    <tableColumn id="14" name="Y" dataDxfId="355"/>
    <tableColumn id="12" name="Locked?" dataDxfId="354"/>
    <tableColumn id="19" name="Polar R" dataDxfId="353"/>
    <tableColumn id="20" name="Polar Angle" dataDxfId="352"/>
    <tableColumn id="21" name="Degree" dataDxfId="8"/>
    <tableColumn id="22" name="In-Degree" dataDxfId="7"/>
    <tableColumn id="23" name="Out-Degree" dataDxfId="5"/>
    <tableColumn id="24" name="Betweenness Centrality" dataDxfId="6"/>
    <tableColumn id="25" name="Closeness Centrality" dataDxfId="10"/>
    <tableColumn id="26" name="Eigenvector Centrality" dataDxfId="9"/>
    <tableColumn id="15" name="PageRank" dataDxfId="4"/>
    <tableColumn id="27" name="Clustering Coefficient" dataDxfId="2"/>
    <tableColumn id="29" name="Reciprocated Vertex Pair Ratio" dataDxfId="3"/>
    <tableColumn id="11" name="ID" dataDxfId="351"/>
    <tableColumn id="28" name="Dynamic Filter" dataDxfId="350"/>
    <tableColumn id="17" name="Add Your Own Columns Here" dataDxfId="297"/>
    <tableColumn id="30" name="Name" dataDxfId="296"/>
    <tableColumn id="31" name="User ID" dataDxfId="295"/>
    <tableColumn id="32" name="Followers" dataDxfId="294"/>
    <tableColumn id="33" name="Followed" dataDxfId="293"/>
    <tableColumn id="34" name="Tweets" dataDxfId="292"/>
    <tableColumn id="35" name="Listed Count" dataDxfId="291"/>
    <tableColumn id="36" name="Favourites Count" dataDxfId="290"/>
    <tableColumn id="37" name="Media Count" dataDxfId="289"/>
    <tableColumn id="38" name="Verified" dataDxfId="288"/>
    <tableColumn id="39" name="Joined Twitter Date (UTC)" dataDxfId="287"/>
    <tableColumn id="40" name="Location" dataDxfId="286"/>
    <tableColumn id="41" name="Description" dataDxfId="285"/>
    <tableColumn id="42" name="URLs (Details)" dataDxfId="284"/>
    <tableColumn id="43" name="Expanded URLs (Details)" dataDxfId="283"/>
    <tableColumn id="44" name="Display URLs (Details)" dataDxfId="282"/>
    <tableColumn id="45" name="Description URLs (Details)" dataDxfId="281"/>
    <tableColumn id="46" name="Description Expanded URLs (Details)" dataDxfId="280"/>
    <tableColumn id="47" name="Description Display URLS (Details)" dataDxfId="279"/>
    <tableColumn id="48" name="Pinned Tweet ID" dataDxfId="278"/>
    <tableColumn id="49" name="URL" dataDxfId="277"/>
    <tableColumn id="50" name="Is Blue Verified" dataDxfId="276"/>
    <tableColumn id="51" name="You Are Followed By" dataDxfId="275"/>
    <tableColumn id="52" name="You Are Following" dataDxfId="274"/>
    <tableColumn id="53" name="Can DM" dataDxfId="273"/>
    <tableColumn id="54" name="Can Media Tag" dataDxfId="272"/>
    <tableColumn id="55" name="Default Profile" dataDxfId="271"/>
    <tableColumn id="56" name="Default Profile Image" dataDxfId="270"/>
    <tableColumn id="57" name="Has Custom Timelines" dataDxfId="269"/>
    <tableColumn id="58" name="Is Translator" dataDxfId="268"/>
    <tableColumn id="59" name="Possibly Sensitive" dataDxfId="267"/>
    <tableColumn id="60" name="Profile Banner URL" dataDxfId="266"/>
    <tableColumn id="61" name="Profile Interstitial Type" dataDxfId="265"/>
    <tableColumn id="62" name="Translator Type" dataDxfId="264"/>
    <tableColumn id="63" name="Want Retweets" dataDxfId="263"/>
    <tableColumn id="64" name="Withheld" dataDxfId="262"/>
    <tableColumn id="65" name="Tweeted Search Term?" dataDxfId="258"/>
    <tableColumn id="66" name="Custom Menu Item Text" dataDxfId="257"/>
    <tableColumn id="67" name="Custom Menu Item Action" dataDxfId="27"/>
    <tableColumn id="68" name="Top URLs in Tweet by Count" dataDxfId="26"/>
    <tableColumn id="69" name="Top URLs in Tweet by Salience" dataDxfId="25"/>
    <tableColumn id="70" name="Top Domains in Tweet by Count" dataDxfId="24"/>
    <tableColumn id="71" name="Top Domains in Tweet by Salience" dataDxfId="23"/>
    <tableColumn id="72" name="Top Hashtags in Tweet by Count" dataDxfId="22"/>
    <tableColumn id="73" name="Top Hashtags in Tweet by Salience" dataDxfId="21"/>
    <tableColumn id="74" name="Top Words in Tweet by Count" dataDxfId="20"/>
    <tableColumn id="75" name="Top Words in Tweet by Salience" dataDxfId="19"/>
    <tableColumn id="76" name="Top Word Pairs in Tweet by Count" dataDxfId="18"/>
    <tableColumn id="77" name="Top Word Pairs in Tweet by Salience" dataDxfId="16"/>
    <tableColumn id="78" name="Vertex Group" dataDxfId="17">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8" name="GroupEdges" displayName="GroupEdges" ref="A2:C34" totalsRowShown="0" headerRowDxfId="374" dataDxfId="373">
  <autoFilter ref="A2:C34"/>
  <tableColumns count="3">
    <tableColumn id="1" name="Group 1" dataDxfId="15"/>
    <tableColumn id="2" name="Group 2" dataDxfId="14"/>
    <tableColumn id="3" name="Edges"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8" totalsRowShown="0" headerRowDxfId="401">
  <autoFilter ref="A2:AF18"/>
  <tableColumns count="32">
    <tableColumn id="1" name="Group" dataDxfId="253"/>
    <tableColumn id="2" name="Vertex Color" dataDxfId="252"/>
    <tableColumn id="3" name="Vertex Shape" dataDxfId="250"/>
    <tableColumn id="22" name="Visibility" dataDxfId="251"/>
    <tableColumn id="4" name="Collapsed?"/>
    <tableColumn id="18" name="Label" dataDxfId="400"/>
    <tableColumn id="20" name="Collapsed X"/>
    <tableColumn id="21" name="Collapsed Y"/>
    <tableColumn id="6" name="ID" dataDxfId="399"/>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204"/>
    <tableColumn id="23" name="Top URLs in Tweet" dataDxfId="179"/>
    <tableColumn id="26" name="Top Domains in Tweet" dataDxfId="154"/>
    <tableColumn id="27" name="Top Hashtags in Tweet" dataDxfId="129"/>
    <tableColumn id="28" name="Top Words in Tweet" dataDxfId="104"/>
    <tableColumn id="29" name="Top Word Pairs in Tweet" dataDxfId="55"/>
    <tableColumn id="30" name="Top Replied-To in Tweet" dataDxfId="54"/>
    <tableColumn id="31" name="Top Mentioned in Tweet" dataDxfId="29"/>
    <tableColumn id="32" name="Top Tweeters" dataDxfId="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398" dataDxfId="397">
  <autoFilter ref="A1:C157"/>
  <tableColumns count="3">
    <tableColumn id="1" name="Group" dataDxfId="249"/>
    <tableColumn id="2" name="Vertex" dataDxfId="248"/>
    <tableColumn id="3" name="Vertex ID" dataDxfId="24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
    <tableColumn id="2" name="Value" dataDxfId="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37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novies/status/1402693044516757504" TargetMode="External" /><Relationship Id="rId2" Type="http://schemas.openxmlformats.org/officeDocument/2006/relationships/hyperlink" Target="https://statusbrew.com/" TargetMode="External" /><Relationship Id="rId3" Type="http://schemas.openxmlformats.org/officeDocument/2006/relationships/hyperlink" Target="https://twitter.com/suryakotianu/status/938667558806286337" TargetMode="External" /><Relationship Id="rId4" Type="http://schemas.openxmlformats.org/officeDocument/2006/relationships/hyperlink" Target="https://goo.gl/UDmV7L" TargetMode="External" /><Relationship Id="rId5" Type="http://schemas.openxmlformats.org/officeDocument/2006/relationships/hyperlink" Target="http://cssnectar.com/" TargetMode="External" /><Relationship Id="rId6" Type="http://schemas.openxmlformats.org/officeDocument/2006/relationships/hyperlink" Target="http://www.inovies.com/10-simple-ways-to-drive-better-quality-leads-from-your-website-78-inovies.html" TargetMode="External" /><Relationship Id="rId7" Type="http://schemas.openxmlformats.org/officeDocument/2006/relationships/hyperlink" Target="https://www.dreamcreationsevents.com/event/tcpl-season-2/" TargetMode="External" /><Relationship Id="rId8" Type="http://schemas.openxmlformats.org/officeDocument/2006/relationships/hyperlink" Target="https://commun.it/?aid=thankyou162" TargetMode="External" /><Relationship Id="rId9" Type="http://schemas.openxmlformats.org/officeDocument/2006/relationships/hyperlink" Target="https://customerthink.com/will-you-become-one-with-growth-hacker-marketing/" TargetMode="External" /><Relationship Id="rId10" Type="http://schemas.openxmlformats.org/officeDocument/2006/relationships/hyperlink" Target="http://webguruawards.com/winners" TargetMode="External" /><Relationship Id="rId11" Type="http://schemas.openxmlformats.org/officeDocument/2006/relationships/hyperlink" Target="https://twitter.com/Inovies/status/1402693044516757504" TargetMode="External" /><Relationship Id="rId12" Type="http://schemas.openxmlformats.org/officeDocument/2006/relationships/hyperlink" Target="https://statusbrew.com/" TargetMode="External" /><Relationship Id="rId13" Type="http://schemas.openxmlformats.org/officeDocument/2006/relationships/hyperlink" Target="https://twitter.com/suryakotianu/status/938667558806286337" TargetMode="External" /><Relationship Id="rId14" Type="http://schemas.openxmlformats.org/officeDocument/2006/relationships/hyperlink" Target="https://goo.gl/UDmV7L" TargetMode="External" /><Relationship Id="rId15" Type="http://schemas.openxmlformats.org/officeDocument/2006/relationships/hyperlink" Target="http://www.inovies.com/10-simple-ways-to-drive-better-quality-leads-from-your-website-78-inovies.html" TargetMode="External" /><Relationship Id="rId16" Type="http://schemas.openxmlformats.org/officeDocument/2006/relationships/hyperlink" Target="https://twitter.com/inovies/status/1402693044516757504" TargetMode="External" /><Relationship Id="rId17" Type="http://schemas.openxmlformats.org/officeDocument/2006/relationships/hyperlink" Target="https://www.linkedin.com/pulse/its-time-raise-your-web-design-rates-nagendra-b" TargetMode="External" /><Relationship Id="rId18" Type="http://schemas.openxmlformats.org/officeDocument/2006/relationships/hyperlink" Target="https://www.linkedin.com/pulse/chipping-people-you-ready-shelly-palmer" TargetMode="External" /><Relationship Id="rId19" Type="http://schemas.openxmlformats.org/officeDocument/2006/relationships/hyperlink" Target="https://yourstory.com/2016/11/4ec59cb4da-i-would-love-to-turn-odds-to-my-favor/?utm_source=twitter" TargetMode="External" /><Relationship Id="rId20" Type="http://schemas.openxmlformats.org/officeDocument/2006/relationships/hyperlink" Target="https://www.paypal-proserv.com/newmoney/celebrating-entrepreneurs/allprofiles.php?id=865" TargetMode="External" /><Relationship Id="rId21" Type="http://schemas.openxmlformats.org/officeDocument/2006/relationships/hyperlink" Target="https://bit.ly/3fs59eV" TargetMode="External" /><Relationship Id="rId22" Type="http://schemas.openxmlformats.org/officeDocument/2006/relationships/hyperlink" Target="https://bit.ly/39b0qy9" TargetMode="External" /><Relationship Id="rId23" Type="http://schemas.openxmlformats.org/officeDocument/2006/relationships/hyperlink" Target="https://bit.ly/2ItxUwZ" TargetMode="External" /><Relationship Id="rId24" Type="http://schemas.openxmlformats.org/officeDocument/2006/relationships/hyperlink" Target="http://topdevelopers.co/" TargetMode="External" /><Relationship Id="rId25" Type="http://schemas.openxmlformats.org/officeDocument/2006/relationships/hyperlink" Target="https://bit.ly/3kr97ri" TargetMode="External" /><Relationship Id="rId26" Type="http://schemas.openxmlformats.org/officeDocument/2006/relationships/hyperlink" Target="https://www.altereco.media/cW0" TargetMode="External" /><Relationship Id="rId27" Type="http://schemas.openxmlformats.org/officeDocument/2006/relationships/hyperlink" Target="https://bit.ly/30r2Oga" TargetMode="External" /><Relationship Id="rId28" Type="http://schemas.openxmlformats.org/officeDocument/2006/relationships/hyperlink" Target="https://www.dreamcreationsevents.com/event/tcpl-season-2/" TargetMode="External" /><Relationship Id="rId29" Type="http://schemas.openxmlformats.org/officeDocument/2006/relationships/hyperlink" Target="http://webguruawards.com/winners" TargetMode="External" /><Relationship Id="rId30" Type="http://schemas.openxmlformats.org/officeDocument/2006/relationships/hyperlink" Target="https://www.webguruawards.com/user/details/webdesignagency-1662"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08"/>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2812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3" width="10.421875" style="0" bestFit="1" customWidth="1"/>
    <col min="64" max="64" width="15.57421875" style="0" bestFit="1" customWidth="1"/>
    <col min="65" max="65" width="10.57421875" style="0" bestFit="1" customWidth="1"/>
    <col min="66" max="66" width="11.71093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c r="BJ2" t="s">
        <v>334</v>
      </c>
      <c r="BK2" s="7" t="s">
        <v>469</v>
      </c>
      <c r="BL2" s="7" t="s">
        <v>470</v>
      </c>
    </row>
    <row r="3" spans="1:64" ht="15" customHeight="1">
      <c r="A3" s="61" t="s">
        <v>648</v>
      </c>
      <c r="B3" s="61" t="s">
        <v>224</v>
      </c>
      <c r="C3" s="62"/>
      <c r="D3" s="63"/>
      <c r="E3" s="64"/>
      <c r="F3" s="65"/>
      <c r="G3" s="62"/>
      <c r="H3" s="66"/>
      <c r="I3" s="67"/>
      <c r="J3" s="67"/>
      <c r="K3" s="31" t="s">
        <v>65</v>
      </c>
      <c r="L3" s="68">
        <v>3</v>
      </c>
      <c r="M3" s="68"/>
      <c r="N3" s="69"/>
      <c r="O3" s="75" t="s">
        <v>227</v>
      </c>
      <c r="P3" s="77">
        <v>42956.315717592595</v>
      </c>
      <c r="Q3" s="75" t="s">
        <v>830</v>
      </c>
      <c r="R3" s="75">
        <v>0</v>
      </c>
      <c r="S3" s="75">
        <v>0</v>
      </c>
      <c r="T3" s="75">
        <v>0</v>
      </c>
      <c r="U3" s="75">
        <v>0</v>
      </c>
      <c r="V3" s="75"/>
      <c r="W3" s="79"/>
      <c r="X3" s="83" t="str">
        <f>HYPERLINK("https://www.followupthen.com")</f>
        <v>https://www.followupthen.com</v>
      </c>
      <c r="Y3" s="75" t="s">
        <v>892</v>
      </c>
      <c r="Z3" s="75" t="s">
        <v>224</v>
      </c>
      <c r="AA3" s="75"/>
      <c r="AB3" s="75"/>
      <c r="AC3" s="79" t="s">
        <v>945</v>
      </c>
      <c r="AD3" s="75" t="s">
        <v>244</v>
      </c>
      <c r="AE3" s="83" t="str">
        <f>HYPERLINK("https://twitter.com/followupthen/status/895186545417867264")</f>
        <v>https://twitter.com/followupthen/status/895186545417867264</v>
      </c>
      <c r="AF3" s="77">
        <v>42956.315717592595</v>
      </c>
      <c r="AG3" s="84">
        <v>42956</v>
      </c>
      <c r="AH3" s="79" t="s">
        <v>1053</v>
      </c>
      <c r="AI3" s="75" t="b">
        <v>0</v>
      </c>
      <c r="AJ3" s="75"/>
      <c r="AK3" s="75"/>
      <c r="AL3" s="75"/>
      <c r="AM3" s="75"/>
      <c r="AN3" s="75"/>
      <c r="AO3" s="75"/>
      <c r="AP3" s="75"/>
      <c r="AQ3" s="75"/>
      <c r="AR3" s="75"/>
      <c r="AS3" s="75"/>
      <c r="AT3" s="75"/>
      <c r="AU3" s="75"/>
      <c r="AV3" s="83" t="str">
        <f>HYPERLINK("https://pbs.twimg.com/profile_images/1235364542/favicon_normal.png")</f>
        <v>https://pbs.twimg.com/profile_images/1235364542/favicon_normal.png</v>
      </c>
      <c r="AW3" s="79" t="s">
        <v>1188</v>
      </c>
      <c r="AX3" s="79" t="s">
        <v>1188</v>
      </c>
      <c r="AY3" s="79" t="s">
        <v>251</v>
      </c>
      <c r="AZ3" s="79" t="s">
        <v>252</v>
      </c>
      <c r="BA3" s="79" t="s">
        <v>252</v>
      </c>
      <c r="BB3" s="79" t="s">
        <v>252</v>
      </c>
      <c r="BC3" s="79" t="s">
        <v>1188</v>
      </c>
      <c r="BD3" s="79">
        <v>236971013</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row>
    <row r="4" spans="1:64" ht="15" customHeight="1">
      <c r="A4" s="61" t="s">
        <v>583</v>
      </c>
      <c r="B4" s="61" t="s">
        <v>224</v>
      </c>
      <c r="C4" s="62"/>
      <c r="D4" s="63"/>
      <c r="E4" s="64"/>
      <c r="F4" s="65"/>
      <c r="G4" s="62"/>
      <c r="H4" s="66"/>
      <c r="I4" s="67"/>
      <c r="J4" s="67"/>
      <c r="K4" s="31" t="s">
        <v>65</v>
      </c>
      <c r="L4" s="74">
        <v>4</v>
      </c>
      <c r="M4" s="74"/>
      <c r="N4" s="69"/>
      <c r="O4" s="76" t="s">
        <v>228</v>
      </c>
      <c r="P4" s="78">
        <v>43457.61571759259</v>
      </c>
      <c r="Q4" s="76" t="s">
        <v>733</v>
      </c>
      <c r="R4" s="76">
        <v>0</v>
      </c>
      <c r="S4" s="76">
        <v>0</v>
      </c>
      <c r="T4" s="76">
        <v>0</v>
      </c>
      <c r="U4" s="76">
        <v>0</v>
      </c>
      <c r="V4" s="76"/>
      <c r="W4" s="76"/>
      <c r="X4" s="76"/>
      <c r="Y4" s="76"/>
      <c r="Z4" s="76" t="s">
        <v>224</v>
      </c>
      <c r="AA4" s="76"/>
      <c r="AB4" s="76"/>
      <c r="AC4" s="80" t="s">
        <v>240</v>
      </c>
      <c r="AD4" s="76" t="s">
        <v>247</v>
      </c>
      <c r="AE4" s="81" t="str">
        <f>HYPERLINK("https://twitter.com/sumanthch/status/1076851580677218304")</f>
        <v>https://twitter.com/sumanthch/status/1076851580677218304</v>
      </c>
      <c r="AF4" s="78">
        <v>43457.61571759259</v>
      </c>
      <c r="AG4" s="85">
        <v>43457</v>
      </c>
      <c r="AH4" s="80" t="s">
        <v>963</v>
      </c>
      <c r="AI4" s="76"/>
      <c r="AJ4" s="76"/>
      <c r="AK4" s="76"/>
      <c r="AL4" s="76"/>
      <c r="AM4" s="76"/>
      <c r="AN4" s="76"/>
      <c r="AO4" s="76"/>
      <c r="AP4" s="76"/>
      <c r="AQ4" s="76"/>
      <c r="AR4" s="76"/>
      <c r="AS4" s="76"/>
      <c r="AT4" s="76"/>
      <c r="AU4" s="76"/>
      <c r="AV4" s="81" t="str">
        <f>HYPERLINK("https://pbs.twimg.com/profile_images/1610277897662771203/qqkeWNv9_normal.jpg")</f>
        <v>https://pbs.twimg.com/profile_images/1610277897662771203/qqkeWNv9_normal.jpg</v>
      </c>
      <c r="AW4" s="80" t="s">
        <v>1085</v>
      </c>
      <c r="AX4" s="80" t="s">
        <v>1187</v>
      </c>
      <c r="AY4" s="80" t="s">
        <v>251</v>
      </c>
      <c r="AZ4" s="80" t="s">
        <v>1187</v>
      </c>
      <c r="BA4" s="80" t="s">
        <v>252</v>
      </c>
      <c r="BB4" s="80" t="s">
        <v>252</v>
      </c>
      <c r="BC4" s="80" t="s">
        <v>1187</v>
      </c>
      <c r="BD4" s="76">
        <v>49252261</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row>
    <row r="5" spans="1:64" ht="15">
      <c r="A5" s="61" t="s">
        <v>584</v>
      </c>
      <c r="B5" s="61" t="s">
        <v>224</v>
      </c>
      <c r="C5" s="62"/>
      <c r="D5" s="63"/>
      <c r="E5" s="64"/>
      <c r="F5" s="65"/>
      <c r="G5" s="62"/>
      <c r="H5" s="66"/>
      <c r="I5" s="67"/>
      <c r="J5" s="67"/>
      <c r="K5" s="31" t="s">
        <v>65</v>
      </c>
      <c r="L5" s="74">
        <v>5</v>
      </c>
      <c r="M5" s="74"/>
      <c r="N5" s="69"/>
      <c r="O5" s="76" t="s">
        <v>231</v>
      </c>
      <c r="P5" s="78">
        <v>43076.327893518515</v>
      </c>
      <c r="Q5" s="76" t="s">
        <v>734</v>
      </c>
      <c r="R5" s="76">
        <v>0</v>
      </c>
      <c r="S5" s="76">
        <v>0</v>
      </c>
      <c r="T5" s="76">
        <v>0</v>
      </c>
      <c r="U5" s="76">
        <v>0</v>
      </c>
      <c r="V5" s="76"/>
      <c r="W5" s="80" t="s">
        <v>831</v>
      </c>
      <c r="X5" s="76" t="s">
        <v>859</v>
      </c>
      <c r="Y5" s="76" t="s">
        <v>577</v>
      </c>
      <c r="Z5" s="76" t="s">
        <v>224</v>
      </c>
      <c r="AA5" s="76" t="s">
        <v>927</v>
      </c>
      <c r="AB5" s="76" t="s">
        <v>237</v>
      </c>
      <c r="AC5" s="80" t="s">
        <v>243</v>
      </c>
      <c r="AD5" s="76" t="s">
        <v>244</v>
      </c>
      <c r="AE5" s="81" t="str">
        <f>HYPERLINK("https://twitter.com/jameslbrower2/status/938677499436953600")</f>
        <v>https://twitter.com/jameslbrower2/status/938677499436953600</v>
      </c>
      <c r="AF5" s="78">
        <v>43076.327893518515</v>
      </c>
      <c r="AG5" s="85">
        <v>43076</v>
      </c>
      <c r="AH5" s="80" t="s">
        <v>964</v>
      </c>
      <c r="AI5" s="76" t="b">
        <v>0</v>
      </c>
      <c r="AJ5" s="76"/>
      <c r="AK5" s="76"/>
      <c r="AL5" s="76"/>
      <c r="AM5" s="76"/>
      <c r="AN5" s="76"/>
      <c r="AO5" s="76"/>
      <c r="AP5" s="76"/>
      <c r="AQ5" s="76" t="s">
        <v>1069</v>
      </c>
      <c r="AR5" s="76"/>
      <c r="AS5" s="76"/>
      <c r="AT5" s="76"/>
      <c r="AU5" s="76"/>
      <c r="AV5" s="81" t="str">
        <f>HYPERLINK("https://pbs.twimg.com/media/DQbRJ0UUQAYtAx5.jpg")</f>
        <v>https://pbs.twimg.com/media/DQbRJ0UUQAYtAx5.jpg</v>
      </c>
      <c r="AW5" s="80" t="s">
        <v>1086</v>
      </c>
      <c r="AX5" s="80" t="s">
        <v>1086</v>
      </c>
      <c r="AY5" s="76"/>
      <c r="AZ5" s="80" t="s">
        <v>252</v>
      </c>
      <c r="BA5" s="80" t="s">
        <v>1157</v>
      </c>
      <c r="BB5" s="80" t="s">
        <v>252</v>
      </c>
      <c r="BC5" s="80" t="s">
        <v>1157</v>
      </c>
      <c r="BD5" s="80" t="s">
        <v>1226</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row>
    <row r="6" spans="1:64" ht="15">
      <c r="A6" s="61" t="s">
        <v>584</v>
      </c>
      <c r="B6" s="61" t="s">
        <v>627</v>
      </c>
      <c r="C6" s="62"/>
      <c r="D6" s="63"/>
      <c r="E6" s="64"/>
      <c r="F6" s="65"/>
      <c r="G6" s="62"/>
      <c r="H6" s="66"/>
      <c r="I6" s="67"/>
      <c r="J6" s="67"/>
      <c r="K6" s="31" t="s">
        <v>65</v>
      </c>
      <c r="L6" s="74">
        <v>6</v>
      </c>
      <c r="M6" s="74"/>
      <c r="N6" s="69"/>
      <c r="O6" s="76" t="s">
        <v>229</v>
      </c>
      <c r="P6" s="78">
        <v>43076.327893518515</v>
      </c>
      <c r="Q6" s="76" t="s">
        <v>734</v>
      </c>
      <c r="R6" s="76">
        <v>0</v>
      </c>
      <c r="S6" s="76">
        <v>0</v>
      </c>
      <c r="T6" s="76">
        <v>0</v>
      </c>
      <c r="U6" s="76">
        <v>0</v>
      </c>
      <c r="V6" s="76"/>
      <c r="W6" s="80" t="s">
        <v>831</v>
      </c>
      <c r="X6" s="76" t="s">
        <v>859</v>
      </c>
      <c r="Y6" s="76" t="s">
        <v>577</v>
      </c>
      <c r="Z6" s="76" t="s">
        <v>224</v>
      </c>
      <c r="AA6" s="76" t="s">
        <v>927</v>
      </c>
      <c r="AB6" s="76" t="s">
        <v>237</v>
      </c>
      <c r="AC6" s="80" t="s">
        <v>243</v>
      </c>
      <c r="AD6" s="76" t="s">
        <v>244</v>
      </c>
      <c r="AE6" s="81" t="str">
        <f>HYPERLINK("https://twitter.com/jameslbrower2/status/938677499436953600")</f>
        <v>https://twitter.com/jameslbrower2/status/938677499436953600</v>
      </c>
      <c r="AF6" s="78">
        <v>43076.327893518515</v>
      </c>
      <c r="AG6" s="85">
        <v>43076</v>
      </c>
      <c r="AH6" s="80" t="s">
        <v>964</v>
      </c>
      <c r="AI6" s="76" t="b">
        <v>0</v>
      </c>
      <c r="AJ6" s="76"/>
      <c r="AK6" s="76"/>
      <c r="AL6" s="76"/>
      <c r="AM6" s="76"/>
      <c r="AN6" s="76"/>
      <c r="AO6" s="76"/>
      <c r="AP6" s="76"/>
      <c r="AQ6" s="76" t="s">
        <v>1069</v>
      </c>
      <c r="AR6" s="76"/>
      <c r="AS6" s="76"/>
      <c r="AT6" s="76"/>
      <c r="AU6" s="76"/>
      <c r="AV6" s="81" t="str">
        <f>HYPERLINK("https://pbs.twimg.com/media/DQbRJ0UUQAYtAx5.jpg")</f>
        <v>https://pbs.twimg.com/media/DQbRJ0UUQAYtAx5.jpg</v>
      </c>
      <c r="AW6" s="80" t="s">
        <v>1086</v>
      </c>
      <c r="AX6" s="80" t="s">
        <v>1086</v>
      </c>
      <c r="AY6" s="76"/>
      <c r="AZ6" s="80" t="s">
        <v>252</v>
      </c>
      <c r="BA6" s="80" t="s">
        <v>1157</v>
      </c>
      <c r="BB6" s="80" t="s">
        <v>252</v>
      </c>
      <c r="BC6" s="80" t="s">
        <v>1157</v>
      </c>
      <c r="BD6" s="80" t="s">
        <v>1226</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row>
    <row r="7" spans="1:64" ht="15">
      <c r="A7" s="61" t="s">
        <v>585</v>
      </c>
      <c r="B7" s="61" t="s">
        <v>224</v>
      </c>
      <c r="C7" s="62"/>
      <c r="D7" s="63"/>
      <c r="E7" s="64"/>
      <c r="F7" s="65"/>
      <c r="G7" s="62"/>
      <c r="H7" s="66"/>
      <c r="I7" s="67"/>
      <c r="J7" s="67"/>
      <c r="K7" s="31" t="s">
        <v>65</v>
      </c>
      <c r="L7" s="74">
        <v>7</v>
      </c>
      <c r="M7" s="74"/>
      <c r="N7" s="69"/>
      <c r="O7" s="76" t="s">
        <v>230</v>
      </c>
      <c r="P7" s="78">
        <v>44356.70527777778</v>
      </c>
      <c r="Q7" s="76" t="s">
        <v>735</v>
      </c>
      <c r="R7" s="76">
        <v>5</v>
      </c>
      <c r="S7" s="76">
        <v>6</v>
      </c>
      <c r="T7" s="76">
        <v>0</v>
      </c>
      <c r="U7" s="76">
        <v>0</v>
      </c>
      <c r="V7" s="76"/>
      <c r="W7" s="80" t="s">
        <v>832</v>
      </c>
      <c r="X7" s="76"/>
      <c r="Y7" s="76"/>
      <c r="Z7" s="76" t="s">
        <v>893</v>
      </c>
      <c r="AA7" s="76"/>
      <c r="AB7" s="76"/>
      <c r="AC7" s="80" t="s">
        <v>240</v>
      </c>
      <c r="AD7" s="76" t="s">
        <v>245</v>
      </c>
      <c r="AE7" s="81" t="str">
        <f>HYPERLINK("https://twitter.com/narenadarswaero/status/1402670725761167362")</f>
        <v>https://twitter.com/narenadarswaero/status/1402670725761167362</v>
      </c>
      <c r="AF7" s="78">
        <v>44356.70527777778</v>
      </c>
      <c r="AG7" s="85">
        <v>44356</v>
      </c>
      <c r="AH7" s="80" t="s">
        <v>965</v>
      </c>
      <c r="AI7" s="76"/>
      <c r="AJ7" s="76"/>
      <c r="AK7" s="76"/>
      <c r="AL7" s="76"/>
      <c r="AM7" s="76"/>
      <c r="AN7" s="76"/>
      <c r="AO7" s="76"/>
      <c r="AP7" s="76"/>
      <c r="AQ7" s="76"/>
      <c r="AR7" s="76"/>
      <c r="AS7" s="76"/>
      <c r="AT7" s="76"/>
      <c r="AU7" s="76"/>
      <c r="AV7" s="81" t="str">
        <f>HYPERLINK("https://pbs.twimg.com/profile_images/1681728559948374016/_t3jmHTd_normal.jpg")</f>
        <v>https://pbs.twimg.com/profile_images/1681728559948374016/_t3jmHTd_normal.jpg</v>
      </c>
      <c r="AW7" s="80" t="s">
        <v>1087</v>
      </c>
      <c r="AX7" s="80" t="s">
        <v>1189</v>
      </c>
      <c r="AY7" s="80" t="s">
        <v>1203</v>
      </c>
      <c r="AZ7" s="80" t="s">
        <v>1189</v>
      </c>
      <c r="BA7" s="80" t="s">
        <v>252</v>
      </c>
      <c r="BB7" s="80" t="s">
        <v>252</v>
      </c>
      <c r="BC7" s="80" t="s">
        <v>1189</v>
      </c>
      <c r="BD7" s="80" t="s">
        <v>1227</v>
      </c>
      <c r="BE7" s="76"/>
      <c r="BF7" s="76"/>
      <c r="BG7" s="76"/>
      <c r="BH7" s="76"/>
      <c r="BI7" s="76"/>
      <c r="BJ7" s="76">
        <v>2</v>
      </c>
      <c r="BK7" s="75" t="str">
        <f>REPLACE(INDEX(GroupVertices[Group],MATCH("~"&amp;Edges[[#This Row],[Vertex 1]],GroupVertices[Vertex],0)),1,1,"")</f>
        <v>1</v>
      </c>
      <c r="BL7" s="75" t="str">
        <f>REPLACE(INDEX(GroupVertices[Group],MATCH("~"&amp;Edges[[#This Row],[Vertex 2]],GroupVertices[Vertex],0)),1,1,"")</f>
        <v>1</v>
      </c>
    </row>
    <row r="8" spans="1:64" ht="15">
      <c r="A8" s="61" t="s">
        <v>585</v>
      </c>
      <c r="B8" s="61" t="s">
        <v>649</v>
      </c>
      <c r="C8" s="62"/>
      <c r="D8" s="63"/>
      <c r="E8" s="64"/>
      <c r="F8" s="65"/>
      <c r="G8" s="62"/>
      <c r="H8" s="66"/>
      <c r="I8" s="67"/>
      <c r="J8" s="67"/>
      <c r="K8" s="31" t="s">
        <v>65</v>
      </c>
      <c r="L8" s="74">
        <v>8</v>
      </c>
      <c r="M8" s="74"/>
      <c r="N8" s="69"/>
      <c r="O8" s="76" t="s">
        <v>228</v>
      </c>
      <c r="P8" s="78">
        <v>44356.70527777778</v>
      </c>
      <c r="Q8" s="76" t="s">
        <v>735</v>
      </c>
      <c r="R8" s="76">
        <v>5</v>
      </c>
      <c r="S8" s="76">
        <v>6</v>
      </c>
      <c r="T8" s="76">
        <v>0</v>
      </c>
      <c r="U8" s="76">
        <v>0</v>
      </c>
      <c r="V8" s="76"/>
      <c r="W8" s="80" t="s">
        <v>832</v>
      </c>
      <c r="X8" s="76"/>
      <c r="Y8" s="76"/>
      <c r="Z8" s="76" t="s">
        <v>893</v>
      </c>
      <c r="AA8" s="76"/>
      <c r="AB8" s="76"/>
      <c r="AC8" s="80" t="s">
        <v>240</v>
      </c>
      <c r="AD8" s="76" t="s">
        <v>245</v>
      </c>
      <c r="AE8" s="81" t="str">
        <f>HYPERLINK("https://twitter.com/narenadarswaero/status/1402670725761167362")</f>
        <v>https://twitter.com/narenadarswaero/status/1402670725761167362</v>
      </c>
      <c r="AF8" s="78">
        <v>44356.70527777778</v>
      </c>
      <c r="AG8" s="85">
        <v>44356</v>
      </c>
      <c r="AH8" s="80" t="s">
        <v>965</v>
      </c>
      <c r="AI8" s="76"/>
      <c r="AJ8" s="76"/>
      <c r="AK8" s="76"/>
      <c r="AL8" s="76"/>
      <c r="AM8" s="76"/>
      <c r="AN8" s="76"/>
      <c r="AO8" s="76"/>
      <c r="AP8" s="76"/>
      <c r="AQ8" s="76"/>
      <c r="AR8" s="76"/>
      <c r="AS8" s="76"/>
      <c r="AT8" s="76"/>
      <c r="AU8" s="76"/>
      <c r="AV8" s="81" t="str">
        <f>HYPERLINK("https://pbs.twimg.com/profile_images/1681728559948374016/_t3jmHTd_normal.jpg")</f>
        <v>https://pbs.twimg.com/profile_images/1681728559948374016/_t3jmHTd_normal.jpg</v>
      </c>
      <c r="AW8" s="80" t="s">
        <v>1087</v>
      </c>
      <c r="AX8" s="80" t="s">
        <v>1189</v>
      </c>
      <c r="AY8" s="80" t="s">
        <v>1203</v>
      </c>
      <c r="AZ8" s="80" t="s">
        <v>1189</v>
      </c>
      <c r="BA8" s="80" t="s">
        <v>252</v>
      </c>
      <c r="BB8" s="80" t="s">
        <v>252</v>
      </c>
      <c r="BC8" s="80" t="s">
        <v>1189</v>
      </c>
      <c r="BD8" s="80" t="s">
        <v>1227</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row>
    <row r="9" spans="1:64" ht="15">
      <c r="A9" s="61" t="s">
        <v>586</v>
      </c>
      <c r="B9" s="61" t="s">
        <v>224</v>
      </c>
      <c r="C9" s="62"/>
      <c r="D9" s="63"/>
      <c r="E9" s="64"/>
      <c r="F9" s="65"/>
      <c r="G9" s="62"/>
      <c r="H9" s="66"/>
      <c r="I9" s="67"/>
      <c r="J9" s="67"/>
      <c r="K9" s="31" t="s">
        <v>65</v>
      </c>
      <c r="L9" s="74">
        <v>9</v>
      </c>
      <c r="M9" s="74"/>
      <c r="N9" s="69"/>
      <c r="O9" s="76" t="s">
        <v>231</v>
      </c>
      <c r="P9" s="78">
        <v>43076.30704861111</v>
      </c>
      <c r="Q9" s="76" t="s">
        <v>736</v>
      </c>
      <c r="R9" s="76">
        <v>0</v>
      </c>
      <c r="S9" s="76">
        <v>0</v>
      </c>
      <c r="T9" s="76">
        <v>0</v>
      </c>
      <c r="U9" s="76">
        <v>0</v>
      </c>
      <c r="V9" s="76"/>
      <c r="W9" s="80" t="s">
        <v>831</v>
      </c>
      <c r="X9" s="76" t="s">
        <v>859</v>
      </c>
      <c r="Y9" s="76" t="s">
        <v>577</v>
      </c>
      <c r="Z9" s="76" t="s">
        <v>224</v>
      </c>
      <c r="AA9" s="76" t="s">
        <v>928</v>
      </c>
      <c r="AB9" s="76" t="s">
        <v>237</v>
      </c>
      <c r="AC9" s="80" t="s">
        <v>243</v>
      </c>
      <c r="AD9" s="76" t="s">
        <v>244</v>
      </c>
      <c r="AE9" s="81" t="str">
        <f>HYPERLINK("https://twitter.com/dbmwebmarketing/status/938669947269545986")</f>
        <v>https://twitter.com/dbmwebmarketing/status/938669947269545986</v>
      </c>
      <c r="AF9" s="78">
        <v>43076.30704861111</v>
      </c>
      <c r="AG9" s="85">
        <v>43076</v>
      </c>
      <c r="AH9" s="80" t="s">
        <v>966</v>
      </c>
      <c r="AI9" s="76" t="b">
        <v>0</v>
      </c>
      <c r="AJ9" s="76"/>
      <c r="AK9" s="76"/>
      <c r="AL9" s="76"/>
      <c r="AM9" s="76"/>
      <c r="AN9" s="76"/>
      <c r="AO9" s="76"/>
      <c r="AP9" s="76"/>
      <c r="AQ9" s="76" t="s">
        <v>1069</v>
      </c>
      <c r="AR9" s="76"/>
      <c r="AS9" s="76"/>
      <c r="AT9" s="76"/>
      <c r="AU9" s="76"/>
      <c r="AV9" s="81" t="str">
        <f>HYPERLINK("https://pbs.twimg.com/media/DQbRJ0UUQAYtAx5.jpg")</f>
        <v>https://pbs.twimg.com/media/DQbRJ0UUQAYtAx5.jpg</v>
      </c>
      <c r="AW9" s="80" t="s">
        <v>1088</v>
      </c>
      <c r="AX9" s="80" t="s">
        <v>1088</v>
      </c>
      <c r="AY9" s="76"/>
      <c r="AZ9" s="80" t="s">
        <v>252</v>
      </c>
      <c r="BA9" s="80" t="s">
        <v>1157</v>
      </c>
      <c r="BB9" s="80" t="s">
        <v>252</v>
      </c>
      <c r="BC9" s="80" t="s">
        <v>1157</v>
      </c>
      <c r="BD9" s="76">
        <v>920365416</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row>
    <row r="10" spans="1:64" ht="15">
      <c r="A10" s="61" t="s">
        <v>586</v>
      </c>
      <c r="B10" s="61" t="s">
        <v>627</v>
      </c>
      <c r="C10" s="62"/>
      <c r="D10" s="63"/>
      <c r="E10" s="64"/>
      <c r="F10" s="65"/>
      <c r="G10" s="62"/>
      <c r="H10" s="66"/>
      <c r="I10" s="67"/>
      <c r="J10" s="67"/>
      <c r="K10" s="31" t="s">
        <v>65</v>
      </c>
      <c r="L10" s="74">
        <v>10</v>
      </c>
      <c r="M10" s="74"/>
      <c r="N10" s="69"/>
      <c r="O10" s="76" t="s">
        <v>229</v>
      </c>
      <c r="P10" s="78">
        <v>43076.30704861111</v>
      </c>
      <c r="Q10" s="76" t="s">
        <v>736</v>
      </c>
      <c r="R10" s="76">
        <v>0</v>
      </c>
      <c r="S10" s="76">
        <v>0</v>
      </c>
      <c r="T10" s="76">
        <v>0</v>
      </c>
      <c r="U10" s="76">
        <v>0</v>
      </c>
      <c r="V10" s="76"/>
      <c r="W10" s="80" t="s">
        <v>831</v>
      </c>
      <c r="X10" s="76" t="s">
        <v>859</v>
      </c>
      <c r="Y10" s="76" t="s">
        <v>577</v>
      </c>
      <c r="Z10" s="76" t="s">
        <v>224</v>
      </c>
      <c r="AA10" s="76" t="s">
        <v>928</v>
      </c>
      <c r="AB10" s="76" t="s">
        <v>237</v>
      </c>
      <c r="AC10" s="80" t="s">
        <v>243</v>
      </c>
      <c r="AD10" s="76" t="s">
        <v>244</v>
      </c>
      <c r="AE10" s="81" t="str">
        <f>HYPERLINK("https://twitter.com/dbmwebmarketing/status/938669947269545986")</f>
        <v>https://twitter.com/dbmwebmarketing/status/938669947269545986</v>
      </c>
      <c r="AF10" s="78">
        <v>43076.30704861111</v>
      </c>
      <c r="AG10" s="85">
        <v>43076</v>
      </c>
      <c r="AH10" s="80" t="s">
        <v>966</v>
      </c>
      <c r="AI10" s="76" t="b">
        <v>0</v>
      </c>
      <c r="AJ10" s="76"/>
      <c r="AK10" s="76"/>
      <c r="AL10" s="76"/>
      <c r="AM10" s="76"/>
      <c r="AN10" s="76"/>
      <c r="AO10" s="76"/>
      <c r="AP10" s="76"/>
      <c r="AQ10" s="76" t="s">
        <v>1069</v>
      </c>
      <c r="AR10" s="76"/>
      <c r="AS10" s="76"/>
      <c r="AT10" s="76"/>
      <c r="AU10" s="76"/>
      <c r="AV10" s="81" t="str">
        <f>HYPERLINK("https://pbs.twimg.com/media/DQbRJ0UUQAYtAx5.jpg")</f>
        <v>https://pbs.twimg.com/media/DQbRJ0UUQAYtAx5.jpg</v>
      </c>
      <c r="AW10" s="80" t="s">
        <v>1088</v>
      </c>
      <c r="AX10" s="80" t="s">
        <v>1088</v>
      </c>
      <c r="AY10" s="76"/>
      <c r="AZ10" s="80" t="s">
        <v>252</v>
      </c>
      <c r="BA10" s="80" t="s">
        <v>1157</v>
      </c>
      <c r="BB10" s="80" t="s">
        <v>252</v>
      </c>
      <c r="BC10" s="80" t="s">
        <v>1157</v>
      </c>
      <c r="BD10" s="76">
        <v>920365416</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row>
    <row r="11" spans="1:64" ht="15">
      <c r="A11" s="61" t="s">
        <v>587</v>
      </c>
      <c r="B11" s="61" t="s">
        <v>650</v>
      </c>
      <c r="C11" s="62"/>
      <c r="D11" s="63"/>
      <c r="E11" s="64"/>
      <c r="F11" s="65"/>
      <c r="G11" s="62"/>
      <c r="H11" s="66"/>
      <c r="I11" s="67"/>
      <c r="J11" s="67"/>
      <c r="K11" s="31" t="s">
        <v>65</v>
      </c>
      <c r="L11" s="74">
        <v>11</v>
      </c>
      <c r="M11" s="74"/>
      <c r="N11" s="69"/>
      <c r="O11" s="76" t="s">
        <v>230</v>
      </c>
      <c r="P11" s="78">
        <v>44879.384571759256</v>
      </c>
      <c r="Q11" s="76" t="s">
        <v>737</v>
      </c>
      <c r="R11" s="76">
        <v>1</v>
      </c>
      <c r="S11" s="76">
        <v>3</v>
      </c>
      <c r="T11" s="76">
        <v>0</v>
      </c>
      <c r="U11" s="76">
        <v>0</v>
      </c>
      <c r="V11" s="76"/>
      <c r="W11" s="76"/>
      <c r="X11" s="76"/>
      <c r="Y11" s="76"/>
      <c r="Z11" s="76" t="s">
        <v>894</v>
      </c>
      <c r="AA11" s="76"/>
      <c r="AB11" s="76"/>
      <c r="AC11" s="80" t="s">
        <v>241</v>
      </c>
      <c r="AD11" s="76" t="s">
        <v>248</v>
      </c>
      <c r="AE11" s="81" t="str">
        <f>HYPERLINK("https://twitter.com/garcias_jmichel/status/1592083362508050433")</f>
        <v>https://twitter.com/garcias_jmichel/status/1592083362508050433</v>
      </c>
      <c r="AF11" s="78">
        <v>44879.384571759256</v>
      </c>
      <c r="AG11" s="85">
        <v>44879</v>
      </c>
      <c r="AH11" s="80" t="s">
        <v>967</v>
      </c>
      <c r="AI11" s="76"/>
      <c r="AJ11" s="76"/>
      <c r="AK11" s="76"/>
      <c r="AL11" s="76"/>
      <c r="AM11" s="76"/>
      <c r="AN11" s="76"/>
      <c r="AO11" s="76"/>
      <c r="AP11" s="76"/>
      <c r="AQ11" s="76"/>
      <c r="AR11" s="76"/>
      <c r="AS11" s="76"/>
      <c r="AT11" s="76"/>
      <c r="AU11" s="76"/>
      <c r="AV11" s="81" t="str">
        <f>HYPERLINK("https://pbs.twimg.com/profile_images/1703406086269644800/jvdMyk9f_normal.jpg")</f>
        <v>https://pbs.twimg.com/profile_images/1703406086269644800/jvdMyk9f_normal.jpg</v>
      </c>
      <c r="AW11" s="80" t="s">
        <v>1089</v>
      </c>
      <c r="AX11" s="80" t="s">
        <v>1190</v>
      </c>
      <c r="AY11" s="80" t="s">
        <v>1204</v>
      </c>
      <c r="AZ11" s="80" t="s">
        <v>1190</v>
      </c>
      <c r="BA11" s="80" t="s">
        <v>252</v>
      </c>
      <c r="BB11" s="80" t="s">
        <v>252</v>
      </c>
      <c r="BC11" s="80" t="s">
        <v>1190</v>
      </c>
      <c r="BD11" s="80" t="s">
        <v>1228</v>
      </c>
      <c r="BE11" s="76"/>
      <c r="BF11" s="76"/>
      <c r="BG11" s="76"/>
      <c r="BH11" s="76"/>
      <c r="BI11" s="76"/>
      <c r="BJ11" s="76">
        <v>1</v>
      </c>
      <c r="BK11" s="75" t="str">
        <f>REPLACE(INDEX(GroupVertices[Group],MATCH("~"&amp;Edges[[#This Row],[Vertex 1]],GroupVertices[Vertex],0)),1,1,"")</f>
        <v>3</v>
      </c>
      <c r="BL11" s="75" t="str">
        <f>REPLACE(INDEX(GroupVertices[Group],MATCH("~"&amp;Edges[[#This Row],[Vertex 2]],GroupVertices[Vertex],0)),1,1,"")</f>
        <v>3</v>
      </c>
    </row>
    <row r="12" spans="1:64" ht="15">
      <c r="A12" s="61" t="s">
        <v>587</v>
      </c>
      <c r="B12" s="61" t="s">
        <v>651</v>
      </c>
      <c r="C12" s="62"/>
      <c r="D12" s="63"/>
      <c r="E12" s="64"/>
      <c r="F12" s="65"/>
      <c r="G12" s="62"/>
      <c r="H12" s="66"/>
      <c r="I12" s="67"/>
      <c r="J12" s="67"/>
      <c r="K12" s="31" t="s">
        <v>65</v>
      </c>
      <c r="L12" s="74">
        <v>12</v>
      </c>
      <c r="M12" s="74"/>
      <c r="N12" s="69"/>
      <c r="O12" s="76" t="s">
        <v>230</v>
      </c>
      <c r="P12" s="78">
        <v>44879.384571759256</v>
      </c>
      <c r="Q12" s="76" t="s">
        <v>737</v>
      </c>
      <c r="R12" s="76">
        <v>1</v>
      </c>
      <c r="S12" s="76">
        <v>3</v>
      </c>
      <c r="T12" s="76">
        <v>0</v>
      </c>
      <c r="U12" s="76">
        <v>0</v>
      </c>
      <c r="V12" s="76"/>
      <c r="W12" s="76"/>
      <c r="X12" s="76"/>
      <c r="Y12" s="76"/>
      <c r="Z12" s="76" t="s">
        <v>894</v>
      </c>
      <c r="AA12" s="76"/>
      <c r="AB12" s="76"/>
      <c r="AC12" s="80" t="s">
        <v>241</v>
      </c>
      <c r="AD12" s="76" t="s">
        <v>248</v>
      </c>
      <c r="AE12" s="81" t="str">
        <f>HYPERLINK("https://twitter.com/garcias_jmichel/status/1592083362508050433")</f>
        <v>https://twitter.com/garcias_jmichel/status/1592083362508050433</v>
      </c>
      <c r="AF12" s="78">
        <v>44879.384571759256</v>
      </c>
      <c r="AG12" s="85">
        <v>44879</v>
      </c>
      <c r="AH12" s="80" t="s">
        <v>967</v>
      </c>
      <c r="AI12" s="76"/>
      <c r="AJ12" s="76"/>
      <c r="AK12" s="76"/>
      <c r="AL12" s="76"/>
      <c r="AM12" s="76"/>
      <c r="AN12" s="76"/>
      <c r="AO12" s="76"/>
      <c r="AP12" s="76"/>
      <c r="AQ12" s="76"/>
      <c r="AR12" s="76"/>
      <c r="AS12" s="76"/>
      <c r="AT12" s="76"/>
      <c r="AU12" s="76"/>
      <c r="AV12" s="81" t="str">
        <f>HYPERLINK("https://pbs.twimg.com/profile_images/1703406086269644800/jvdMyk9f_normal.jpg")</f>
        <v>https://pbs.twimg.com/profile_images/1703406086269644800/jvdMyk9f_normal.jpg</v>
      </c>
      <c r="AW12" s="80" t="s">
        <v>1089</v>
      </c>
      <c r="AX12" s="80" t="s">
        <v>1190</v>
      </c>
      <c r="AY12" s="80" t="s">
        <v>1204</v>
      </c>
      <c r="AZ12" s="80" t="s">
        <v>1190</v>
      </c>
      <c r="BA12" s="80" t="s">
        <v>252</v>
      </c>
      <c r="BB12" s="80" t="s">
        <v>252</v>
      </c>
      <c r="BC12" s="80" t="s">
        <v>1190</v>
      </c>
      <c r="BD12" s="80" t="s">
        <v>1228</v>
      </c>
      <c r="BE12" s="76"/>
      <c r="BF12" s="76"/>
      <c r="BG12" s="76"/>
      <c r="BH12" s="76"/>
      <c r="BI12" s="76"/>
      <c r="BJ12" s="76">
        <v>1</v>
      </c>
      <c r="BK12" s="75" t="str">
        <f>REPLACE(INDEX(GroupVertices[Group],MATCH("~"&amp;Edges[[#This Row],[Vertex 1]],GroupVertices[Vertex],0)),1,1,"")</f>
        <v>3</v>
      </c>
      <c r="BL12" s="75" t="str">
        <f>REPLACE(INDEX(GroupVertices[Group],MATCH("~"&amp;Edges[[#This Row],[Vertex 2]],GroupVertices[Vertex],0)),1,1,"")</f>
        <v>3</v>
      </c>
    </row>
    <row r="13" spans="1:64" ht="15">
      <c r="A13" s="61" t="s">
        <v>587</v>
      </c>
      <c r="B13" s="61" t="s">
        <v>652</v>
      </c>
      <c r="C13" s="62"/>
      <c r="D13" s="63"/>
      <c r="E13" s="64"/>
      <c r="F13" s="65"/>
      <c r="G13" s="62"/>
      <c r="H13" s="66"/>
      <c r="I13" s="67"/>
      <c r="J13" s="67"/>
      <c r="K13" s="31" t="s">
        <v>65</v>
      </c>
      <c r="L13" s="74">
        <v>13</v>
      </c>
      <c r="M13" s="74"/>
      <c r="N13" s="69"/>
      <c r="O13" s="76" t="s">
        <v>230</v>
      </c>
      <c r="P13" s="78">
        <v>44879.384571759256</v>
      </c>
      <c r="Q13" s="76" t="s">
        <v>737</v>
      </c>
      <c r="R13" s="76">
        <v>1</v>
      </c>
      <c r="S13" s="76">
        <v>3</v>
      </c>
      <c r="T13" s="76">
        <v>0</v>
      </c>
      <c r="U13" s="76">
        <v>0</v>
      </c>
      <c r="V13" s="76"/>
      <c r="W13" s="76"/>
      <c r="X13" s="76"/>
      <c r="Y13" s="76"/>
      <c r="Z13" s="76" t="s">
        <v>894</v>
      </c>
      <c r="AA13" s="76"/>
      <c r="AB13" s="76"/>
      <c r="AC13" s="80" t="s">
        <v>241</v>
      </c>
      <c r="AD13" s="76" t="s">
        <v>248</v>
      </c>
      <c r="AE13" s="81" t="str">
        <f>HYPERLINK("https://twitter.com/garcias_jmichel/status/1592083362508050433")</f>
        <v>https://twitter.com/garcias_jmichel/status/1592083362508050433</v>
      </c>
      <c r="AF13" s="78">
        <v>44879.384571759256</v>
      </c>
      <c r="AG13" s="85">
        <v>44879</v>
      </c>
      <c r="AH13" s="80" t="s">
        <v>967</v>
      </c>
      <c r="AI13" s="76"/>
      <c r="AJ13" s="76"/>
      <c r="AK13" s="76"/>
      <c r="AL13" s="76"/>
      <c r="AM13" s="76"/>
      <c r="AN13" s="76"/>
      <c r="AO13" s="76"/>
      <c r="AP13" s="76"/>
      <c r="AQ13" s="76"/>
      <c r="AR13" s="76"/>
      <c r="AS13" s="76"/>
      <c r="AT13" s="76"/>
      <c r="AU13" s="76"/>
      <c r="AV13" s="81" t="str">
        <f>HYPERLINK("https://pbs.twimg.com/profile_images/1703406086269644800/jvdMyk9f_normal.jpg")</f>
        <v>https://pbs.twimg.com/profile_images/1703406086269644800/jvdMyk9f_normal.jpg</v>
      </c>
      <c r="AW13" s="80" t="s">
        <v>1089</v>
      </c>
      <c r="AX13" s="80" t="s">
        <v>1190</v>
      </c>
      <c r="AY13" s="80" t="s">
        <v>1204</v>
      </c>
      <c r="AZ13" s="80" t="s">
        <v>1190</v>
      </c>
      <c r="BA13" s="80" t="s">
        <v>252</v>
      </c>
      <c r="BB13" s="80" t="s">
        <v>252</v>
      </c>
      <c r="BC13" s="80" t="s">
        <v>1190</v>
      </c>
      <c r="BD13" s="80" t="s">
        <v>1228</v>
      </c>
      <c r="BE13" s="76"/>
      <c r="BF13" s="76"/>
      <c r="BG13" s="76"/>
      <c r="BH13" s="76"/>
      <c r="BI13" s="76"/>
      <c r="BJ13" s="76">
        <v>2</v>
      </c>
      <c r="BK13" s="75" t="str">
        <f>REPLACE(INDEX(GroupVertices[Group],MATCH("~"&amp;Edges[[#This Row],[Vertex 1]],GroupVertices[Vertex],0)),1,1,"")</f>
        <v>3</v>
      </c>
      <c r="BL13" s="75" t="str">
        <f>REPLACE(INDEX(GroupVertices[Group],MATCH("~"&amp;Edges[[#This Row],[Vertex 2]],GroupVertices[Vertex],0)),1,1,"")</f>
        <v>3</v>
      </c>
    </row>
    <row r="14" spans="1:64" ht="15">
      <c r="A14" s="61" t="s">
        <v>587</v>
      </c>
      <c r="B14" s="61" t="s">
        <v>653</v>
      </c>
      <c r="C14" s="62"/>
      <c r="D14" s="63"/>
      <c r="E14" s="64"/>
      <c r="F14" s="65"/>
      <c r="G14" s="62"/>
      <c r="H14" s="66"/>
      <c r="I14" s="67"/>
      <c r="J14" s="67"/>
      <c r="K14" s="31" t="s">
        <v>65</v>
      </c>
      <c r="L14" s="74">
        <v>14</v>
      </c>
      <c r="M14" s="74"/>
      <c r="N14" s="69"/>
      <c r="O14" s="76" t="s">
        <v>230</v>
      </c>
      <c r="P14" s="78">
        <v>44879.384571759256</v>
      </c>
      <c r="Q14" s="76" t="s">
        <v>737</v>
      </c>
      <c r="R14" s="76">
        <v>1</v>
      </c>
      <c r="S14" s="76">
        <v>3</v>
      </c>
      <c r="T14" s="76">
        <v>0</v>
      </c>
      <c r="U14" s="76">
        <v>0</v>
      </c>
      <c r="V14" s="76"/>
      <c r="W14" s="76"/>
      <c r="X14" s="76"/>
      <c r="Y14" s="76"/>
      <c r="Z14" s="76" t="s">
        <v>894</v>
      </c>
      <c r="AA14" s="76"/>
      <c r="AB14" s="76"/>
      <c r="AC14" s="80" t="s">
        <v>241</v>
      </c>
      <c r="AD14" s="76" t="s">
        <v>248</v>
      </c>
      <c r="AE14" s="81" t="str">
        <f>HYPERLINK("https://twitter.com/garcias_jmichel/status/1592083362508050433")</f>
        <v>https://twitter.com/garcias_jmichel/status/1592083362508050433</v>
      </c>
      <c r="AF14" s="78">
        <v>44879.384571759256</v>
      </c>
      <c r="AG14" s="85">
        <v>44879</v>
      </c>
      <c r="AH14" s="80" t="s">
        <v>967</v>
      </c>
      <c r="AI14" s="76"/>
      <c r="AJ14" s="76"/>
      <c r="AK14" s="76"/>
      <c r="AL14" s="76"/>
      <c r="AM14" s="76"/>
      <c r="AN14" s="76"/>
      <c r="AO14" s="76"/>
      <c r="AP14" s="76"/>
      <c r="AQ14" s="76"/>
      <c r="AR14" s="76"/>
      <c r="AS14" s="76"/>
      <c r="AT14" s="76"/>
      <c r="AU14" s="76"/>
      <c r="AV14" s="81" t="str">
        <f>HYPERLINK("https://pbs.twimg.com/profile_images/1703406086269644800/jvdMyk9f_normal.jpg")</f>
        <v>https://pbs.twimg.com/profile_images/1703406086269644800/jvdMyk9f_normal.jpg</v>
      </c>
      <c r="AW14" s="80" t="s">
        <v>1089</v>
      </c>
      <c r="AX14" s="80" t="s">
        <v>1190</v>
      </c>
      <c r="AY14" s="80" t="s">
        <v>1204</v>
      </c>
      <c r="AZ14" s="80" t="s">
        <v>1190</v>
      </c>
      <c r="BA14" s="80" t="s">
        <v>252</v>
      </c>
      <c r="BB14" s="80" t="s">
        <v>252</v>
      </c>
      <c r="BC14" s="80" t="s">
        <v>1190</v>
      </c>
      <c r="BD14" s="80" t="s">
        <v>1228</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row>
    <row r="15" spans="1:64" ht="15">
      <c r="A15" s="61" t="s">
        <v>587</v>
      </c>
      <c r="B15" s="61" t="s">
        <v>654</v>
      </c>
      <c r="C15" s="62"/>
      <c r="D15" s="63"/>
      <c r="E15" s="64"/>
      <c r="F15" s="65"/>
      <c r="G15" s="62"/>
      <c r="H15" s="66"/>
      <c r="I15" s="67"/>
      <c r="J15" s="67"/>
      <c r="K15" s="31" t="s">
        <v>65</v>
      </c>
      <c r="L15" s="74">
        <v>15</v>
      </c>
      <c r="M15" s="74"/>
      <c r="N15" s="69"/>
      <c r="O15" s="76" t="s">
        <v>228</v>
      </c>
      <c r="P15" s="78">
        <v>44879.384571759256</v>
      </c>
      <c r="Q15" s="76" t="s">
        <v>737</v>
      </c>
      <c r="R15" s="76">
        <v>1</v>
      </c>
      <c r="S15" s="76">
        <v>3</v>
      </c>
      <c r="T15" s="76">
        <v>0</v>
      </c>
      <c r="U15" s="76">
        <v>0</v>
      </c>
      <c r="V15" s="76"/>
      <c r="W15" s="76"/>
      <c r="X15" s="76"/>
      <c r="Y15" s="76"/>
      <c r="Z15" s="76" t="s">
        <v>894</v>
      </c>
      <c r="AA15" s="76"/>
      <c r="AB15" s="76"/>
      <c r="AC15" s="80" t="s">
        <v>241</v>
      </c>
      <c r="AD15" s="76" t="s">
        <v>248</v>
      </c>
      <c r="AE15" s="81" t="str">
        <f>HYPERLINK("https://twitter.com/garcias_jmichel/status/1592083362508050433")</f>
        <v>https://twitter.com/garcias_jmichel/status/1592083362508050433</v>
      </c>
      <c r="AF15" s="78">
        <v>44879.384571759256</v>
      </c>
      <c r="AG15" s="85">
        <v>44879</v>
      </c>
      <c r="AH15" s="80" t="s">
        <v>967</v>
      </c>
      <c r="AI15" s="76"/>
      <c r="AJ15" s="76"/>
      <c r="AK15" s="76"/>
      <c r="AL15" s="76"/>
      <c r="AM15" s="76"/>
      <c r="AN15" s="76"/>
      <c r="AO15" s="76"/>
      <c r="AP15" s="76"/>
      <c r="AQ15" s="76"/>
      <c r="AR15" s="76"/>
      <c r="AS15" s="76"/>
      <c r="AT15" s="76"/>
      <c r="AU15" s="76"/>
      <c r="AV15" s="81" t="str">
        <f>HYPERLINK("https://pbs.twimg.com/profile_images/1703406086269644800/jvdMyk9f_normal.jpg")</f>
        <v>https://pbs.twimg.com/profile_images/1703406086269644800/jvdMyk9f_normal.jpg</v>
      </c>
      <c r="AW15" s="80" t="s">
        <v>1089</v>
      </c>
      <c r="AX15" s="80" t="s">
        <v>1190</v>
      </c>
      <c r="AY15" s="80" t="s">
        <v>1204</v>
      </c>
      <c r="AZ15" s="80" t="s">
        <v>1190</v>
      </c>
      <c r="BA15" s="80" t="s">
        <v>252</v>
      </c>
      <c r="BB15" s="80" t="s">
        <v>252</v>
      </c>
      <c r="BC15" s="80" t="s">
        <v>1190</v>
      </c>
      <c r="BD15" s="80" t="s">
        <v>1228</v>
      </c>
      <c r="BE15" s="76"/>
      <c r="BF15" s="76"/>
      <c r="BG15" s="76"/>
      <c r="BH15" s="76"/>
      <c r="BI15" s="76"/>
      <c r="BJ15" s="76">
        <v>1</v>
      </c>
      <c r="BK15" s="75" t="str">
        <f>REPLACE(INDEX(GroupVertices[Group],MATCH("~"&amp;Edges[[#This Row],[Vertex 1]],GroupVertices[Vertex],0)),1,1,"")</f>
        <v>3</v>
      </c>
      <c r="BL15" s="75" t="str">
        <f>REPLACE(INDEX(GroupVertices[Group],MATCH("~"&amp;Edges[[#This Row],[Vertex 2]],GroupVertices[Vertex],0)),1,1,"")</f>
        <v>3</v>
      </c>
    </row>
    <row r="16" spans="1:64" ht="15">
      <c r="A16" s="61" t="s">
        <v>587</v>
      </c>
      <c r="B16" s="61" t="s">
        <v>224</v>
      </c>
      <c r="C16" s="62"/>
      <c r="D16" s="63"/>
      <c r="E16" s="64"/>
      <c r="F16" s="65"/>
      <c r="G16" s="62"/>
      <c r="H16" s="66"/>
      <c r="I16" s="67"/>
      <c r="J16" s="67"/>
      <c r="K16" s="31" t="s">
        <v>65</v>
      </c>
      <c r="L16" s="74">
        <v>16</v>
      </c>
      <c r="M16" s="74"/>
      <c r="N16" s="69"/>
      <c r="O16" s="76" t="s">
        <v>230</v>
      </c>
      <c r="P16" s="78">
        <v>44879.384571759256</v>
      </c>
      <c r="Q16" s="76" t="s">
        <v>737</v>
      </c>
      <c r="R16" s="76">
        <v>1</v>
      </c>
      <c r="S16" s="76">
        <v>3</v>
      </c>
      <c r="T16" s="76">
        <v>0</v>
      </c>
      <c r="U16" s="76">
        <v>0</v>
      </c>
      <c r="V16" s="76"/>
      <c r="W16" s="76"/>
      <c r="X16" s="76"/>
      <c r="Y16" s="76"/>
      <c r="Z16" s="76" t="s">
        <v>894</v>
      </c>
      <c r="AA16" s="76"/>
      <c r="AB16" s="76"/>
      <c r="AC16" s="80" t="s">
        <v>241</v>
      </c>
      <c r="AD16" s="76" t="s">
        <v>248</v>
      </c>
      <c r="AE16" s="81" t="str">
        <f>HYPERLINK("https://twitter.com/garcias_jmichel/status/1592083362508050433")</f>
        <v>https://twitter.com/garcias_jmichel/status/1592083362508050433</v>
      </c>
      <c r="AF16" s="78">
        <v>44879.384571759256</v>
      </c>
      <c r="AG16" s="85">
        <v>44879</v>
      </c>
      <c r="AH16" s="80" t="s">
        <v>967</v>
      </c>
      <c r="AI16" s="76"/>
      <c r="AJ16" s="76"/>
      <c r="AK16" s="76"/>
      <c r="AL16" s="76"/>
      <c r="AM16" s="76"/>
      <c r="AN16" s="76"/>
      <c r="AO16" s="76"/>
      <c r="AP16" s="76"/>
      <c r="AQ16" s="76"/>
      <c r="AR16" s="76"/>
      <c r="AS16" s="76"/>
      <c r="AT16" s="76"/>
      <c r="AU16" s="76"/>
      <c r="AV16" s="81" t="str">
        <f>HYPERLINK("https://pbs.twimg.com/profile_images/1703406086269644800/jvdMyk9f_normal.jpg")</f>
        <v>https://pbs.twimg.com/profile_images/1703406086269644800/jvdMyk9f_normal.jpg</v>
      </c>
      <c r="AW16" s="80" t="s">
        <v>1089</v>
      </c>
      <c r="AX16" s="80" t="s">
        <v>1190</v>
      </c>
      <c r="AY16" s="80" t="s">
        <v>1204</v>
      </c>
      <c r="AZ16" s="80" t="s">
        <v>1190</v>
      </c>
      <c r="BA16" s="80" t="s">
        <v>252</v>
      </c>
      <c r="BB16" s="80" t="s">
        <v>252</v>
      </c>
      <c r="BC16" s="80" t="s">
        <v>1190</v>
      </c>
      <c r="BD16" s="80" t="s">
        <v>1228</v>
      </c>
      <c r="BE16" s="76"/>
      <c r="BF16" s="76"/>
      <c r="BG16" s="76"/>
      <c r="BH16" s="76"/>
      <c r="BI16" s="76"/>
      <c r="BJ16" s="76">
        <v>1</v>
      </c>
      <c r="BK16" s="75" t="str">
        <f>REPLACE(INDEX(GroupVertices[Group],MATCH("~"&amp;Edges[[#This Row],[Vertex 1]],GroupVertices[Vertex],0)),1,1,"")</f>
        <v>3</v>
      </c>
      <c r="BL16" s="75" t="str">
        <f>REPLACE(INDEX(GroupVertices[Group],MATCH("~"&amp;Edges[[#This Row],[Vertex 2]],GroupVertices[Vertex],0)),1,1,"")</f>
        <v>1</v>
      </c>
    </row>
    <row r="17" spans="1:64" ht="15">
      <c r="A17" s="61" t="s">
        <v>587</v>
      </c>
      <c r="B17" s="61" t="s">
        <v>655</v>
      </c>
      <c r="C17" s="62"/>
      <c r="D17" s="63"/>
      <c r="E17" s="64"/>
      <c r="F17" s="65"/>
      <c r="G17" s="62"/>
      <c r="H17" s="66"/>
      <c r="I17" s="67"/>
      <c r="J17" s="67"/>
      <c r="K17" s="31" t="s">
        <v>65</v>
      </c>
      <c r="L17" s="74">
        <v>17</v>
      </c>
      <c r="M17" s="74"/>
      <c r="N17" s="69"/>
      <c r="O17" s="76" t="s">
        <v>230</v>
      </c>
      <c r="P17" s="78">
        <v>44879.384571759256</v>
      </c>
      <c r="Q17" s="76" t="s">
        <v>737</v>
      </c>
      <c r="R17" s="76">
        <v>1</v>
      </c>
      <c r="S17" s="76">
        <v>3</v>
      </c>
      <c r="T17" s="76">
        <v>0</v>
      </c>
      <c r="U17" s="76">
        <v>0</v>
      </c>
      <c r="V17" s="76"/>
      <c r="W17" s="76"/>
      <c r="X17" s="76"/>
      <c r="Y17" s="76"/>
      <c r="Z17" s="76" t="s">
        <v>894</v>
      </c>
      <c r="AA17" s="76"/>
      <c r="AB17" s="76"/>
      <c r="AC17" s="80" t="s">
        <v>241</v>
      </c>
      <c r="AD17" s="76" t="s">
        <v>248</v>
      </c>
      <c r="AE17" s="81" t="str">
        <f>HYPERLINK("https://twitter.com/garcias_jmichel/status/1592083362508050433")</f>
        <v>https://twitter.com/garcias_jmichel/status/1592083362508050433</v>
      </c>
      <c r="AF17" s="78">
        <v>44879.384571759256</v>
      </c>
      <c r="AG17" s="85">
        <v>44879</v>
      </c>
      <c r="AH17" s="80" t="s">
        <v>967</v>
      </c>
      <c r="AI17" s="76"/>
      <c r="AJ17" s="76"/>
      <c r="AK17" s="76"/>
      <c r="AL17" s="76"/>
      <c r="AM17" s="76"/>
      <c r="AN17" s="76"/>
      <c r="AO17" s="76"/>
      <c r="AP17" s="76"/>
      <c r="AQ17" s="76"/>
      <c r="AR17" s="76"/>
      <c r="AS17" s="76"/>
      <c r="AT17" s="76"/>
      <c r="AU17" s="76"/>
      <c r="AV17" s="81" t="str">
        <f>HYPERLINK("https://pbs.twimg.com/profile_images/1703406086269644800/jvdMyk9f_normal.jpg")</f>
        <v>https://pbs.twimg.com/profile_images/1703406086269644800/jvdMyk9f_normal.jpg</v>
      </c>
      <c r="AW17" s="80" t="s">
        <v>1089</v>
      </c>
      <c r="AX17" s="80" t="s">
        <v>1190</v>
      </c>
      <c r="AY17" s="80" t="s">
        <v>1204</v>
      </c>
      <c r="AZ17" s="80" t="s">
        <v>1190</v>
      </c>
      <c r="BA17" s="80" t="s">
        <v>252</v>
      </c>
      <c r="BB17" s="80" t="s">
        <v>252</v>
      </c>
      <c r="BC17" s="80" t="s">
        <v>1190</v>
      </c>
      <c r="BD17" s="80" t="s">
        <v>1228</v>
      </c>
      <c r="BE17" s="76"/>
      <c r="BF17" s="76"/>
      <c r="BG17" s="76"/>
      <c r="BH17" s="76"/>
      <c r="BI17" s="76"/>
      <c r="BJ17" s="76">
        <v>1</v>
      </c>
      <c r="BK17" s="75" t="str">
        <f>REPLACE(INDEX(GroupVertices[Group],MATCH("~"&amp;Edges[[#This Row],[Vertex 1]],GroupVertices[Vertex],0)),1,1,"")</f>
        <v>3</v>
      </c>
      <c r="BL17" s="75" t="str">
        <f>REPLACE(INDEX(GroupVertices[Group],MATCH("~"&amp;Edges[[#This Row],[Vertex 2]],GroupVertices[Vertex],0)),1,1,"")</f>
        <v>3</v>
      </c>
    </row>
    <row r="18" spans="1:64" ht="15">
      <c r="A18" s="61" t="s">
        <v>588</v>
      </c>
      <c r="B18" s="61" t="s">
        <v>224</v>
      </c>
      <c r="C18" s="62"/>
      <c r="D18" s="63"/>
      <c r="E18" s="64"/>
      <c r="F18" s="65"/>
      <c r="G18" s="62"/>
      <c r="H18" s="66"/>
      <c r="I18" s="67"/>
      <c r="J18" s="67"/>
      <c r="K18" s="31" t="s">
        <v>65</v>
      </c>
      <c r="L18" s="74">
        <v>18</v>
      </c>
      <c r="M18" s="74"/>
      <c r="N18" s="69"/>
      <c r="O18" s="76" t="s">
        <v>227</v>
      </c>
      <c r="P18" s="78">
        <v>42955.347708333335</v>
      </c>
      <c r="Q18" s="76" t="s">
        <v>738</v>
      </c>
      <c r="R18" s="76">
        <v>0</v>
      </c>
      <c r="S18" s="76">
        <v>0</v>
      </c>
      <c r="T18" s="76">
        <v>0</v>
      </c>
      <c r="U18" s="76">
        <v>0</v>
      </c>
      <c r="V18" s="76"/>
      <c r="W18" s="76"/>
      <c r="X18" s="81" t="str">
        <f>HYPERLINK("http://www.micromanagerapps.com/")</f>
        <v>http://www.micromanagerapps.com/</v>
      </c>
      <c r="Y18" s="76" t="s">
        <v>867</v>
      </c>
      <c r="Z18" s="76" t="s">
        <v>224</v>
      </c>
      <c r="AA18" s="76"/>
      <c r="AB18" s="76"/>
      <c r="AC18" s="80" t="s">
        <v>945</v>
      </c>
      <c r="AD18" s="76" t="s">
        <v>244</v>
      </c>
      <c r="AE18" s="81" t="str">
        <f>HYPERLINK("https://twitter.com/bullrushapp/status/894835751027961857")</f>
        <v>https://twitter.com/bullrushapp/status/894835751027961857</v>
      </c>
      <c r="AF18" s="78">
        <v>42955.347708333335</v>
      </c>
      <c r="AG18" s="85">
        <v>42955</v>
      </c>
      <c r="AH18" s="80" t="s">
        <v>968</v>
      </c>
      <c r="AI18" s="76" t="b">
        <v>0</v>
      </c>
      <c r="AJ18" s="76"/>
      <c r="AK18" s="76"/>
      <c r="AL18" s="76"/>
      <c r="AM18" s="76"/>
      <c r="AN18" s="76"/>
      <c r="AO18" s="76"/>
      <c r="AP18" s="76"/>
      <c r="AQ18" s="76"/>
      <c r="AR18" s="76"/>
      <c r="AS18" s="76"/>
      <c r="AT18" s="76"/>
      <c r="AU18" s="76"/>
      <c r="AV18" s="81" t="str">
        <f>HYPERLINK("https://pbs.twimg.com/profile_images/847289329361616896/5iVjgPZL_normal.jpg")</f>
        <v>https://pbs.twimg.com/profile_images/847289329361616896/5iVjgPZL_normal.jpg</v>
      </c>
      <c r="AW18" s="80" t="s">
        <v>1090</v>
      </c>
      <c r="AX18" s="80" t="s">
        <v>1090</v>
      </c>
      <c r="AY18" s="80" t="s">
        <v>251</v>
      </c>
      <c r="AZ18" s="80" t="s">
        <v>252</v>
      </c>
      <c r="BA18" s="80" t="s">
        <v>252</v>
      </c>
      <c r="BB18" s="80" t="s">
        <v>252</v>
      </c>
      <c r="BC18" s="80" t="s">
        <v>1090</v>
      </c>
      <c r="BD18" s="76">
        <v>946954957</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row>
    <row r="19" spans="1:64" ht="15">
      <c r="A19" s="61" t="s">
        <v>589</v>
      </c>
      <c r="B19" s="61" t="s">
        <v>656</v>
      </c>
      <c r="C19" s="62"/>
      <c r="D19" s="63"/>
      <c r="E19" s="64"/>
      <c r="F19" s="65"/>
      <c r="G19" s="62"/>
      <c r="H19" s="66"/>
      <c r="I19" s="67"/>
      <c r="J19" s="67"/>
      <c r="K19" s="31" t="s">
        <v>65</v>
      </c>
      <c r="L19" s="74">
        <v>19</v>
      </c>
      <c r="M19" s="74"/>
      <c r="N19" s="69"/>
      <c r="O19" s="76" t="s">
        <v>227</v>
      </c>
      <c r="P19" s="78">
        <v>44048.18613425926</v>
      </c>
      <c r="Q19" s="76" t="s">
        <v>739</v>
      </c>
      <c r="R19" s="76">
        <v>0</v>
      </c>
      <c r="S19" s="76">
        <v>1</v>
      </c>
      <c r="T19" s="76">
        <v>0</v>
      </c>
      <c r="U19" s="76">
        <v>0</v>
      </c>
      <c r="V19" s="76"/>
      <c r="W19" s="80" t="s">
        <v>833</v>
      </c>
      <c r="X19" s="81" t="str">
        <f>HYPERLINK("https://bit.ly/30r2Oga")</f>
        <v>https://bit.ly/30r2Oga</v>
      </c>
      <c r="Y19" s="76" t="s">
        <v>233</v>
      </c>
      <c r="Z19" s="76" t="s">
        <v>895</v>
      </c>
      <c r="AA19" s="76"/>
      <c r="AB19" s="76"/>
      <c r="AC19" s="80" t="s">
        <v>239</v>
      </c>
      <c r="AD19" s="76" t="s">
        <v>244</v>
      </c>
      <c r="AE19" s="81" t="str">
        <f>HYPERLINK("https://twitter.com/develop4u_co/status/1290867133832818688")</f>
        <v>https://twitter.com/develop4u_co/status/1290867133832818688</v>
      </c>
      <c r="AF19" s="78">
        <v>44048.18613425926</v>
      </c>
      <c r="AG19" s="85">
        <v>44048</v>
      </c>
      <c r="AH19" s="80" t="s">
        <v>969</v>
      </c>
      <c r="AI19" s="76" t="b">
        <v>0</v>
      </c>
      <c r="AJ19" s="76"/>
      <c r="AK19" s="76"/>
      <c r="AL19" s="76"/>
      <c r="AM19" s="76"/>
      <c r="AN19" s="76"/>
      <c r="AO19" s="76"/>
      <c r="AP19" s="76"/>
      <c r="AQ19" s="76"/>
      <c r="AR19" s="76"/>
      <c r="AS19" s="76"/>
      <c r="AT19" s="76"/>
      <c r="AU19" s="76"/>
      <c r="AV19" s="81" t="str">
        <f>HYPERLINK("https://pbs.twimg.com/profile_images/1239883131261292545/ajX2pve3_normal.jpg")</f>
        <v>https://pbs.twimg.com/profile_images/1239883131261292545/ajX2pve3_normal.jpg</v>
      </c>
      <c r="AW19" s="80" t="s">
        <v>1091</v>
      </c>
      <c r="AX19" s="80" t="s">
        <v>1091</v>
      </c>
      <c r="AY19" s="76"/>
      <c r="AZ19" s="80" t="s">
        <v>252</v>
      </c>
      <c r="BA19" s="80" t="s">
        <v>252</v>
      </c>
      <c r="BB19" s="80" t="s">
        <v>252</v>
      </c>
      <c r="BC19" s="80" t="s">
        <v>1091</v>
      </c>
      <c r="BD19" s="80" t="s">
        <v>1229</v>
      </c>
      <c r="BE19" s="76"/>
      <c r="BF19" s="76"/>
      <c r="BG19" s="76"/>
      <c r="BH19" s="76"/>
      <c r="BI19" s="76"/>
      <c r="BJ19" s="76">
        <v>1</v>
      </c>
      <c r="BK19" s="75" t="str">
        <f>REPLACE(INDEX(GroupVertices[Group],MATCH("~"&amp;Edges[[#This Row],[Vertex 1]],GroupVertices[Vertex],0)),1,1,"")</f>
        <v>5</v>
      </c>
      <c r="BL19" s="75" t="str">
        <f>REPLACE(INDEX(GroupVertices[Group],MATCH("~"&amp;Edges[[#This Row],[Vertex 2]],GroupVertices[Vertex],0)),1,1,"")</f>
        <v>5</v>
      </c>
    </row>
    <row r="20" spans="1:64" ht="15">
      <c r="A20" s="61" t="s">
        <v>589</v>
      </c>
      <c r="B20" s="61" t="s">
        <v>657</v>
      </c>
      <c r="C20" s="62"/>
      <c r="D20" s="63"/>
      <c r="E20" s="64"/>
      <c r="F20" s="65"/>
      <c r="G20" s="62"/>
      <c r="H20" s="66"/>
      <c r="I20" s="67"/>
      <c r="J20" s="67"/>
      <c r="K20" s="31" t="s">
        <v>65</v>
      </c>
      <c r="L20" s="74">
        <v>20</v>
      </c>
      <c r="M20" s="74"/>
      <c r="N20" s="69"/>
      <c r="O20" s="76" t="s">
        <v>227</v>
      </c>
      <c r="P20" s="78">
        <v>44048.18613425926</v>
      </c>
      <c r="Q20" s="76" t="s">
        <v>739</v>
      </c>
      <c r="R20" s="76">
        <v>0</v>
      </c>
      <c r="S20" s="76">
        <v>1</v>
      </c>
      <c r="T20" s="76">
        <v>0</v>
      </c>
      <c r="U20" s="76">
        <v>0</v>
      </c>
      <c r="V20" s="76"/>
      <c r="W20" s="80" t="s">
        <v>833</v>
      </c>
      <c r="X20" s="81" t="str">
        <f>HYPERLINK("https://bit.ly/30r2Oga")</f>
        <v>https://bit.ly/30r2Oga</v>
      </c>
      <c r="Y20" s="76" t="s">
        <v>233</v>
      </c>
      <c r="Z20" s="76" t="s">
        <v>895</v>
      </c>
      <c r="AA20" s="76"/>
      <c r="AB20" s="76"/>
      <c r="AC20" s="80" t="s">
        <v>239</v>
      </c>
      <c r="AD20" s="76" t="s">
        <v>244</v>
      </c>
      <c r="AE20" s="81" t="str">
        <f>HYPERLINK("https://twitter.com/develop4u_co/status/1290867133832818688")</f>
        <v>https://twitter.com/develop4u_co/status/1290867133832818688</v>
      </c>
      <c r="AF20" s="78">
        <v>44048.18613425926</v>
      </c>
      <c r="AG20" s="85">
        <v>44048</v>
      </c>
      <c r="AH20" s="80" t="s">
        <v>969</v>
      </c>
      <c r="AI20" s="76" t="b">
        <v>0</v>
      </c>
      <c r="AJ20" s="76"/>
      <c r="AK20" s="76"/>
      <c r="AL20" s="76"/>
      <c r="AM20" s="76"/>
      <c r="AN20" s="76"/>
      <c r="AO20" s="76"/>
      <c r="AP20" s="76"/>
      <c r="AQ20" s="76"/>
      <c r="AR20" s="76"/>
      <c r="AS20" s="76"/>
      <c r="AT20" s="76"/>
      <c r="AU20" s="76"/>
      <c r="AV20" s="81" t="str">
        <f>HYPERLINK("https://pbs.twimg.com/profile_images/1239883131261292545/ajX2pve3_normal.jpg")</f>
        <v>https://pbs.twimg.com/profile_images/1239883131261292545/ajX2pve3_normal.jpg</v>
      </c>
      <c r="AW20" s="80" t="s">
        <v>1091</v>
      </c>
      <c r="AX20" s="80" t="s">
        <v>1091</v>
      </c>
      <c r="AY20" s="76"/>
      <c r="AZ20" s="80" t="s">
        <v>252</v>
      </c>
      <c r="BA20" s="80" t="s">
        <v>252</v>
      </c>
      <c r="BB20" s="80" t="s">
        <v>252</v>
      </c>
      <c r="BC20" s="80" t="s">
        <v>1091</v>
      </c>
      <c r="BD20" s="80" t="s">
        <v>1229</v>
      </c>
      <c r="BE20" s="76"/>
      <c r="BF20" s="76"/>
      <c r="BG20" s="76"/>
      <c r="BH20" s="76"/>
      <c r="BI20" s="76"/>
      <c r="BJ20" s="76">
        <v>1</v>
      </c>
      <c r="BK20" s="75" t="str">
        <f>REPLACE(INDEX(GroupVertices[Group],MATCH("~"&amp;Edges[[#This Row],[Vertex 1]],GroupVertices[Vertex],0)),1,1,"")</f>
        <v>5</v>
      </c>
      <c r="BL20" s="75" t="str">
        <f>REPLACE(INDEX(GroupVertices[Group],MATCH("~"&amp;Edges[[#This Row],[Vertex 2]],GroupVertices[Vertex],0)),1,1,"")</f>
        <v>5</v>
      </c>
    </row>
    <row r="21" spans="1:64" ht="15">
      <c r="A21" s="61" t="s">
        <v>589</v>
      </c>
      <c r="B21" s="61" t="s">
        <v>658</v>
      </c>
      <c r="C21" s="62"/>
      <c r="D21" s="63"/>
      <c r="E21" s="64"/>
      <c r="F21" s="65"/>
      <c r="G21" s="62"/>
      <c r="H21" s="66"/>
      <c r="I21" s="67"/>
      <c r="J21" s="67"/>
      <c r="K21" s="31" t="s">
        <v>65</v>
      </c>
      <c r="L21" s="74">
        <v>21</v>
      </c>
      <c r="M21" s="74"/>
      <c r="N21" s="69"/>
      <c r="O21" s="76" t="s">
        <v>227</v>
      </c>
      <c r="P21" s="78">
        <v>44048.18613425926</v>
      </c>
      <c r="Q21" s="76" t="s">
        <v>739</v>
      </c>
      <c r="R21" s="76">
        <v>0</v>
      </c>
      <c r="S21" s="76">
        <v>1</v>
      </c>
      <c r="T21" s="76">
        <v>0</v>
      </c>
      <c r="U21" s="76">
        <v>0</v>
      </c>
      <c r="V21" s="76"/>
      <c r="W21" s="80" t="s">
        <v>833</v>
      </c>
      <c r="X21" s="81" t="str">
        <f>HYPERLINK("https://bit.ly/30r2Oga")</f>
        <v>https://bit.ly/30r2Oga</v>
      </c>
      <c r="Y21" s="76" t="s">
        <v>233</v>
      </c>
      <c r="Z21" s="76" t="s">
        <v>895</v>
      </c>
      <c r="AA21" s="76"/>
      <c r="AB21" s="76"/>
      <c r="AC21" s="80" t="s">
        <v>239</v>
      </c>
      <c r="AD21" s="76" t="s">
        <v>244</v>
      </c>
      <c r="AE21" s="81" t="str">
        <f>HYPERLINK("https://twitter.com/develop4u_co/status/1290867133832818688")</f>
        <v>https://twitter.com/develop4u_co/status/1290867133832818688</v>
      </c>
      <c r="AF21" s="78">
        <v>44048.18613425926</v>
      </c>
      <c r="AG21" s="85">
        <v>44048</v>
      </c>
      <c r="AH21" s="80" t="s">
        <v>969</v>
      </c>
      <c r="AI21" s="76" t="b">
        <v>0</v>
      </c>
      <c r="AJ21" s="76"/>
      <c r="AK21" s="76"/>
      <c r="AL21" s="76"/>
      <c r="AM21" s="76"/>
      <c r="AN21" s="76"/>
      <c r="AO21" s="76"/>
      <c r="AP21" s="76"/>
      <c r="AQ21" s="76"/>
      <c r="AR21" s="76"/>
      <c r="AS21" s="76"/>
      <c r="AT21" s="76"/>
      <c r="AU21" s="76"/>
      <c r="AV21" s="81" t="str">
        <f>HYPERLINK("https://pbs.twimg.com/profile_images/1239883131261292545/ajX2pve3_normal.jpg")</f>
        <v>https://pbs.twimg.com/profile_images/1239883131261292545/ajX2pve3_normal.jpg</v>
      </c>
      <c r="AW21" s="80" t="s">
        <v>1091</v>
      </c>
      <c r="AX21" s="80" t="s">
        <v>1091</v>
      </c>
      <c r="AY21" s="76"/>
      <c r="AZ21" s="80" t="s">
        <v>252</v>
      </c>
      <c r="BA21" s="80" t="s">
        <v>252</v>
      </c>
      <c r="BB21" s="80" t="s">
        <v>252</v>
      </c>
      <c r="BC21" s="80" t="s">
        <v>1091</v>
      </c>
      <c r="BD21" s="80" t="s">
        <v>1229</v>
      </c>
      <c r="BE21" s="76"/>
      <c r="BF21" s="76"/>
      <c r="BG21" s="76"/>
      <c r="BH21" s="76"/>
      <c r="BI21" s="76"/>
      <c r="BJ21" s="76">
        <v>1</v>
      </c>
      <c r="BK21" s="75" t="str">
        <f>REPLACE(INDEX(GroupVertices[Group],MATCH("~"&amp;Edges[[#This Row],[Vertex 1]],GroupVertices[Vertex],0)),1,1,"")</f>
        <v>5</v>
      </c>
      <c r="BL21" s="75" t="str">
        <f>REPLACE(INDEX(GroupVertices[Group],MATCH("~"&amp;Edges[[#This Row],[Vertex 2]],GroupVertices[Vertex],0)),1,1,"")</f>
        <v>5</v>
      </c>
    </row>
    <row r="22" spans="1:64" ht="15">
      <c r="A22" s="61" t="s">
        <v>589</v>
      </c>
      <c r="B22" s="61" t="s">
        <v>659</v>
      </c>
      <c r="C22" s="62"/>
      <c r="D22" s="63"/>
      <c r="E22" s="64"/>
      <c r="F22" s="65"/>
      <c r="G22" s="62"/>
      <c r="H22" s="66"/>
      <c r="I22" s="67"/>
      <c r="J22" s="67"/>
      <c r="K22" s="31" t="s">
        <v>65</v>
      </c>
      <c r="L22" s="74">
        <v>22</v>
      </c>
      <c r="M22" s="74"/>
      <c r="N22" s="69"/>
      <c r="O22" s="76" t="s">
        <v>227</v>
      </c>
      <c r="P22" s="78">
        <v>44048.18613425926</v>
      </c>
      <c r="Q22" s="76" t="s">
        <v>739</v>
      </c>
      <c r="R22" s="76">
        <v>0</v>
      </c>
      <c r="S22" s="76">
        <v>1</v>
      </c>
      <c r="T22" s="76">
        <v>0</v>
      </c>
      <c r="U22" s="76">
        <v>0</v>
      </c>
      <c r="V22" s="76"/>
      <c r="W22" s="80" t="s">
        <v>833</v>
      </c>
      <c r="X22" s="81" t="str">
        <f>HYPERLINK("https://bit.ly/30r2Oga")</f>
        <v>https://bit.ly/30r2Oga</v>
      </c>
      <c r="Y22" s="76" t="s">
        <v>233</v>
      </c>
      <c r="Z22" s="76" t="s">
        <v>895</v>
      </c>
      <c r="AA22" s="76"/>
      <c r="AB22" s="76"/>
      <c r="AC22" s="80" t="s">
        <v>239</v>
      </c>
      <c r="AD22" s="76" t="s">
        <v>244</v>
      </c>
      <c r="AE22" s="81" t="str">
        <f>HYPERLINK("https://twitter.com/develop4u_co/status/1290867133832818688")</f>
        <v>https://twitter.com/develop4u_co/status/1290867133832818688</v>
      </c>
      <c r="AF22" s="78">
        <v>44048.18613425926</v>
      </c>
      <c r="AG22" s="85">
        <v>44048</v>
      </c>
      <c r="AH22" s="80" t="s">
        <v>969</v>
      </c>
      <c r="AI22" s="76" t="b">
        <v>0</v>
      </c>
      <c r="AJ22" s="76"/>
      <c r="AK22" s="76"/>
      <c r="AL22" s="76"/>
      <c r="AM22" s="76"/>
      <c r="AN22" s="76"/>
      <c r="AO22" s="76"/>
      <c r="AP22" s="76"/>
      <c r="AQ22" s="76"/>
      <c r="AR22" s="76"/>
      <c r="AS22" s="76"/>
      <c r="AT22" s="76"/>
      <c r="AU22" s="76"/>
      <c r="AV22" s="81" t="str">
        <f>HYPERLINK("https://pbs.twimg.com/profile_images/1239883131261292545/ajX2pve3_normal.jpg")</f>
        <v>https://pbs.twimg.com/profile_images/1239883131261292545/ajX2pve3_normal.jpg</v>
      </c>
      <c r="AW22" s="80" t="s">
        <v>1091</v>
      </c>
      <c r="AX22" s="80" t="s">
        <v>1091</v>
      </c>
      <c r="AY22" s="76"/>
      <c r="AZ22" s="80" t="s">
        <v>252</v>
      </c>
      <c r="BA22" s="80" t="s">
        <v>252</v>
      </c>
      <c r="BB22" s="80" t="s">
        <v>252</v>
      </c>
      <c r="BC22" s="80" t="s">
        <v>1091</v>
      </c>
      <c r="BD22" s="80" t="s">
        <v>1229</v>
      </c>
      <c r="BE22" s="76"/>
      <c r="BF22" s="76"/>
      <c r="BG22" s="76"/>
      <c r="BH22" s="76"/>
      <c r="BI22" s="76"/>
      <c r="BJ22" s="76">
        <v>1</v>
      </c>
      <c r="BK22" s="75" t="str">
        <f>REPLACE(INDEX(GroupVertices[Group],MATCH("~"&amp;Edges[[#This Row],[Vertex 1]],GroupVertices[Vertex],0)),1,1,"")</f>
        <v>5</v>
      </c>
      <c r="BL22" s="75" t="str">
        <f>REPLACE(INDEX(GroupVertices[Group],MATCH("~"&amp;Edges[[#This Row],[Vertex 2]],GroupVertices[Vertex],0)),1,1,"")</f>
        <v>5</v>
      </c>
    </row>
    <row r="23" spans="1:64" ht="15">
      <c r="A23" s="61" t="s">
        <v>589</v>
      </c>
      <c r="B23" s="61" t="s">
        <v>660</v>
      </c>
      <c r="C23" s="62"/>
      <c r="D23" s="63"/>
      <c r="E23" s="64"/>
      <c r="F23" s="65"/>
      <c r="G23" s="62"/>
      <c r="H23" s="66"/>
      <c r="I23" s="67"/>
      <c r="J23" s="67"/>
      <c r="K23" s="31" t="s">
        <v>65</v>
      </c>
      <c r="L23" s="74">
        <v>23</v>
      </c>
      <c r="M23" s="74"/>
      <c r="N23" s="69"/>
      <c r="O23" s="76" t="s">
        <v>227</v>
      </c>
      <c r="P23" s="78">
        <v>44048.18613425926</v>
      </c>
      <c r="Q23" s="76" t="s">
        <v>739</v>
      </c>
      <c r="R23" s="76">
        <v>0</v>
      </c>
      <c r="S23" s="76">
        <v>1</v>
      </c>
      <c r="T23" s="76">
        <v>0</v>
      </c>
      <c r="U23" s="76">
        <v>0</v>
      </c>
      <c r="V23" s="76"/>
      <c r="W23" s="80" t="s">
        <v>833</v>
      </c>
      <c r="X23" s="81" t="str">
        <f>HYPERLINK("https://bit.ly/30r2Oga")</f>
        <v>https://bit.ly/30r2Oga</v>
      </c>
      <c r="Y23" s="76" t="s">
        <v>233</v>
      </c>
      <c r="Z23" s="76" t="s">
        <v>895</v>
      </c>
      <c r="AA23" s="76"/>
      <c r="AB23" s="76"/>
      <c r="AC23" s="80" t="s">
        <v>239</v>
      </c>
      <c r="AD23" s="76" t="s">
        <v>244</v>
      </c>
      <c r="AE23" s="81" t="str">
        <f>HYPERLINK("https://twitter.com/develop4u_co/status/1290867133832818688")</f>
        <v>https://twitter.com/develop4u_co/status/1290867133832818688</v>
      </c>
      <c r="AF23" s="78">
        <v>44048.18613425926</v>
      </c>
      <c r="AG23" s="85">
        <v>44048</v>
      </c>
      <c r="AH23" s="80" t="s">
        <v>969</v>
      </c>
      <c r="AI23" s="76" t="b">
        <v>0</v>
      </c>
      <c r="AJ23" s="76"/>
      <c r="AK23" s="76"/>
      <c r="AL23" s="76"/>
      <c r="AM23" s="76"/>
      <c r="AN23" s="76"/>
      <c r="AO23" s="76"/>
      <c r="AP23" s="76"/>
      <c r="AQ23" s="76"/>
      <c r="AR23" s="76"/>
      <c r="AS23" s="76"/>
      <c r="AT23" s="76"/>
      <c r="AU23" s="76"/>
      <c r="AV23" s="81" t="str">
        <f>HYPERLINK("https://pbs.twimg.com/profile_images/1239883131261292545/ajX2pve3_normal.jpg")</f>
        <v>https://pbs.twimg.com/profile_images/1239883131261292545/ajX2pve3_normal.jpg</v>
      </c>
      <c r="AW23" s="80" t="s">
        <v>1091</v>
      </c>
      <c r="AX23" s="80" t="s">
        <v>1091</v>
      </c>
      <c r="AY23" s="76"/>
      <c r="AZ23" s="80" t="s">
        <v>252</v>
      </c>
      <c r="BA23" s="80" t="s">
        <v>252</v>
      </c>
      <c r="BB23" s="80" t="s">
        <v>252</v>
      </c>
      <c r="BC23" s="80" t="s">
        <v>1091</v>
      </c>
      <c r="BD23" s="80" t="s">
        <v>1229</v>
      </c>
      <c r="BE23" s="76"/>
      <c r="BF23" s="76"/>
      <c r="BG23" s="76"/>
      <c r="BH23" s="76"/>
      <c r="BI23" s="76"/>
      <c r="BJ23" s="76">
        <v>1</v>
      </c>
      <c r="BK23" s="75" t="str">
        <f>REPLACE(INDEX(GroupVertices[Group],MATCH("~"&amp;Edges[[#This Row],[Vertex 1]],GroupVertices[Vertex],0)),1,1,"")</f>
        <v>5</v>
      </c>
      <c r="BL23" s="75" t="str">
        <f>REPLACE(INDEX(GroupVertices[Group],MATCH("~"&amp;Edges[[#This Row],[Vertex 2]],GroupVertices[Vertex],0)),1,1,"")</f>
        <v>5</v>
      </c>
    </row>
    <row r="24" spans="1:64" ht="15">
      <c r="A24" s="61" t="s">
        <v>589</v>
      </c>
      <c r="B24" s="61" t="s">
        <v>224</v>
      </c>
      <c r="C24" s="62"/>
      <c r="D24" s="63"/>
      <c r="E24" s="64"/>
      <c r="F24" s="65"/>
      <c r="G24" s="62"/>
      <c r="H24" s="66"/>
      <c r="I24" s="67"/>
      <c r="J24" s="67"/>
      <c r="K24" s="31" t="s">
        <v>65</v>
      </c>
      <c r="L24" s="74">
        <v>24</v>
      </c>
      <c r="M24" s="74"/>
      <c r="N24" s="69"/>
      <c r="O24" s="76" t="s">
        <v>227</v>
      </c>
      <c r="P24" s="78">
        <v>44048.18613425926</v>
      </c>
      <c r="Q24" s="76" t="s">
        <v>739</v>
      </c>
      <c r="R24" s="76">
        <v>0</v>
      </c>
      <c r="S24" s="76">
        <v>1</v>
      </c>
      <c r="T24" s="76">
        <v>0</v>
      </c>
      <c r="U24" s="76">
        <v>0</v>
      </c>
      <c r="V24" s="76"/>
      <c r="W24" s="80" t="s">
        <v>833</v>
      </c>
      <c r="X24" s="81" t="str">
        <f>HYPERLINK("https://bit.ly/30r2Oga")</f>
        <v>https://bit.ly/30r2Oga</v>
      </c>
      <c r="Y24" s="76" t="s">
        <v>233</v>
      </c>
      <c r="Z24" s="76" t="s">
        <v>895</v>
      </c>
      <c r="AA24" s="76"/>
      <c r="AB24" s="76"/>
      <c r="AC24" s="80" t="s">
        <v>239</v>
      </c>
      <c r="AD24" s="76" t="s">
        <v>244</v>
      </c>
      <c r="AE24" s="81" t="str">
        <f>HYPERLINK("https://twitter.com/develop4u_co/status/1290867133832818688")</f>
        <v>https://twitter.com/develop4u_co/status/1290867133832818688</v>
      </c>
      <c r="AF24" s="78">
        <v>44048.18613425926</v>
      </c>
      <c r="AG24" s="85">
        <v>44048</v>
      </c>
      <c r="AH24" s="80" t="s">
        <v>969</v>
      </c>
      <c r="AI24" s="76" t="b">
        <v>0</v>
      </c>
      <c r="AJ24" s="76"/>
      <c r="AK24" s="76"/>
      <c r="AL24" s="76"/>
      <c r="AM24" s="76"/>
      <c r="AN24" s="76"/>
      <c r="AO24" s="76"/>
      <c r="AP24" s="76"/>
      <c r="AQ24" s="76"/>
      <c r="AR24" s="76"/>
      <c r="AS24" s="76"/>
      <c r="AT24" s="76"/>
      <c r="AU24" s="76"/>
      <c r="AV24" s="81" t="str">
        <f>HYPERLINK("https://pbs.twimg.com/profile_images/1239883131261292545/ajX2pve3_normal.jpg")</f>
        <v>https://pbs.twimg.com/profile_images/1239883131261292545/ajX2pve3_normal.jpg</v>
      </c>
      <c r="AW24" s="80" t="s">
        <v>1091</v>
      </c>
      <c r="AX24" s="80" t="s">
        <v>1091</v>
      </c>
      <c r="AY24" s="76"/>
      <c r="AZ24" s="80" t="s">
        <v>252</v>
      </c>
      <c r="BA24" s="80" t="s">
        <v>252</v>
      </c>
      <c r="BB24" s="80" t="s">
        <v>252</v>
      </c>
      <c r="BC24" s="80" t="s">
        <v>1091</v>
      </c>
      <c r="BD24" s="80" t="s">
        <v>1229</v>
      </c>
      <c r="BE24" s="76"/>
      <c r="BF24" s="76"/>
      <c r="BG24" s="76"/>
      <c r="BH24" s="76"/>
      <c r="BI24" s="76"/>
      <c r="BJ24" s="76">
        <v>1</v>
      </c>
      <c r="BK24" s="75" t="str">
        <f>REPLACE(INDEX(GroupVertices[Group],MATCH("~"&amp;Edges[[#This Row],[Vertex 1]],GroupVertices[Vertex],0)),1,1,"")</f>
        <v>5</v>
      </c>
      <c r="BL24" s="75" t="str">
        <f>REPLACE(INDEX(GroupVertices[Group],MATCH("~"&amp;Edges[[#This Row],[Vertex 2]],GroupVertices[Vertex],0)),1,1,"")</f>
        <v>1</v>
      </c>
    </row>
    <row r="25" spans="1:64" ht="15">
      <c r="A25" s="61" t="s">
        <v>224</v>
      </c>
      <c r="B25" s="61" t="s">
        <v>661</v>
      </c>
      <c r="C25" s="62"/>
      <c r="D25" s="63"/>
      <c r="E25" s="64"/>
      <c r="F25" s="65"/>
      <c r="G25" s="62"/>
      <c r="H25" s="66"/>
      <c r="I25" s="67"/>
      <c r="J25" s="67"/>
      <c r="K25" s="31" t="s">
        <v>65</v>
      </c>
      <c r="L25" s="74">
        <v>25</v>
      </c>
      <c r="M25" s="74"/>
      <c r="N25" s="69"/>
      <c r="O25" s="76" t="s">
        <v>398</v>
      </c>
      <c r="P25" s="78">
        <v>44357.21910879629</v>
      </c>
      <c r="Q25" s="76" t="s">
        <v>740</v>
      </c>
      <c r="R25" s="76">
        <v>0</v>
      </c>
      <c r="S25" s="76">
        <v>1</v>
      </c>
      <c r="T25" s="76">
        <v>0</v>
      </c>
      <c r="U25" s="76">
        <v>0</v>
      </c>
      <c r="V25" s="76"/>
      <c r="W25" s="76"/>
      <c r="X25" s="81" t="str">
        <f>HYPERLINK("https://twitter.com/inovies/status/1402693044516757504")</f>
        <v>https://twitter.com/inovies/status/1402693044516757504</v>
      </c>
      <c r="Y25" s="76" t="s">
        <v>235</v>
      </c>
      <c r="Z25" s="76" t="s">
        <v>661</v>
      </c>
      <c r="AA25" s="76"/>
      <c r="AB25" s="76"/>
      <c r="AC25" s="80" t="s">
        <v>239</v>
      </c>
      <c r="AD25" s="76" t="s">
        <v>245</v>
      </c>
      <c r="AE25" s="81" t="str">
        <f>HYPERLINK("https://twitter.com/inovies/status/1402856934579916805")</f>
        <v>https://twitter.com/inovies/status/1402856934579916805</v>
      </c>
      <c r="AF25" s="78">
        <v>44357.21910879629</v>
      </c>
      <c r="AG25" s="85">
        <v>44357</v>
      </c>
      <c r="AH25" s="80" t="s">
        <v>970</v>
      </c>
      <c r="AI25" s="76" t="b">
        <v>0</v>
      </c>
      <c r="AJ25" s="76"/>
      <c r="AK25" s="76"/>
      <c r="AL25" s="76"/>
      <c r="AM25" s="76"/>
      <c r="AN25" s="76"/>
      <c r="AO25" s="76"/>
      <c r="AP25" s="76"/>
      <c r="AQ25" s="76"/>
      <c r="AR25" s="76"/>
      <c r="AS25" s="76"/>
      <c r="AT25" s="76"/>
      <c r="AU25" s="76"/>
      <c r="AV25" s="81" t="str">
        <f>HYPERLINK("https://pbs.twimg.com/profile_images/833576943677214720/5ZyUgpEJ_normal.jpg")</f>
        <v>https://pbs.twimg.com/profile_images/833576943677214720/5ZyUgpEJ_normal.jpg</v>
      </c>
      <c r="AW25" s="80" t="s">
        <v>1092</v>
      </c>
      <c r="AX25" s="80" t="s">
        <v>1191</v>
      </c>
      <c r="AY25" s="80" t="s">
        <v>1205</v>
      </c>
      <c r="AZ25" s="80" t="s">
        <v>1191</v>
      </c>
      <c r="BA25" s="80" t="s">
        <v>1186</v>
      </c>
      <c r="BB25" s="80" t="s">
        <v>252</v>
      </c>
      <c r="BC25" s="80" t="s">
        <v>1191</v>
      </c>
      <c r="BD25" s="76">
        <v>297885438</v>
      </c>
      <c r="BE25" s="76"/>
      <c r="BF25" s="76"/>
      <c r="BG25" s="76"/>
      <c r="BH25" s="76"/>
      <c r="BI25" s="76"/>
      <c r="BJ25" s="76">
        <v>2</v>
      </c>
      <c r="BK25" s="75" t="str">
        <f>REPLACE(INDEX(GroupVertices[Group],MATCH("~"&amp;Edges[[#This Row],[Vertex 1]],GroupVertices[Vertex],0)),1,1,"")</f>
        <v>1</v>
      </c>
      <c r="BL25" s="75" t="str">
        <f>REPLACE(INDEX(GroupVertices[Group],MATCH("~"&amp;Edges[[#This Row],[Vertex 2]],GroupVertices[Vertex],0)),1,1,"")</f>
        <v>1</v>
      </c>
    </row>
    <row r="26" spans="1:64" ht="15">
      <c r="A26" s="61" t="s">
        <v>224</v>
      </c>
      <c r="B26" s="61" t="s">
        <v>662</v>
      </c>
      <c r="C26" s="62"/>
      <c r="D26" s="63"/>
      <c r="E26" s="64"/>
      <c r="F26" s="65"/>
      <c r="G26" s="62"/>
      <c r="H26" s="66"/>
      <c r="I26" s="67"/>
      <c r="J26" s="67"/>
      <c r="K26" s="31" t="s">
        <v>65</v>
      </c>
      <c r="L26" s="74">
        <v>26</v>
      </c>
      <c r="M26" s="74"/>
      <c r="N26" s="69"/>
      <c r="O26" s="76" t="s">
        <v>398</v>
      </c>
      <c r="P26" s="78">
        <v>44357.164814814816</v>
      </c>
      <c r="Q26" s="76" t="s">
        <v>741</v>
      </c>
      <c r="R26" s="76">
        <v>0</v>
      </c>
      <c r="S26" s="76">
        <v>0</v>
      </c>
      <c r="T26" s="76">
        <v>0</v>
      </c>
      <c r="U26" s="76">
        <v>0</v>
      </c>
      <c r="V26" s="76"/>
      <c r="W26" s="76"/>
      <c r="X26" s="81" t="str">
        <f>HYPERLINK("https://twitter.com/Inovies/status/1402693044516757504")</f>
        <v>https://twitter.com/Inovies/status/1402693044516757504</v>
      </c>
      <c r="Y26" s="76" t="s">
        <v>235</v>
      </c>
      <c r="Z26" s="76" t="s">
        <v>896</v>
      </c>
      <c r="AA26" s="76"/>
      <c r="AB26" s="76"/>
      <c r="AC26" s="80" t="s">
        <v>239</v>
      </c>
      <c r="AD26" s="76" t="s">
        <v>245</v>
      </c>
      <c r="AE26" s="81" t="str">
        <f>HYPERLINK("https://twitter.com/inovies/status/1402837258785333248")</f>
        <v>https://twitter.com/inovies/status/1402837258785333248</v>
      </c>
      <c r="AF26" s="78">
        <v>44357.164814814816</v>
      </c>
      <c r="AG26" s="85">
        <v>44357</v>
      </c>
      <c r="AH26" s="80" t="s">
        <v>971</v>
      </c>
      <c r="AI26" s="76" t="b">
        <v>0</v>
      </c>
      <c r="AJ26" s="76"/>
      <c r="AK26" s="76"/>
      <c r="AL26" s="76"/>
      <c r="AM26" s="76"/>
      <c r="AN26" s="76"/>
      <c r="AO26" s="76"/>
      <c r="AP26" s="76"/>
      <c r="AQ26" s="76"/>
      <c r="AR26" s="76"/>
      <c r="AS26" s="76"/>
      <c r="AT26" s="76"/>
      <c r="AU26" s="76"/>
      <c r="AV26" s="81" t="str">
        <f>HYPERLINK("https://pbs.twimg.com/profile_images/833576943677214720/5ZyUgpEJ_normal.jpg")</f>
        <v>https://pbs.twimg.com/profile_images/833576943677214720/5ZyUgpEJ_normal.jpg</v>
      </c>
      <c r="AW26" s="80" t="s">
        <v>1093</v>
      </c>
      <c r="AX26" s="80" t="s">
        <v>1192</v>
      </c>
      <c r="AY26" s="80" t="s">
        <v>1206</v>
      </c>
      <c r="AZ26" s="80" t="s">
        <v>1224</v>
      </c>
      <c r="BA26" s="80" t="s">
        <v>1186</v>
      </c>
      <c r="BB26" s="80" t="s">
        <v>252</v>
      </c>
      <c r="BC26" s="80" t="s">
        <v>1224</v>
      </c>
      <c r="BD26" s="76">
        <v>297885438</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row>
    <row r="27" spans="1:64" ht="15">
      <c r="A27" s="61" t="s">
        <v>224</v>
      </c>
      <c r="B27" s="61" t="s">
        <v>663</v>
      </c>
      <c r="C27" s="62"/>
      <c r="D27" s="63"/>
      <c r="E27" s="64"/>
      <c r="F27" s="65"/>
      <c r="G27" s="62"/>
      <c r="H27" s="66"/>
      <c r="I27" s="67"/>
      <c r="J27" s="67"/>
      <c r="K27" s="31" t="s">
        <v>65</v>
      </c>
      <c r="L27" s="74">
        <v>27</v>
      </c>
      <c r="M27" s="74"/>
      <c r="N27" s="69"/>
      <c r="O27" s="76" t="s">
        <v>398</v>
      </c>
      <c r="P27" s="78">
        <v>44357.164814814816</v>
      </c>
      <c r="Q27" s="76" t="s">
        <v>741</v>
      </c>
      <c r="R27" s="76">
        <v>0</v>
      </c>
      <c r="S27" s="76">
        <v>0</v>
      </c>
      <c r="T27" s="76">
        <v>0</v>
      </c>
      <c r="U27" s="76">
        <v>0</v>
      </c>
      <c r="V27" s="76"/>
      <c r="W27" s="76"/>
      <c r="X27" s="81" t="str">
        <f>HYPERLINK("https://twitter.com/Inovies/status/1402693044516757504")</f>
        <v>https://twitter.com/Inovies/status/1402693044516757504</v>
      </c>
      <c r="Y27" s="76" t="s">
        <v>235</v>
      </c>
      <c r="Z27" s="76" t="s">
        <v>896</v>
      </c>
      <c r="AA27" s="76"/>
      <c r="AB27" s="76"/>
      <c r="AC27" s="80" t="s">
        <v>239</v>
      </c>
      <c r="AD27" s="76" t="s">
        <v>245</v>
      </c>
      <c r="AE27" s="81" t="str">
        <f>HYPERLINK("https://twitter.com/inovies/status/1402837258785333248")</f>
        <v>https://twitter.com/inovies/status/1402837258785333248</v>
      </c>
      <c r="AF27" s="78">
        <v>44357.164814814816</v>
      </c>
      <c r="AG27" s="85">
        <v>44357</v>
      </c>
      <c r="AH27" s="80" t="s">
        <v>971</v>
      </c>
      <c r="AI27" s="76" t="b">
        <v>0</v>
      </c>
      <c r="AJ27" s="76"/>
      <c r="AK27" s="76"/>
      <c r="AL27" s="76"/>
      <c r="AM27" s="76"/>
      <c r="AN27" s="76"/>
      <c r="AO27" s="76"/>
      <c r="AP27" s="76"/>
      <c r="AQ27" s="76"/>
      <c r="AR27" s="76"/>
      <c r="AS27" s="76"/>
      <c r="AT27" s="76"/>
      <c r="AU27" s="76"/>
      <c r="AV27" s="81" t="str">
        <f>HYPERLINK("https://pbs.twimg.com/profile_images/833576943677214720/5ZyUgpEJ_normal.jpg")</f>
        <v>https://pbs.twimg.com/profile_images/833576943677214720/5ZyUgpEJ_normal.jpg</v>
      </c>
      <c r="AW27" s="80" t="s">
        <v>1093</v>
      </c>
      <c r="AX27" s="80" t="s">
        <v>1192</v>
      </c>
      <c r="AY27" s="80" t="s">
        <v>1206</v>
      </c>
      <c r="AZ27" s="80" t="s">
        <v>1224</v>
      </c>
      <c r="BA27" s="80" t="s">
        <v>1186</v>
      </c>
      <c r="BB27" s="80" t="s">
        <v>252</v>
      </c>
      <c r="BC27" s="80" t="s">
        <v>1224</v>
      </c>
      <c r="BD27" s="76">
        <v>297885438</v>
      </c>
      <c r="BE27" s="76"/>
      <c r="BF27" s="76"/>
      <c r="BG27" s="76"/>
      <c r="BH27" s="76"/>
      <c r="BI27" s="76"/>
      <c r="BJ27" s="76">
        <v>2</v>
      </c>
      <c r="BK27" s="75" t="str">
        <f>REPLACE(INDEX(GroupVertices[Group],MATCH("~"&amp;Edges[[#This Row],[Vertex 1]],GroupVertices[Vertex],0)),1,1,"")</f>
        <v>1</v>
      </c>
      <c r="BL27" s="75" t="str">
        <f>REPLACE(INDEX(GroupVertices[Group],MATCH("~"&amp;Edges[[#This Row],[Vertex 2]],GroupVertices[Vertex],0)),1,1,"")</f>
        <v>1</v>
      </c>
    </row>
    <row r="28" spans="1:64" ht="15">
      <c r="A28" s="61" t="s">
        <v>224</v>
      </c>
      <c r="B28" s="61" t="s">
        <v>664</v>
      </c>
      <c r="C28" s="62"/>
      <c r="D28" s="63"/>
      <c r="E28" s="64"/>
      <c r="F28" s="65"/>
      <c r="G28" s="62"/>
      <c r="H28" s="66"/>
      <c r="I28" s="67"/>
      <c r="J28" s="67"/>
      <c r="K28" s="31" t="s">
        <v>65</v>
      </c>
      <c r="L28" s="74">
        <v>28</v>
      </c>
      <c r="M28" s="74"/>
      <c r="N28" s="69"/>
      <c r="O28" s="76" t="s">
        <v>228</v>
      </c>
      <c r="P28" s="78">
        <v>44357.163773148146</v>
      </c>
      <c r="Q28" s="76" t="s">
        <v>742</v>
      </c>
      <c r="R28" s="76">
        <v>0</v>
      </c>
      <c r="S28" s="76">
        <v>0</v>
      </c>
      <c r="T28" s="76">
        <v>0</v>
      </c>
      <c r="U28" s="76">
        <v>0</v>
      </c>
      <c r="V28" s="76"/>
      <c r="W28" s="76"/>
      <c r="X28" s="81" t="str">
        <f>HYPERLINK("https://twitter.com/Inovies/status/1402693044516757504")</f>
        <v>https://twitter.com/Inovies/status/1402693044516757504</v>
      </c>
      <c r="Y28" s="76" t="s">
        <v>235</v>
      </c>
      <c r="Z28" s="76" t="s">
        <v>649</v>
      </c>
      <c r="AA28" s="76"/>
      <c r="AB28" s="76"/>
      <c r="AC28" s="80" t="s">
        <v>239</v>
      </c>
      <c r="AD28" s="76" t="s">
        <v>245</v>
      </c>
      <c r="AE28" s="81" t="str">
        <f>HYPERLINK("https://twitter.com/inovies/status/1402836880370987011")</f>
        <v>https://twitter.com/inovies/status/1402836880370987011</v>
      </c>
      <c r="AF28" s="78">
        <v>44357.163773148146</v>
      </c>
      <c r="AG28" s="85">
        <v>44357</v>
      </c>
      <c r="AH28" s="80" t="s">
        <v>972</v>
      </c>
      <c r="AI28" s="76" t="b">
        <v>0</v>
      </c>
      <c r="AJ28" s="76"/>
      <c r="AK28" s="76"/>
      <c r="AL28" s="76"/>
      <c r="AM28" s="76"/>
      <c r="AN28" s="76"/>
      <c r="AO28" s="76"/>
      <c r="AP28" s="76"/>
      <c r="AQ28" s="76"/>
      <c r="AR28" s="76"/>
      <c r="AS28" s="76"/>
      <c r="AT28" s="76"/>
      <c r="AU28" s="76"/>
      <c r="AV28" s="81" t="str">
        <f>HYPERLINK("https://pbs.twimg.com/profile_images/833576943677214720/5ZyUgpEJ_normal.jpg")</f>
        <v>https://pbs.twimg.com/profile_images/833576943677214720/5ZyUgpEJ_normal.jpg</v>
      </c>
      <c r="AW28" s="80" t="s">
        <v>1094</v>
      </c>
      <c r="AX28" s="80" t="s">
        <v>1189</v>
      </c>
      <c r="AY28" s="80" t="s">
        <v>1207</v>
      </c>
      <c r="AZ28" s="80" t="s">
        <v>1225</v>
      </c>
      <c r="BA28" s="80" t="s">
        <v>1186</v>
      </c>
      <c r="BB28" s="80" t="s">
        <v>252</v>
      </c>
      <c r="BC28" s="80" t="s">
        <v>1225</v>
      </c>
      <c r="BD28" s="76">
        <v>297885438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row>
    <row r="29" spans="1:64" ht="15">
      <c r="A29" s="61" t="s">
        <v>224</v>
      </c>
      <c r="B29" s="61" t="s">
        <v>665</v>
      </c>
      <c r="C29" s="62"/>
      <c r="D29" s="63"/>
      <c r="E29" s="64"/>
      <c r="F29" s="65"/>
      <c r="G29" s="62"/>
      <c r="H29" s="66"/>
      <c r="I29" s="67"/>
      <c r="J29" s="67"/>
      <c r="K29" s="31" t="s">
        <v>65</v>
      </c>
      <c r="L29" s="74">
        <v>29</v>
      </c>
      <c r="M29" s="74"/>
      <c r="N29" s="69"/>
      <c r="O29" s="76" t="s">
        <v>398</v>
      </c>
      <c r="P29" s="78">
        <v>44357.16365740741</v>
      </c>
      <c r="Q29" s="76" t="s">
        <v>743</v>
      </c>
      <c r="R29" s="76">
        <v>0</v>
      </c>
      <c r="S29" s="76">
        <v>0</v>
      </c>
      <c r="T29" s="76">
        <v>0</v>
      </c>
      <c r="U29" s="76">
        <v>0</v>
      </c>
      <c r="V29" s="76"/>
      <c r="W29" s="76"/>
      <c r="X29" s="81" t="str">
        <f>HYPERLINK("https://twitter.com/Inovies/status/1402693044516757504")</f>
        <v>https://twitter.com/Inovies/status/1402693044516757504</v>
      </c>
      <c r="Y29" s="76" t="s">
        <v>235</v>
      </c>
      <c r="Z29" s="76" t="s">
        <v>665</v>
      </c>
      <c r="AA29" s="76"/>
      <c r="AB29" s="76"/>
      <c r="AC29" s="80" t="s">
        <v>239</v>
      </c>
      <c r="AD29" s="76" t="s">
        <v>245</v>
      </c>
      <c r="AE29" s="81" t="str">
        <f>HYPERLINK("https://twitter.com/inovies/status/1402836838100787203")</f>
        <v>https://twitter.com/inovies/status/1402836838100787203</v>
      </c>
      <c r="AF29" s="78">
        <v>44357.16365740741</v>
      </c>
      <c r="AG29" s="85">
        <v>44357</v>
      </c>
      <c r="AH29" s="80" t="s">
        <v>973</v>
      </c>
      <c r="AI29" s="76" t="b">
        <v>0</v>
      </c>
      <c r="AJ29" s="76"/>
      <c r="AK29" s="76"/>
      <c r="AL29" s="76"/>
      <c r="AM29" s="76"/>
      <c r="AN29" s="76"/>
      <c r="AO29" s="76"/>
      <c r="AP29" s="76"/>
      <c r="AQ29" s="76"/>
      <c r="AR29" s="76"/>
      <c r="AS29" s="76"/>
      <c r="AT29" s="76"/>
      <c r="AU29" s="76"/>
      <c r="AV29" s="81" t="str">
        <f>HYPERLINK("https://pbs.twimg.com/profile_images/833576943677214720/5ZyUgpEJ_normal.jpg")</f>
        <v>https://pbs.twimg.com/profile_images/833576943677214720/5ZyUgpEJ_normal.jpg</v>
      </c>
      <c r="AW29" s="80" t="s">
        <v>1095</v>
      </c>
      <c r="AX29" s="80" t="s">
        <v>1193</v>
      </c>
      <c r="AY29" s="80" t="s">
        <v>1208</v>
      </c>
      <c r="AZ29" s="80" t="s">
        <v>1193</v>
      </c>
      <c r="BA29" s="80" t="s">
        <v>1186</v>
      </c>
      <c r="BB29" s="80" t="s">
        <v>252</v>
      </c>
      <c r="BC29" s="80" t="s">
        <v>1193</v>
      </c>
      <c r="BD29" s="76">
        <v>297885438</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row>
    <row r="30" spans="1:64" ht="15">
      <c r="A30" s="61" t="s">
        <v>224</v>
      </c>
      <c r="B30" s="61" t="s">
        <v>666</v>
      </c>
      <c r="C30" s="62"/>
      <c r="D30" s="63"/>
      <c r="E30" s="64"/>
      <c r="F30" s="65"/>
      <c r="G30" s="62"/>
      <c r="H30" s="66"/>
      <c r="I30" s="67"/>
      <c r="J30" s="67"/>
      <c r="K30" s="31" t="s">
        <v>65</v>
      </c>
      <c r="L30" s="74">
        <v>30</v>
      </c>
      <c r="M30" s="74"/>
      <c r="N30" s="69"/>
      <c r="O30" s="76" t="s">
        <v>398</v>
      </c>
      <c r="P30" s="78">
        <v>44357.163564814815</v>
      </c>
      <c r="Q30" s="76" t="s">
        <v>744</v>
      </c>
      <c r="R30" s="76">
        <v>0</v>
      </c>
      <c r="S30" s="76">
        <v>0</v>
      </c>
      <c r="T30" s="76">
        <v>0</v>
      </c>
      <c r="U30" s="76">
        <v>0</v>
      </c>
      <c r="V30" s="76"/>
      <c r="W30" s="76"/>
      <c r="X30" s="81" t="str">
        <f>HYPERLINK("https://twitter.com/Inovies/status/1402693044516757504")</f>
        <v>https://twitter.com/Inovies/status/1402693044516757504</v>
      </c>
      <c r="Y30" s="76" t="s">
        <v>235</v>
      </c>
      <c r="Z30" s="76" t="s">
        <v>897</v>
      </c>
      <c r="AA30" s="76"/>
      <c r="AB30" s="76"/>
      <c r="AC30" s="80" t="s">
        <v>239</v>
      </c>
      <c r="AD30" s="76" t="s">
        <v>245</v>
      </c>
      <c r="AE30" s="81" t="str">
        <f>HYPERLINK("https://twitter.com/inovies/status/1402836807088164864")</f>
        <v>https://twitter.com/inovies/status/1402836807088164864</v>
      </c>
      <c r="AF30" s="78">
        <v>44357.163564814815</v>
      </c>
      <c r="AG30" s="85">
        <v>44357</v>
      </c>
      <c r="AH30" s="80" t="s">
        <v>974</v>
      </c>
      <c r="AI30" s="76" t="b">
        <v>0</v>
      </c>
      <c r="AJ30" s="76"/>
      <c r="AK30" s="76"/>
      <c r="AL30" s="76"/>
      <c r="AM30" s="76"/>
      <c r="AN30" s="76"/>
      <c r="AO30" s="76"/>
      <c r="AP30" s="76"/>
      <c r="AQ30" s="76"/>
      <c r="AR30" s="76"/>
      <c r="AS30" s="76"/>
      <c r="AT30" s="76"/>
      <c r="AU30" s="76"/>
      <c r="AV30" s="81" t="str">
        <f>HYPERLINK("https://pbs.twimg.com/profile_images/833576943677214720/5ZyUgpEJ_normal.jpg")</f>
        <v>https://pbs.twimg.com/profile_images/833576943677214720/5ZyUgpEJ_normal.jpg</v>
      </c>
      <c r="AW30" s="80" t="s">
        <v>1096</v>
      </c>
      <c r="AX30" s="80" t="s">
        <v>1194</v>
      </c>
      <c r="AY30" s="80" t="s">
        <v>1209</v>
      </c>
      <c r="AZ30" s="80" t="s">
        <v>1194</v>
      </c>
      <c r="BA30" s="80" t="s">
        <v>1186</v>
      </c>
      <c r="BB30" s="80" t="s">
        <v>252</v>
      </c>
      <c r="BC30" s="80" t="s">
        <v>1194</v>
      </c>
      <c r="BD30" s="76">
        <v>297885438</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row>
    <row r="31" spans="1:64" ht="15">
      <c r="A31" s="61" t="s">
        <v>224</v>
      </c>
      <c r="B31" s="61" t="s">
        <v>667</v>
      </c>
      <c r="C31" s="62"/>
      <c r="D31" s="63"/>
      <c r="E31" s="64"/>
      <c r="F31" s="65"/>
      <c r="G31" s="62"/>
      <c r="H31" s="66"/>
      <c r="I31" s="67"/>
      <c r="J31" s="67"/>
      <c r="K31" s="31" t="s">
        <v>65</v>
      </c>
      <c r="L31" s="74">
        <v>31</v>
      </c>
      <c r="M31" s="74"/>
      <c r="N31" s="69"/>
      <c r="O31" s="76" t="s">
        <v>398</v>
      </c>
      <c r="P31" s="78">
        <v>44357.163564814815</v>
      </c>
      <c r="Q31" s="76" t="s">
        <v>744</v>
      </c>
      <c r="R31" s="76">
        <v>0</v>
      </c>
      <c r="S31" s="76">
        <v>0</v>
      </c>
      <c r="T31" s="76">
        <v>0</v>
      </c>
      <c r="U31" s="76">
        <v>0</v>
      </c>
      <c r="V31" s="76"/>
      <c r="W31" s="76"/>
      <c r="X31" s="81" t="str">
        <f>HYPERLINK("https://twitter.com/Inovies/status/1402693044516757504")</f>
        <v>https://twitter.com/Inovies/status/1402693044516757504</v>
      </c>
      <c r="Y31" s="76" t="s">
        <v>235</v>
      </c>
      <c r="Z31" s="76" t="s">
        <v>897</v>
      </c>
      <c r="AA31" s="76"/>
      <c r="AB31" s="76"/>
      <c r="AC31" s="80" t="s">
        <v>239</v>
      </c>
      <c r="AD31" s="76" t="s">
        <v>245</v>
      </c>
      <c r="AE31" s="81" t="str">
        <f>HYPERLINK("https://twitter.com/inovies/status/1402836807088164864")</f>
        <v>https://twitter.com/inovies/status/1402836807088164864</v>
      </c>
      <c r="AF31" s="78">
        <v>44357.163564814815</v>
      </c>
      <c r="AG31" s="85">
        <v>44357</v>
      </c>
      <c r="AH31" s="80" t="s">
        <v>974</v>
      </c>
      <c r="AI31" s="76" t="b">
        <v>0</v>
      </c>
      <c r="AJ31" s="76"/>
      <c r="AK31" s="76"/>
      <c r="AL31" s="76"/>
      <c r="AM31" s="76"/>
      <c r="AN31" s="76"/>
      <c r="AO31" s="76"/>
      <c r="AP31" s="76"/>
      <c r="AQ31" s="76"/>
      <c r="AR31" s="76"/>
      <c r="AS31" s="76"/>
      <c r="AT31" s="76"/>
      <c r="AU31" s="76"/>
      <c r="AV31" s="81" t="str">
        <f>HYPERLINK("https://pbs.twimg.com/profile_images/833576943677214720/5ZyUgpEJ_normal.jpg")</f>
        <v>https://pbs.twimg.com/profile_images/833576943677214720/5ZyUgpEJ_normal.jpg</v>
      </c>
      <c r="AW31" s="80" t="s">
        <v>1096</v>
      </c>
      <c r="AX31" s="80" t="s">
        <v>1194</v>
      </c>
      <c r="AY31" s="80" t="s">
        <v>1209</v>
      </c>
      <c r="AZ31" s="80" t="s">
        <v>1194</v>
      </c>
      <c r="BA31" s="80" t="s">
        <v>1186</v>
      </c>
      <c r="BB31" s="80" t="s">
        <v>252</v>
      </c>
      <c r="BC31" s="80" t="s">
        <v>1194</v>
      </c>
      <c r="BD31" s="76">
        <v>297885438</v>
      </c>
      <c r="BE31" s="76"/>
      <c r="BF31" s="76"/>
      <c r="BG31" s="76"/>
      <c r="BH31" s="76"/>
      <c r="BI31" s="76"/>
      <c r="BJ31" s="76">
        <v>2</v>
      </c>
      <c r="BK31" s="75" t="str">
        <f>REPLACE(INDEX(GroupVertices[Group],MATCH("~"&amp;Edges[[#This Row],[Vertex 1]],GroupVertices[Vertex],0)),1,1,"")</f>
        <v>1</v>
      </c>
      <c r="BL31" s="75" t="str">
        <f>REPLACE(INDEX(GroupVertices[Group],MATCH("~"&amp;Edges[[#This Row],[Vertex 2]],GroupVertices[Vertex],0)),1,1,"")</f>
        <v>1</v>
      </c>
    </row>
    <row r="32" spans="1:64" ht="15">
      <c r="A32" s="61" t="s">
        <v>224</v>
      </c>
      <c r="B32" s="61" t="s">
        <v>668</v>
      </c>
      <c r="C32" s="62"/>
      <c r="D32" s="63"/>
      <c r="E32" s="64"/>
      <c r="F32" s="65"/>
      <c r="G32" s="62"/>
      <c r="H32" s="66"/>
      <c r="I32" s="67"/>
      <c r="J32" s="67"/>
      <c r="K32" s="31" t="s">
        <v>65</v>
      </c>
      <c r="L32" s="74">
        <v>32</v>
      </c>
      <c r="M32" s="74"/>
      <c r="N32" s="69"/>
      <c r="O32" s="76" t="s">
        <v>398</v>
      </c>
      <c r="P32" s="78">
        <v>44357.15969907407</v>
      </c>
      <c r="Q32" s="76" t="s">
        <v>745</v>
      </c>
      <c r="R32" s="76">
        <v>0</v>
      </c>
      <c r="S32" s="76">
        <v>0</v>
      </c>
      <c r="T32" s="76">
        <v>0</v>
      </c>
      <c r="U32" s="76">
        <v>0</v>
      </c>
      <c r="V32" s="76"/>
      <c r="W32" s="76"/>
      <c r="X32" s="81" t="str">
        <f>HYPERLINK("https://twitter.com/Inovies/status/1402693044516757504")</f>
        <v>https://twitter.com/Inovies/status/1402693044516757504</v>
      </c>
      <c r="Y32" s="76" t="s">
        <v>235</v>
      </c>
      <c r="Z32" s="76" t="s">
        <v>668</v>
      </c>
      <c r="AA32" s="76"/>
      <c r="AB32" s="76"/>
      <c r="AC32" s="80" t="s">
        <v>239</v>
      </c>
      <c r="AD32" s="76" t="s">
        <v>245</v>
      </c>
      <c r="AE32" s="81" t="str">
        <f>HYPERLINK("https://twitter.com/inovies/status/1402835403174944768")</f>
        <v>https://twitter.com/inovies/status/1402835403174944768</v>
      </c>
      <c r="AF32" s="78">
        <v>44357.15969907407</v>
      </c>
      <c r="AG32" s="85">
        <v>44357</v>
      </c>
      <c r="AH32" s="80" t="s">
        <v>975</v>
      </c>
      <c r="AI32" s="76" t="b">
        <v>0</v>
      </c>
      <c r="AJ32" s="76"/>
      <c r="AK32" s="76"/>
      <c r="AL32" s="76"/>
      <c r="AM32" s="76"/>
      <c r="AN32" s="76"/>
      <c r="AO32" s="76"/>
      <c r="AP32" s="76"/>
      <c r="AQ32" s="76"/>
      <c r="AR32" s="76"/>
      <c r="AS32" s="76"/>
      <c r="AT32" s="76"/>
      <c r="AU32" s="76"/>
      <c r="AV32" s="81" t="str">
        <f>HYPERLINK("https://pbs.twimg.com/profile_images/833576943677214720/5ZyUgpEJ_normal.jpg")</f>
        <v>https://pbs.twimg.com/profile_images/833576943677214720/5ZyUgpEJ_normal.jpg</v>
      </c>
      <c r="AW32" s="80" t="s">
        <v>1097</v>
      </c>
      <c r="AX32" s="80" t="s">
        <v>1195</v>
      </c>
      <c r="AY32" s="80" t="s">
        <v>1210</v>
      </c>
      <c r="AZ32" s="80" t="s">
        <v>1195</v>
      </c>
      <c r="BA32" s="80" t="s">
        <v>1186</v>
      </c>
      <c r="BB32" s="80" t="s">
        <v>252</v>
      </c>
      <c r="BC32" s="80" t="s">
        <v>1195</v>
      </c>
      <c r="BD32" s="76">
        <v>297885438</v>
      </c>
      <c r="BE32" s="76"/>
      <c r="BF32" s="76"/>
      <c r="BG32" s="76"/>
      <c r="BH32" s="76"/>
      <c r="BI32" s="76"/>
      <c r="BJ32" s="76">
        <v>2</v>
      </c>
      <c r="BK32" s="75" t="str">
        <f>REPLACE(INDEX(GroupVertices[Group],MATCH("~"&amp;Edges[[#This Row],[Vertex 1]],GroupVertices[Vertex],0)),1,1,"")</f>
        <v>1</v>
      </c>
      <c r="BL32" s="75" t="str">
        <f>REPLACE(INDEX(GroupVertices[Group],MATCH("~"&amp;Edges[[#This Row],[Vertex 2]],GroupVertices[Vertex],0)),1,1,"")</f>
        <v>1</v>
      </c>
    </row>
    <row r="33" spans="1:64" ht="15">
      <c r="A33" s="61" t="s">
        <v>224</v>
      </c>
      <c r="B33" s="61" t="s">
        <v>649</v>
      </c>
      <c r="C33" s="62"/>
      <c r="D33" s="63"/>
      <c r="E33" s="64"/>
      <c r="F33" s="65"/>
      <c r="G33" s="62"/>
      <c r="H33" s="66"/>
      <c r="I33" s="67"/>
      <c r="J33" s="67"/>
      <c r="K33" s="31" t="s">
        <v>65</v>
      </c>
      <c r="L33" s="74">
        <v>33</v>
      </c>
      <c r="M33" s="74"/>
      <c r="N33" s="69"/>
      <c r="O33" s="76" t="s">
        <v>398</v>
      </c>
      <c r="P33" s="78">
        <v>44357.163773148146</v>
      </c>
      <c r="Q33" s="76" t="s">
        <v>742</v>
      </c>
      <c r="R33" s="76">
        <v>0</v>
      </c>
      <c r="S33" s="76">
        <v>0</v>
      </c>
      <c r="T33" s="76">
        <v>0</v>
      </c>
      <c r="U33" s="76">
        <v>0</v>
      </c>
      <c r="V33" s="76"/>
      <c r="W33" s="76"/>
      <c r="X33" s="81" t="str">
        <f>HYPERLINK("https://twitter.com/Inovies/status/1402693044516757504")</f>
        <v>https://twitter.com/Inovies/status/1402693044516757504</v>
      </c>
      <c r="Y33" s="76" t="s">
        <v>235</v>
      </c>
      <c r="Z33" s="76" t="s">
        <v>649</v>
      </c>
      <c r="AA33" s="76"/>
      <c r="AB33" s="76"/>
      <c r="AC33" s="80" t="s">
        <v>239</v>
      </c>
      <c r="AD33" s="76" t="s">
        <v>245</v>
      </c>
      <c r="AE33" s="81" t="str">
        <f>HYPERLINK("https://twitter.com/inovies/status/1402836880370987011")</f>
        <v>https://twitter.com/inovies/status/1402836880370987011</v>
      </c>
      <c r="AF33" s="78">
        <v>44357.163773148146</v>
      </c>
      <c r="AG33" s="85">
        <v>44357</v>
      </c>
      <c r="AH33" s="80" t="s">
        <v>972</v>
      </c>
      <c r="AI33" s="76" t="b">
        <v>0</v>
      </c>
      <c r="AJ33" s="76"/>
      <c r="AK33" s="76"/>
      <c r="AL33" s="76"/>
      <c r="AM33" s="76"/>
      <c r="AN33" s="76"/>
      <c r="AO33" s="76"/>
      <c r="AP33" s="76"/>
      <c r="AQ33" s="76"/>
      <c r="AR33" s="76"/>
      <c r="AS33" s="76"/>
      <c r="AT33" s="76"/>
      <c r="AU33" s="76"/>
      <c r="AV33" s="81" t="str">
        <f>HYPERLINK("https://pbs.twimg.com/profile_images/833576943677214720/5ZyUgpEJ_normal.jpg")</f>
        <v>https://pbs.twimg.com/profile_images/833576943677214720/5ZyUgpEJ_normal.jpg</v>
      </c>
      <c r="AW33" s="80" t="s">
        <v>1094</v>
      </c>
      <c r="AX33" s="80" t="s">
        <v>1189</v>
      </c>
      <c r="AY33" s="80" t="s">
        <v>1207</v>
      </c>
      <c r="AZ33" s="80" t="s">
        <v>1225</v>
      </c>
      <c r="BA33" s="80" t="s">
        <v>1186</v>
      </c>
      <c r="BB33" s="80" t="s">
        <v>252</v>
      </c>
      <c r="BC33" s="80" t="s">
        <v>1225</v>
      </c>
      <c r="BD33" s="76">
        <v>297885438</v>
      </c>
      <c r="BE33" s="76"/>
      <c r="BF33" s="76"/>
      <c r="BG33" s="76"/>
      <c r="BH33" s="76"/>
      <c r="BI33" s="76"/>
      <c r="BJ33" s="76">
        <v>3</v>
      </c>
      <c r="BK33" s="75" t="str">
        <f>REPLACE(INDEX(GroupVertices[Group],MATCH("~"&amp;Edges[[#This Row],[Vertex 1]],GroupVertices[Vertex],0)),1,1,"")</f>
        <v>1</v>
      </c>
      <c r="BL33" s="75" t="str">
        <f>REPLACE(INDEX(GroupVertices[Group],MATCH("~"&amp;Edges[[#This Row],[Vertex 2]],GroupVertices[Vertex],0)),1,1,"")</f>
        <v>1</v>
      </c>
    </row>
    <row r="34" spans="1:64" ht="15">
      <c r="A34" s="61" t="s">
        <v>590</v>
      </c>
      <c r="B34" s="61" t="s">
        <v>224</v>
      </c>
      <c r="C34" s="62"/>
      <c r="D34" s="63"/>
      <c r="E34" s="64"/>
      <c r="F34" s="65"/>
      <c r="G34" s="62"/>
      <c r="H34" s="66"/>
      <c r="I34" s="67"/>
      <c r="J34" s="67"/>
      <c r="K34" s="31" t="s">
        <v>66</v>
      </c>
      <c r="L34" s="74">
        <v>34</v>
      </c>
      <c r="M34" s="74"/>
      <c r="N34" s="69"/>
      <c r="O34" s="76" t="s">
        <v>228</v>
      </c>
      <c r="P34" s="78">
        <v>42968.429606481484</v>
      </c>
      <c r="Q34" s="76" t="s">
        <v>746</v>
      </c>
      <c r="R34" s="76">
        <v>0</v>
      </c>
      <c r="S34" s="76">
        <v>0</v>
      </c>
      <c r="T34" s="76">
        <v>0</v>
      </c>
      <c r="U34" s="76">
        <v>0</v>
      </c>
      <c r="V34" s="76"/>
      <c r="W34" s="76"/>
      <c r="X34" s="76"/>
      <c r="Y34" s="76"/>
      <c r="Z34" s="76" t="s">
        <v>224</v>
      </c>
      <c r="AA34" s="76"/>
      <c r="AB34" s="76"/>
      <c r="AC34" s="80" t="s">
        <v>242</v>
      </c>
      <c r="AD34" s="76" t="s">
        <v>244</v>
      </c>
      <c r="AE34" s="81" t="str">
        <f>HYPERLINK("https://twitter.com/byles_digital/status/899576470980448256")</f>
        <v>https://twitter.com/byles_digital/status/899576470980448256</v>
      </c>
      <c r="AF34" s="78">
        <v>42968.429606481484</v>
      </c>
      <c r="AG34" s="85">
        <v>42968</v>
      </c>
      <c r="AH34" s="80" t="s">
        <v>976</v>
      </c>
      <c r="AI34" s="76"/>
      <c r="AJ34" s="76"/>
      <c r="AK34" s="76"/>
      <c r="AL34" s="76"/>
      <c r="AM34" s="76"/>
      <c r="AN34" s="76"/>
      <c r="AO34" s="76"/>
      <c r="AP34" s="76"/>
      <c r="AQ34" s="76"/>
      <c r="AR34" s="76"/>
      <c r="AS34" s="76"/>
      <c r="AT34" s="76"/>
      <c r="AU34" s="76"/>
      <c r="AV34" s="81" t="str">
        <f>HYPERLINK("https://pbs.twimg.com/profile_images/1159112128365658112/9Qc4LSaN_normal.jpg")</f>
        <v>https://pbs.twimg.com/profile_images/1159112128365658112/9Qc4LSaN_normal.jpg</v>
      </c>
      <c r="AW34" s="80" t="s">
        <v>1098</v>
      </c>
      <c r="AX34" s="80" t="s">
        <v>1196</v>
      </c>
      <c r="AY34" s="80" t="s">
        <v>251</v>
      </c>
      <c r="AZ34" s="80" t="s">
        <v>1099</v>
      </c>
      <c r="BA34" s="80" t="s">
        <v>252</v>
      </c>
      <c r="BB34" s="80" t="s">
        <v>252</v>
      </c>
      <c r="BC34" s="80" t="s">
        <v>1099</v>
      </c>
      <c r="BD34" s="80" t="s">
        <v>1211</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row>
    <row r="35" spans="1:64" ht="15">
      <c r="A35" s="61" t="s">
        <v>224</v>
      </c>
      <c r="B35" s="61" t="s">
        <v>590</v>
      </c>
      <c r="C35" s="62"/>
      <c r="D35" s="63"/>
      <c r="E35" s="64"/>
      <c r="F35" s="65"/>
      <c r="G35" s="62"/>
      <c r="H35" s="66"/>
      <c r="I35" s="67"/>
      <c r="J35" s="67"/>
      <c r="K35" s="31" t="s">
        <v>66</v>
      </c>
      <c r="L35" s="74">
        <v>35</v>
      </c>
      <c r="M35" s="74"/>
      <c r="N35" s="69"/>
      <c r="O35" s="76" t="s">
        <v>228</v>
      </c>
      <c r="P35" s="78">
        <v>42968.41991898148</v>
      </c>
      <c r="Q35" s="76" t="s">
        <v>747</v>
      </c>
      <c r="R35" s="76">
        <v>0</v>
      </c>
      <c r="S35" s="76">
        <v>1</v>
      </c>
      <c r="T35" s="76">
        <v>1</v>
      </c>
      <c r="U35" s="76">
        <v>0</v>
      </c>
      <c r="V35" s="76"/>
      <c r="W35" s="76"/>
      <c r="X35" s="76"/>
      <c r="Y35" s="76"/>
      <c r="Z35" s="76"/>
      <c r="AA35" s="76"/>
      <c r="AB35" s="76"/>
      <c r="AC35" s="80" t="s">
        <v>241</v>
      </c>
      <c r="AD35" s="76" t="s">
        <v>244</v>
      </c>
      <c r="AE35" s="81" t="str">
        <f>HYPERLINK("https://twitter.com/inovies/status/899572960922525696")</f>
        <v>https://twitter.com/inovies/status/899572960922525696</v>
      </c>
      <c r="AF35" s="78">
        <v>42968.41991898148</v>
      </c>
      <c r="AG35" s="85">
        <v>42968</v>
      </c>
      <c r="AH35" s="80" t="s">
        <v>977</v>
      </c>
      <c r="AI35" s="76"/>
      <c r="AJ35" s="76"/>
      <c r="AK35" s="76"/>
      <c r="AL35" s="76"/>
      <c r="AM35" s="76"/>
      <c r="AN35" s="76"/>
      <c r="AO35" s="76"/>
      <c r="AP35" s="76"/>
      <c r="AQ35" s="76"/>
      <c r="AR35" s="76"/>
      <c r="AS35" s="76"/>
      <c r="AT35" s="76"/>
      <c r="AU35" s="76"/>
      <c r="AV35" s="81" t="str">
        <f>HYPERLINK("https://pbs.twimg.com/profile_images/833576943677214720/5ZyUgpEJ_normal.jpg")</f>
        <v>https://pbs.twimg.com/profile_images/833576943677214720/5ZyUgpEJ_normal.jpg</v>
      </c>
      <c r="AW35" s="80" t="s">
        <v>1099</v>
      </c>
      <c r="AX35" s="80" t="s">
        <v>1196</v>
      </c>
      <c r="AY35" s="80" t="s">
        <v>1211</v>
      </c>
      <c r="AZ35" s="80" t="s">
        <v>1196</v>
      </c>
      <c r="BA35" s="80" t="s">
        <v>252</v>
      </c>
      <c r="BB35" s="80" t="s">
        <v>252</v>
      </c>
      <c r="BC35" s="80" t="s">
        <v>1196</v>
      </c>
      <c r="BD35" s="76">
        <v>297885438</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row>
    <row r="36" spans="1:64" ht="15">
      <c r="A36" s="61" t="s">
        <v>224</v>
      </c>
      <c r="B36" s="61" t="s">
        <v>395</v>
      </c>
      <c r="C36" s="62"/>
      <c r="D36" s="63"/>
      <c r="E36" s="64"/>
      <c r="F36" s="65"/>
      <c r="G36" s="62"/>
      <c r="H36" s="66"/>
      <c r="I36" s="67"/>
      <c r="J36" s="67"/>
      <c r="K36" s="31" t="s">
        <v>65</v>
      </c>
      <c r="L36" s="74">
        <v>36</v>
      </c>
      <c r="M36" s="74"/>
      <c r="N36" s="69"/>
      <c r="O36" s="76" t="s">
        <v>227</v>
      </c>
      <c r="P36" s="78">
        <v>45267.414976851855</v>
      </c>
      <c r="Q36" s="76" t="s">
        <v>748</v>
      </c>
      <c r="R36" s="76">
        <v>0</v>
      </c>
      <c r="S36" s="76">
        <v>0</v>
      </c>
      <c r="T36" s="76">
        <v>0</v>
      </c>
      <c r="U36" s="76">
        <v>0</v>
      </c>
      <c r="V36" s="76">
        <v>32</v>
      </c>
      <c r="W36" s="80" t="s">
        <v>834</v>
      </c>
      <c r="X36" s="76"/>
      <c r="Y36" s="76"/>
      <c r="Z36" s="76" t="s">
        <v>898</v>
      </c>
      <c r="AA36" s="76"/>
      <c r="AB36" s="76"/>
      <c r="AC36" s="80" t="s">
        <v>239</v>
      </c>
      <c r="AD36" s="76" t="s">
        <v>244</v>
      </c>
      <c r="AE36" s="81" t="str">
        <f>HYPERLINK("https://twitter.com/inovies/status/1732700872751132674")</f>
        <v>https://twitter.com/inovies/status/1732700872751132674</v>
      </c>
      <c r="AF36" s="78">
        <v>45267.414976851855</v>
      </c>
      <c r="AG36" s="85">
        <v>45267</v>
      </c>
      <c r="AH36" s="80" t="s">
        <v>978</v>
      </c>
      <c r="AI36" s="76"/>
      <c r="AJ36" s="76"/>
      <c r="AK36" s="76"/>
      <c r="AL36" s="76"/>
      <c r="AM36" s="76"/>
      <c r="AN36" s="76"/>
      <c r="AO36" s="76"/>
      <c r="AP36" s="76"/>
      <c r="AQ36" s="76"/>
      <c r="AR36" s="76"/>
      <c r="AS36" s="76"/>
      <c r="AT36" s="76"/>
      <c r="AU36" s="76"/>
      <c r="AV36" s="81" t="str">
        <f>HYPERLINK("https://pbs.twimg.com/profile_images/833576943677214720/5ZyUgpEJ_normal.jpg")</f>
        <v>https://pbs.twimg.com/profile_images/833576943677214720/5ZyUgpEJ_normal.jpg</v>
      </c>
      <c r="AW36" s="80" t="s">
        <v>1100</v>
      </c>
      <c r="AX36" s="80" t="s">
        <v>1100</v>
      </c>
      <c r="AY36" s="76"/>
      <c r="AZ36" s="80" t="s">
        <v>252</v>
      </c>
      <c r="BA36" s="80" t="s">
        <v>252</v>
      </c>
      <c r="BB36" s="80" t="s">
        <v>252</v>
      </c>
      <c r="BC36" s="80" t="s">
        <v>1100</v>
      </c>
      <c r="BD36" s="76">
        <v>297885438</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row>
    <row r="37" spans="1:64" ht="15">
      <c r="A37" s="61" t="s">
        <v>224</v>
      </c>
      <c r="B37" s="61" t="s">
        <v>393</v>
      </c>
      <c r="C37" s="62"/>
      <c r="D37" s="63"/>
      <c r="E37" s="64"/>
      <c r="F37" s="65"/>
      <c r="G37" s="62"/>
      <c r="H37" s="66"/>
      <c r="I37" s="67"/>
      <c r="J37" s="67"/>
      <c r="K37" s="31" t="s">
        <v>65</v>
      </c>
      <c r="L37" s="74">
        <v>37</v>
      </c>
      <c r="M37" s="74"/>
      <c r="N37" s="69"/>
      <c r="O37" s="76" t="s">
        <v>227</v>
      </c>
      <c r="P37" s="78">
        <v>45267.414976851855</v>
      </c>
      <c r="Q37" s="76" t="s">
        <v>748</v>
      </c>
      <c r="R37" s="76">
        <v>0</v>
      </c>
      <c r="S37" s="76">
        <v>0</v>
      </c>
      <c r="T37" s="76">
        <v>0</v>
      </c>
      <c r="U37" s="76">
        <v>0</v>
      </c>
      <c r="V37" s="76">
        <v>32</v>
      </c>
      <c r="W37" s="80" t="s">
        <v>834</v>
      </c>
      <c r="X37" s="76"/>
      <c r="Y37" s="76"/>
      <c r="Z37" s="76" t="s">
        <v>898</v>
      </c>
      <c r="AA37" s="76"/>
      <c r="AB37" s="76"/>
      <c r="AC37" s="80" t="s">
        <v>239</v>
      </c>
      <c r="AD37" s="76" t="s">
        <v>244</v>
      </c>
      <c r="AE37" s="81" t="str">
        <f>HYPERLINK("https://twitter.com/inovies/status/1732700872751132674")</f>
        <v>https://twitter.com/inovies/status/1732700872751132674</v>
      </c>
      <c r="AF37" s="78">
        <v>45267.414976851855</v>
      </c>
      <c r="AG37" s="85">
        <v>45267</v>
      </c>
      <c r="AH37" s="80" t="s">
        <v>978</v>
      </c>
      <c r="AI37" s="76"/>
      <c r="AJ37" s="76"/>
      <c r="AK37" s="76"/>
      <c r="AL37" s="76"/>
      <c r="AM37" s="76"/>
      <c r="AN37" s="76"/>
      <c r="AO37" s="76"/>
      <c r="AP37" s="76"/>
      <c r="AQ37" s="76"/>
      <c r="AR37" s="76"/>
      <c r="AS37" s="76"/>
      <c r="AT37" s="76"/>
      <c r="AU37" s="76"/>
      <c r="AV37" s="81" t="str">
        <f>HYPERLINK("https://pbs.twimg.com/profile_images/833576943677214720/5ZyUgpEJ_normal.jpg")</f>
        <v>https://pbs.twimg.com/profile_images/833576943677214720/5ZyUgpEJ_normal.jpg</v>
      </c>
      <c r="AW37" s="80" t="s">
        <v>1100</v>
      </c>
      <c r="AX37" s="80" t="s">
        <v>1100</v>
      </c>
      <c r="AY37" s="76"/>
      <c r="AZ37" s="80" t="s">
        <v>252</v>
      </c>
      <c r="BA37" s="80" t="s">
        <v>252</v>
      </c>
      <c r="BB37" s="80" t="s">
        <v>252</v>
      </c>
      <c r="BC37" s="80" t="s">
        <v>1100</v>
      </c>
      <c r="BD37" s="76">
        <v>297885438</v>
      </c>
      <c r="BE37" s="76"/>
      <c r="BF37" s="76"/>
      <c r="BG37" s="76"/>
      <c r="BH37" s="76"/>
      <c r="BI37" s="76"/>
      <c r="BJ37" s="76">
        <v>1</v>
      </c>
      <c r="BK37" s="75" t="str">
        <f>REPLACE(INDEX(GroupVertices[Group],MATCH("~"&amp;Edges[[#This Row],[Vertex 1]],GroupVertices[Vertex],0)),1,1,"")</f>
        <v>1</v>
      </c>
      <c r="BL37" s="75" t="str">
        <f>REPLACE(INDEX(GroupVertices[Group],MATCH("~"&amp;Edges[[#This Row],[Vertex 2]],GroupVertices[Vertex],0)),1,1,"")</f>
        <v>1</v>
      </c>
    </row>
    <row r="38" spans="1:64" ht="15">
      <c r="A38" s="61" t="s">
        <v>224</v>
      </c>
      <c r="B38" s="61" t="s">
        <v>669</v>
      </c>
      <c r="C38" s="62"/>
      <c r="D38" s="63"/>
      <c r="E38" s="64"/>
      <c r="F38" s="65"/>
      <c r="G38" s="62"/>
      <c r="H38" s="66"/>
      <c r="I38" s="67"/>
      <c r="J38" s="67"/>
      <c r="K38" s="31" t="s">
        <v>65</v>
      </c>
      <c r="L38" s="74">
        <v>38</v>
      </c>
      <c r="M38" s="74"/>
      <c r="N38" s="69"/>
      <c r="O38" s="76" t="s">
        <v>228</v>
      </c>
      <c r="P38" s="78">
        <v>44773.55793981482</v>
      </c>
      <c r="Q38" s="76" t="s">
        <v>749</v>
      </c>
      <c r="R38" s="76">
        <v>0</v>
      </c>
      <c r="S38" s="76">
        <v>0</v>
      </c>
      <c r="T38" s="76">
        <v>0</v>
      </c>
      <c r="U38" s="76">
        <v>0</v>
      </c>
      <c r="V38" s="76"/>
      <c r="W38" s="76"/>
      <c r="X38" s="76"/>
      <c r="Y38" s="76"/>
      <c r="Z38" s="76" t="s">
        <v>669</v>
      </c>
      <c r="AA38" s="76"/>
      <c r="AB38" s="76"/>
      <c r="AC38" s="80" t="s">
        <v>241</v>
      </c>
      <c r="AD38" s="76" t="s">
        <v>244</v>
      </c>
      <c r="AE38" s="81" t="str">
        <f>HYPERLINK("https://twitter.com/inovies/status/1553733072868110336")</f>
        <v>https://twitter.com/inovies/status/1553733072868110336</v>
      </c>
      <c r="AF38" s="78">
        <v>44773.55793981482</v>
      </c>
      <c r="AG38" s="85">
        <v>44773</v>
      </c>
      <c r="AH38" s="80" t="s">
        <v>408</v>
      </c>
      <c r="AI38" s="76"/>
      <c r="AJ38" s="76" t="s">
        <v>1054</v>
      </c>
      <c r="AK38" s="76" t="s">
        <v>291</v>
      </c>
      <c r="AL38" s="76" t="s">
        <v>1058</v>
      </c>
      <c r="AM38" s="76" t="s">
        <v>319</v>
      </c>
      <c r="AN38" s="76" t="s">
        <v>1062</v>
      </c>
      <c r="AO38" s="76" t="s">
        <v>292</v>
      </c>
      <c r="AP38" s="76" t="s">
        <v>250</v>
      </c>
      <c r="AQ38" s="76"/>
      <c r="AR38" s="76"/>
      <c r="AS38" s="76"/>
      <c r="AT38" s="76"/>
      <c r="AU38" s="76"/>
      <c r="AV38" s="81" t="str">
        <f>HYPERLINK("https://pbs.twimg.com/profile_images/833576943677214720/5ZyUgpEJ_normal.jpg")</f>
        <v>https://pbs.twimg.com/profile_images/833576943677214720/5ZyUgpEJ_normal.jpg</v>
      </c>
      <c r="AW38" s="80" t="s">
        <v>1101</v>
      </c>
      <c r="AX38" s="80" t="s">
        <v>1197</v>
      </c>
      <c r="AY38" s="80" t="s">
        <v>1212</v>
      </c>
      <c r="AZ38" s="80" t="s">
        <v>1197</v>
      </c>
      <c r="BA38" s="80" t="s">
        <v>252</v>
      </c>
      <c r="BB38" s="80" t="s">
        <v>252</v>
      </c>
      <c r="BC38" s="80" t="s">
        <v>1197</v>
      </c>
      <c r="BD38" s="76">
        <v>297885438</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row>
    <row r="39" spans="1:64" ht="15">
      <c r="A39" s="61" t="s">
        <v>224</v>
      </c>
      <c r="B39" s="61" t="s">
        <v>670</v>
      </c>
      <c r="C39" s="62"/>
      <c r="D39" s="63"/>
      <c r="E39" s="64"/>
      <c r="F39" s="65"/>
      <c r="G39" s="62"/>
      <c r="H39" s="66"/>
      <c r="I39" s="67"/>
      <c r="J39" s="67"/>
      <c r="K39" s="31" t="s">
        <v>65</v>
      </c>
      <c r="L39" s="74">
        <v>39</v>
      </c>
      <c r="M39" s="74"/>
      <c r="N39" s="69"/>
      <c r="O39" s="76" t="s">
        <v>228</v>
      </c>
      <c r="P39" s="78">
        <v>44721.207337962966</v>
      </c>
      <c r="Q39" s="76" t="s">
        <v>750</v>
      </c>
      <c r="R39" s="76">
        <v>0</v>
      </c>
      <c r="S39" s="76">
        <v>0</v>
      </c>
      <c r="T39" s="76">
        <v>0</v>
      </c>
      <c r="U39" s="76">
        <v>0</v>
      </c>
      <c r="V39" s="76"/>
      <c r="W39" s="76"/>
      <c r="X39" s="76"/>
      <c r="Y39" s="76"/>
      <c r="Z39" s="76" t="s">
        <v>670</v>
      </c>
      <c r="AA39" s="76"/>
      <c r="AB39" s="76"/>
      <c r="AC39" s="80" t="s">
        <v>241</v>
      </c>
      <c r="AD39" s="76" t="s">
        <v>244</v>
      </c>
      <c r="AE39" s="81" t="str">
        <f>HYPERLINK("https://twitter.com/inovies/status/1534761852202168320")</f>
        <v>https://twitter.com/inovies/status/1534761852202168320</v>
      </c>
      <c r="AF39" s="78">
        <v>44721.207337962966</v>
      </c>
      <c r="AG39" s="85">
        <v>44721</v>
      </c>
      <c r="AH39" s="80" t="s">
        <v>979</v>
      </c>
      <c r="AI39" s="76"/>
      <c r="AJ39" s="76" t="s">
        <v>1055</v>
      </c>
      <c r="AK39" s="76" t="s">
        <v>291</v>
      </c>
      <c r="AL39" s="76" t="s">
        <v>1058</v>
      </c>
      <c r="AM39" s="76" t="s">
        <v>1059</v>
      </c>
      <c r="AN39" s="76" t="s">
        <v>1063</v>
      </c>
      <c r="AO39" s="76" t="s">
        <v>1066</v>
      </c>
      <c r="AP39" s="76" t="s">
        <v>250</v>
      </c>
      <c r="AQ39" s="76"/>
      <c r="AR39" s="76"/>
      <c r="AS39" s="76"/>
      <c r="AT39" s="76"/>
      <c r="AU39" s="76"/>
      <c r="AV39" s="81" t="str">
        <f>HYPERLINK("https://pbs.twimg.com/profile_images/833576943677214720/5ZyUgpEJ_normal.jpg")</f>
        <v>https://pbs.twimg.com/profile_images/833576943677214720/5ZyUgpEJ_normal.jpg</v>
      </c>
      <c r="AW39" s="80" t="s">
        <v>1102</v>
      </c>
      <c r="AX39" s="80" t="s">
        <v>1198</v>
      </c>
      <c r="AY39" s="80" t="s">
        <v>1213</v>
      </c>
      <c r="AZ39" s="80" t="s">
        <v>1198</v>
      </c>
      <c r="BA39" s="80" t="s">
        <v>252</v>
      </c>
      <c r="BB39" s="80" t="s">
        <v>252</v>
      </c>
      <c r="BC39" s="80" t="s">
        <v>1198</v>
      </c>
      <c r="BD39" s="76">
        <v>297885438</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row>
    <row r="40" spans="1:64" ht="15">
      <c r="A40" s="61" t="s">
        <v>224</v>
      </c>
      <c r="B40" s="61" t="s">
        <v>671</v>
      </c>
      <c r="C40" s="62"/>
      <c r="D40" s="63"/>
      <c r="E40" s="64"/>
      <c r="F40" s="65"/>
      <c r="G40" s="62"/>
      <c r="H40" s="66"/>
      <c r="I40" s="67"/>
      <c r="J40" s="67"/>
      <c r="K40" s="31" t="s">
        <v>65</v>
      </c>
      <c r="L40" s="74">
        <v>40</v>
      </c>
      <c r="M40" s="74"/>
      <c r="N40" s="69"/>
      <c r="O40" s="76" t="s">
        <v>228</v>
      </c>
      <c r="P40" s="78">
        <v>44694.56193287037</v>
      </c>
      <c r="Q40" s="76" t="s">
        <v>751</v>
      </c>
      <c r="R40" s="76">
        <v>0</v>
      </c>
      <c r="S40" s="76">
        <v>1</v>
      </c>
      <c r="T40" s="76">
        <v>0</v>
      </c>
      <c r="U40" s="76">
        <v>0</v>
      </c>
      <c r="V40" s="76"/>
      <c r="W40" s="76"/>
      <c r="X40" s="76"/>
      <c r="Y40" s="76"/>
      <c r="Z40" s="76" t="s">
        <v>671</v>
      </c>
      <c r="AA40" s="76"/>
      <c r="AB40" s="76"/>
      <c r="AC40" s="80" t="s">
        <v>241</v>
      </c>
      <c r="AD40" s="76" t="s">
        <v>404</v>
      </c>
      <c r="AE40" s="81" t="str">
        <f>HYPERLINK("https://twitter.com/inovies/status/1525105879552380928")</f>
        <v>https://twitter.com/inovies/status/1525105879552380928</v>
      </c>
      <c r="AF40" s="78">
        <v>44694.56193287037</v>
      </c>
      <c r="AG40" s="85">
        <v>44694</v>
      </c>
      <c r="AH40" s="80" t="s">
        <v>980</v>
      </c>
      <c r="AI40" s="76"/>
      <c r="AJ40" s="76" t="s">
        <v>1056</v>
      </c>
      <c r="AK40" s="76" t="s">
        <v>291</v>
      </c>
      <c r="AL40" s="76" t="s">
        <v>1058</v>
      </c>
      <c r="AM40" s="76" t="s">
        <v>1060</v>
      </c>
      <c r="AN40" s="76" t="s">
        <v>1064</v>
      </c>
      <c r="AO40" s="76" t="s">
        <v>1067</v>
      </c>
      <c r="AP40" s="76" t="s">
        <v>250</v>
      </c>
      <c r="AQ40" s="76"/>
      <c r="AR40" s="76"/>
      <c r="AS40" s="76"/>
      <c r="AT40" s="76"/>
      <c r="AU40" s="76"/>
      <c r="AV40" s="81" t="str">
        <f>HYPERLINK("https://pbs.twimg.com/profile_images/833576943677214720/5ZyUgpEJ_normal.jpg")</f>
        <v>https://pbs.twimg.com/profile_images/833576943677214720/5ZyUgpEJ_normal.jpg</v>
      </c>
      <c r="AW40" s="80" t="s">
        <v>1103</v>
      </c>
      <c r="AX40" s="80" t="s">
        <v>1199</v>
      </c>
      <c r="AY40" s="80" t="s">
        <v>1214</v>
      </c>
      <c r="AZ40" s="80" t="s">
        <v>1199</v>
      </c>
      <c r="BA40" s="80" t="s">
        <v>252</v>
      </c>
      <c r="BB40" s="80" t="s">
        <v>252</v>
      </c>
      <c r="BC40" s="80" t="s">
        <v>1199</v>
      </c>
      <c r="BD40" s="76">
        <v>297885438</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row>
    <row r="41" spans="1:64" ht="15">
      <c r="A41" s="61" t="s">
        <v>224</v>
      </c>
      <c r="B41" s="61" t="s">
        <v>672</v>
      </c>
      <c r="C41" s="62"/>
      <c r="D41" s="63"/>
      <c r="E41" s="64"/>
      <c r="F41" s="65"/>
      <c r="G41" s="62"/>
      <c r="H41" s="66"/>
      <c r="I41" s="67"/>
      <c r="J41" s="67"/>
      <c r="K41" s="31" t="s">
        <v>65</v>
      </c>
      <c r="L41" s="74">
        <v>41</v>
      </c>
      <c r="M41" s="74"/>
      <c r="N41" s="69"/>
      <c r="O41" s="76" t="s">
        <v>228</v>
      </c>
      <c r="P41" s="78">
        <v>44621.87766203703</v>
      </c>
      <c r="Q41" s="76" t="s">
        <v>752</v>
      </c>
      <c r="R41" s="76">
        <v>0</v>
      </c>
      <c r="S41" s="76">
        <v>0</v>
      </c>
      <c r="T41" s="76">
        <v>0</v>
      </c>
      <c r="U41" s="76">
        <v>0</v>
      </c>
      <c r="V41" s="76"/>
      <c r="W41" s="76"/>
      <c r="X41" s="76"/>
      <c r="Y41" s="76"/>
      <c r="Z41" s="76" t="s">
        <v>672</v>
      </c>
      <c r="AA41" s="76"/>
      <c r="AB41" s="76"/>
      <c r="AC41" s="80" t="s">
        <v>241</v>
      </c>
      <c r="AD41" s="76" t="s">
        <v>244</v>
      </c>
      <c r="AE41" s="81" t="str">
        <f>HYPERLINK("https://twitter.com/inovies/status/1498765980658708481")</f>
        <v>https://twitter.com/inovies/status/1498765980658708481</v>
      </c>
      <c r="AF41" s="78">
        <v>44621.87766203703</v>
      </c>
      <c r="AG41" s="85">
        <v>44621</v>
      </c>
      <c r="AH41" s="80" t="s">
        <v>981</v>
      </c>
      <c r="AI41" s="76"/>
      <c r="AJ41" s="76" t="s">
        <v>1055</v>
      </c>
      <c r="AK41" s="76" t="s">
        <v>291</v>
      </c>
      <c r="AL41" s="76" t="s">
        <v>1058</v>
      </c>
      <c r="AM41" s="76" t="s">
        <v>1059</v>
      </c>
      <c r="AN41" s="76" t="s">
        <v>1063</v>
      </c>
      <c r="AO41" s="76" t="s">
        <v>1066</v>
      </c>
      <c r="AP41" s="76" t="s">
        <v>250</v>
      </c>
      <c r="AQ41" s="76"/>
      <c r="AR41" s="76"/>
      <c r="AS41" s="76"/>
      <c r="AT41" s="76"/>
      <c r="AU41" s="76"/>
      <c r="AV41" s="81" t="str">
        <f>HYPERLINK("https://pbs.twimg.com/profile_images/833576943677214720/5ZyUgpEJ_normal.jpg")</f>
        <v>https://pbs.twimg.com/profile_images/833576943677214720/5ZyUgpEJ_normal.jpg</v>
      </c>
      <c r="AW41" s="80" t="s">
        <v>1104</v>
      </c>
      <c r="AX41" s="80" t="s">
        <v>1200</v>
      </c>
      <c r="AY41" s="80" t="s">
        <v>1215</v>
      </c>
      <c r="AZ41" s="80" t="s">
        <v>1200</v>
      </c>
      <c r="BA41" s="80" t="s">
        <v>252</v>
      </c>
      <c r="BB41" s="80" t="s">
        <v>252</v>
      </c>
      <c r="BC41" s="80" t="s">
        <v>1200</v>
      </c>
      <c r="BD41" s="76">
        <v>297885438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row>
    <row r="42" spans="1:64" ht="15">
      <c r="A42" s="61" t="s">
        <v>224</v>
      </c>
      <c r="B42" s="61" t="s">
        <v>673</v>
      </c>
      <c r="C42" s="62"/>
      <c r="D42" s="63"/>
      <c r="E42" s="64"/>
      <c r="F42" s="65"/>
      <c r="G42" s="62"/>
      <c r="H42" s="66"/>
      <c r="I42" s="67"/>
      <c r="J42" s="67"/>
      <c r="K42" s="31" t="s">
        <v>65</v>
      </c>
      <c r="L42" s="74">
        <v>42</v>
      </c>
      <c r="M42" s="74"/>
      <c r="N42" s="69"/>
      <c r="O42" s="76" t="s">
        <v>227</v>
      </c>
      <c r="P42" s="78">
        <v>42016.18493055556</v>
      </c>
      <c r="Q42" s="76" t="s">
        <v>753</v>
      </c>
      <c r="R42" s="76">
        <v>0</v>
      </c>
      <c r="S42" s="76">
        <v>1</v>
      </c>
      <c r="T42" s="76">
        <v>0</v>
      </c>
      <c r="U42" s="76">
        <v>0</v>
      </c>
      <c r="V42" s="76"/>
      <c r="W42" s="76"/>
      <c r="X42" s="81" t="str">
        <f>HYPERLINK("https://www.linkedin.com/pulse/its-time-raise-your-web-design-rates-nagendra-b")</f>
        <v>https://www.linkedin.com/pulse/its-time-raise-your-web-design-rates-nagendra-b</v>
      </c>
      <c r="Y42" s="76" t="s">
        <v>234</v>
      </c>
      <c r="Z42" s="76" t="s">
        <v>673</v>
      </c>
      <c r="AA42" s="76"/>
      <c r="AB42" s="76"/>
      <c r="AC42" s="80" t="s">
        <v>946</v>
      </c>
      <c r="AD42" s="76" t="s">
        <v>244</v>
      </c>
      <c r="AE42" s="81" t="str">
        <f>HYPERLINK("https://twitter.com/inovies/status/554494554808651777")</f>
        <v>https://twitter.com/inovies/status/554494554808651777</v>
      </c>
      <c r="AF42" s="78">
        <v>42016.18493055556</v>
      </c>
      <c r="AG42" s="85">
        <v>42016</v>
      </c>
      <c r="AH42" s="80" t="s">
        <v>982</v>
      </c>
      <c r="AI42" s="76" t="b">
        <v>0</v>
      </c>
      <c r="AJ42" s="76"/>
      <c r="AK42" s="76"/>
      <c r="AL42" s="76"/>
      <c r="AM42" s="76"/>
      <c r="AN42" s="76"/>
      <c r="AO42" s="76"/>
      <c r="AP42" s="76"/>
      <c r="AQ42" s="76"/>
      <c r="AR42" s="76"/>
      <c r="AS42" s="76"/>
      <c r="AT42" s="76"/>
      <c r="AU42" s="76"/>
      <c r="AV42" s="81" t="str">
        <f>HYPERLINK("https://pbs.twimg.com/profile_images/833576943677214720/5ZyUgpEJ_normal.jpg")</f>
        <v>https://pbs.twimg.com/profile_images/833576943677214720/5ZyUgpEJ_normal.jpg</v>
      </c>
      <c r="AW42" s="80" t="s">
        <v>1105</v>
      </c>
      <c r="AX42" s="80" t="s">
        <v>1105</v>
      </c>
      <c r="AY42" s="76"/>
      <c r="AZ42" s="80" t="s">
        <v>252</v>
      </c>
      <c r="BA42" s="80" t="s">
        <v>252</v>
      </c>
      <c r="BB42" s="80" t="s">
        <v>252</v>
      </c>
      <c r="BC42" s="80" t="s">
        <v>1105</v>
      </c>
      <c r="BD42" s="76">
        <v>297885438</v>
      </c>
      <c r="BE42" s="76"/>
      <c r="BF42" s="76"/>
      <c r="BG42" s="76"/>
      <c r="BH42" s="76"/>
      <c r="BI42" s="76"/>
      <c r="BJ42" s="76">
        <v>3</v>
      </c>
      <c r="BK42" s="75" t="str">
        <f>REPLACE(INDEX(GroupVertices[Group],MATCH("~"&amp;Edges[[#This Row],[Vertex 1]],GroupVertices[Vertex],0)),1,1,"")</f>
        <v>1</v>
      </c>
      <c r="BL42" s="75" t="str">
        <f>REPLACE(INDEX(GroupVertices[Group],MATCH("~"&amp;Edges[[#This Row],[Vertex 2]],GroupVertices[Vertex],0)),1,1,"")</f>
        <v>1</v>
      </c>
    </row>
    <row r="43" spans="1:64" ht="15">
      <c r="A43" s="61" t="s">
        <v>224</v>
      </c>
      <c r="B43" s="61" t="s">
        <v>674</v>
      </c>
      <c r="C43" s="62"/>
      <c r="D43" s="63"/>
      <c r="E43" s="64"/>
      <c r="F43" s="65"/>
      <c r="G43" s="62"/>
      <c r="H43" s="66"/>
      <c r="I43" s="67"/>
      <c r="J43" s="67"/>
      <c r="K43" s="31" t="s">
        <v>65</v>
      </c>
      <c r="L43" s="74">
        <v>43</v>
      </c>
      <c r="M43" s="74"/>
      <c r="N43" s="69"/>
      <c r="O43" s="76" t="s">
        <v>227</v>
      </c>
      <c r="P43" s="78">
        <v>42976.19373842593</v>
      </c>
      <c r="Q43" s="76" t="s">
        <v>754</v>
      </c>
      <c r="R43" s="76">
        <v>0</v>
      </c>
      <c r="S43" s="76">
        <v>1</v>
      </c>
      <c r="T43" s="76">
        <v>0</v>
      </c>
      <c r="U43" s="76">
        <v>0</v>
      </c>
      <c r="V43" s="76"/>
      <c r="W43" s="76"/>
      <c r="X43" s="81" t="str">
        <f>HYPERLINK("https://www.linkedin.com/pulse/chipping-people-you-ready-shelly-palmer")</f>
        <v>https://www.linkedin.com/pulse/chipping-people-you-ready-shelly-palmer</v>
      </c>
      <c r="Y43" s="76" t="s">
        <v>234</v>
      </c>
      <c r="Z43" s="76" t="s">
        <v>899</v>
      </c>
      <c r="AA43" s="76"/>
      <c r="AB43" s="76"/>
      <c r="AC43" s="80" t="s">
        <v>947</v>
      </c>
      <c r="AD43" s="76" t="s">
        <v>244</v>
      </c>
      <c r="AE43" s="81" t="str">
        <f>HYPERLINK("https://twitter.com/inovies/status/902390098821386240")</f>
        <v>https://twitter.com/inovies/status/902390098821386240</v>
      </c>
      <c r="AF43" s="78">
        <v>42976.19373842593</v>
      </c>
      <c r="AG43" s="85">
        <v>42976</v>
      </c>
      <c r="AH43" s="80" t="s">
        <v>983</v>
      </c>
      <c r="AI43" s="76" t="b">
        <v>0</v>
      </c>
      <c r="AJ43" s="76"/>
      <c r="AK43" s="76"/>
      <c r="AL43" s="76"/>
      <c r="AM43" s="76"/>
      <c r="AN43" s="76"/>
      <c r="AO43" s="76"/>
      <c r="AP43" s="76"/>
      <c r="AQ43" s="76"/>
      <c r="AR43" s="76"/>
      <c r="AS43" s="76"/>
      <c r="AT43" s="76"/>
      <c r="AU43" s="76"/>
      <c r="AV43" s="81" t="str">
        <f>HYPERLINK("https://pbs.twimg.com/profile_images/833576943677214720/5ZyUgpEJ_normal.jpg")</f>
        <v>https://pbs.twimg.com/profile_images/833576943677214720/5ZyUgpEJ_normal.jpg</v>
      </c>
      <c r="AW43" s="80" t="s">
        <v>1106</v>
      </c>
      <c r="AX43" s="80" t="s">
        <v>1106</v>
      </c>
      <c r="AY43" s="76"/>
      <c r="AZ43" s="80" t="s">
        <v>252</v>
      </c>
      <c r="BA43" s="80" t="s">
        <v>252</v>
      </c>
      <c r="BB43" s="80" t="s">
        <v>252</v>
      </c>
      <c r="BC43" s="80" t="s">
        <v>1106</v>
      </c>
      <c r="BD43" s="76">
        <v>297885438</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row>
    <row r="44" spans="1:64" ht="15">
      <c r="A44" s="61" t="s">
        <v>224</v>
      </c>
      <c r="B44" s="61" t="s">
        <v>675</v>
      </c>
      <c r="C44" s="62"/>
      <c r="D44" s="63"/>
      <c r="E44" s="64"/>
      <c r="F44" s="65"/>
      <c r="G44" s="62"/>
      <c r="H44" s="66"/>
      <c r="I44" s="67"/>
      <c r="J44" s="67"/>
      <c r="K44" s="31" t="s">
        <v>65</v>
      </c>
      <c r="L44" s="74">
        <v>44</v>
      </c>
      <c r="M44" s="74"/>
      <c r="N44" s="69"/>
      <c r="O44" s="76" t="s">
        <v>227</v>
      </c>
      <c r="P44" s="78">
        <v>42971.31003472222</v>
      </c>
      <c r="Q44" s="76" t="s">
        <v>755</v>
      </c>
      <c r="R44" s="76">
        <v>0</v>
      </c>
      <c r="S44" s="76">
        <v>0</v>
      </c>
      <c r="T44" s="76">
        <v>0</v>
      </c>
      <c r="U44" s="76">
        <v>0</v>
      </c>
      <c r="V44" s="76"/>
      <c r="W44" s="76"/>
      <c r="X44" s="81" t="str">
        <f>HYPERLINK("https://yourstory.com/2016/11/4ec59cb4da-i-would-love-to-turn-odds-to-my-favor/?utm_source=twitter")</f>
        <v>https://yourstory.com/2016/11/4ec59cb4da-i-would-love-to-turn-odds-to-my-favor/?utm_source=twitter</v>
      </c>
      <c r="Y44" s="76" t="s">
        <v>868</v>
      </c>
      <c r="Z44" s="76" t="s">
        <v>675</v>
      </c>
      <c r="AA44" s="76"/>
      <c r="AB44" s="76"/>
      <c r="AC44" s="80" t="s">
        <v>947</v>
      </c>
      <c r="AD44" s="76" t="s">
        <v>244</v>
      </c>
      <c r="AE44" s="81" t="str">
        <f>HYPERLINK("https://twitter.com/inovies/status/900620302471766017")</f>
        <v>https://twitter.com/inovies/status/900620302471766017</v>
      </c>
      <c r="AF44" s="78">
        <v>42971.31003472222</v>
      </c>
      <c r="AG44" s="85">
        <v>42971</v>
      </c>
      <c r="AH44" s="80" t="s">
        <v>984</v>
      </c>
      <c r="AI44" s="76" t="b">
        <v>0</v>
      </c>
      <c r="AJ44" s="76"/>
      <c r="AK44" s="76"/>
      <c r="AL44" s="76"/>
      <c r="AM44" s="76"/>
      <c r="AN44" s="76"/>
      <c r="AO44" s="76"/>
      <c r="AP44" s="76"/>
      <c r="AQ44" s="76"/>
      <c r="AR44" s="76"/>
      <c r="AS44" s="76"/>
      <c r="AT44" s="76"/>
      <c r="AU44" s="76"/>
      <c r="AV44" s="81" t="str">
        <f>HYPERLINK("https://pbs.twimg.com/profile_images/833576943677214720/5ZyUgpEJ_normal.jpg")</f>
        <v>https://pbs.twimg.com/profile_images/833576943677214720/5ZyUgpEJ_normal.jpg</v>
      </c>
      <c r="AW44" s="80" t="s">
        <v>1107</v>
      </c>
      <c r="AX44" s="80" t="s">
        <v>1107</v>
      </c>
      <c r="AY44" s="76"/>
      <c r="AZ44" s="80" t="s">
        <v>252</v>
      </c>
      <c r="BA44" s="80" t="s">
        <v>252</v>
      </c>
      <c r="BB44" s="80" t="s">
        <v>252</v>
      </c>
      <c r="BC44" s="80" t="s">
        <v>1107</v>
      </c>
      <c r="BD44" s="76">
        <v>297885438</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row>
    <row r="45" spans="1:64" ht="15">
      <c r="A45" s="61" t="s">
        <v>224</v>
      </c>
      <c r="B45" s="61" t="s">
        <v>676</v>
      </c>
      <c r="C45" s="62"/>
      <c r="D45" s="63"/>
      <c r="E45" s="64"/>
      <c r="F45" s="65"/>
      <c r="G45" s="62"/>
      <c r="H45" s="66"/>
      <c r="I45" s="67"/>
      <c r="J45" s="67"/>
      <c r="K45" s="31" t="s">
        <v>65</v>
      </c>
      <c r="L45" s="74">
        <v>45</v>
      </c>
      <c r="M45" s="74"/>
      <c r="N45" s="69"/>
      <c r="O45" s="76" t="s">
        <v>227</v>
      </c>
      <c r="P45" s="78">
        <v>42803.36251157407</v>
      </c>
      <c r="Q45" s="76" t="s">
        <v>756</v>
      </c>
      <c r="R45" s="76">
        <v>0</v>
      </c>
      <c r="S45" s="76">
        <v>1</v>
      </c>
      <c r="T45" s="76">
        <v>0</v>
      </c>
      <c r="U45" s="76">
        <v>0</v>
      </c>
      <c r="V45" s="76"/>
      <c r="W45" s="80" t="s">
        <v>835</v>
      </c>
      <c r="X45" s="81" t="str">
        <f>HYPERLINK("https://www.paypal-proserv.com/newmoney/celebrating-entrepreneurs/allprofiles.php?id=865")</f>
        <v>https://www.paypal-proserv.com/newmoney/celebrating-entrepreneurs/allprofiles.php?id=865</v>
      </c>
      <c r="Y45" s="76" t="s">
        <v>869</v>
      </c>
      <c r="Z45" s="76" t="s">
        <v>900</v>
      </c>
      <c r="AA45" s="76"/>
      <c r="AB45" s="76"/>
      <c r="AC45" s="80" t="s">
        <v>947</v>
      </c>
      <c r="AD45" s="76" t="s">
        <v>244</v>
      </c>
      <c r="AE45" s="81" t="str">
        <f>HYPERLINK("https://twitter.com/inovies/status/839758157777895424")</f>
        <v>https://twitter.com/inovies/status/839758157777895424</v>
      </c>
      <c r="AF45" s="78">
        <v>42803.36251157407</v>
      </c>
      <c r="AG45" s="85">
        <v>42803</v>
      </c>
      <c r="AH45" s="80" t="s">
        <v>985</v>
      </c>
      <c r="AI45" s="76" t="b">
        <v>0</v>
      </c>
      <c r="AJ45" s="76"/>
      <c r="AK45" s="76"/>
      <c r="AL45" s="76"/>
      <c r="AM45" s="76"/>
      <c r="AN45" s="76"/>
      <c r="AO45" s="76"/>
      <c r="AP45" s="76"/>
      <c r="AQ45" s="76"/>
      <c r="AR45" s="76"/>
      <c r="AS45" s="76"/>
      <c r="AT45" s="76"/>
      <c r="AU45" s="76"/>
      <c r="AV45" s="81" t="str">
        <f>HYPERLINK("https://pbs.twimg.com/profile_images/833576943677214720/5ZyUgpEJ_normal.jpg")</f>
        <v>https://pbs.twimg.com/profile_images/833576943677214720/5ZyUgpEJ_normal.jpg</v>
      </c>
      <c r="AW45" s="80" t="s">
        <v>1108</v>
      </c>
      <c r="AX45" s="80" t="s">
        <v>1108</v>
      </c>
      <c r="AY45" s="76"/>
      <c r="AZ45" s="80" t="s">
        <v>252</v>
      </c>
      <c r="BA45" s="80" t="s">
        <v>252</v>
      </c>
      <c r="BB45" s="80" t="s">
        <v>252</v>
      </c>
      <c r="BC45" s="80" t="s">
        <v>1108</v>
      </c>
      <c r="BD45" s="76">
        <v>297885438</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row>
    <row r="46" spans="1:64" ht="15">
      <c r="A46" s="61" t="s">
        <v>224</v>
      </c>
      <c r="B46" s="61" t="s">
        <v>677</v>
      </c>
      <c r="C46" s="62"/>
      <c r="D46" s="63"/>
      <c r="E46" s="64"/>
      <c r="F46" s="65"/>
      <c r="G46" s="62"/>
      <c r="H46" s="66"/>
      <c r="I46" s="67"/>
      <c r="J46" s="67"/>
      <c r="K46" s="31" t="s">
        <v>65</v>
      </c>
      <c r="L46" s="74">
        <v>46</v>
      </c>
      <c r="M46" s="74"/>
      <c r="N46" s="69"/>
      <c r="O46" s="76" t="s">
        <v>227</v>
      </c>
      <c r="P46" s="78">
        <v>42786.328935185185</v>
      </c>
      <c r="Q46" s="76" t="s">
        <v>757</v>
      </c>
      <c r="R46" s="76">
        <v>0</v>
      </c>
      <c r="S46" s="76">
        <v>0</v>
      </c>
      <c r="T46" s="76">
        <v>0</v>
      </c>
      <c r="U46" s="76">
        <v>0</v>
      </c>
      <c r="V46" s="76"/>
      <c r="W46" s="80" t="s">
        <v>836</v>
      </c>
      <c r="X46" s="81" t="str">
        <f>HYPERLINK("https://www.inovies.com/insights/news/when-eetaram-eenadu-finds-inovies-lively#.WKqgd0yvlKU.twitter")</f>
        <v>https://www.inovies.com/insights/news/when-eetaram-eenadu-finds-inovies-lively#.WKqgd0yvlKU.twitter</v>
      </c>
      <c r="Y46" s="76" t="s">
        <v>236</v>
      </c>
      <c r="Z46" s="76" t="s">
        <v>677</v>
      </c>
      <c r="AA46" s="76"/>
      <c r="AB46" s="76"/>
      <c r="AC46" s="80" t="s">
        <v>947</v>
      </c>
      <c r="AD46" s="76" t="s">
        <v>244</v>
      </c>
      <c r="AE46" s="81" t="str">
        <f>HYPERLINK("https://twitter.com/inovies/status/833585398014160896")</f>
        <v>https://twitter.com/inovies/status/833585398014160896</v>
      </c>
      <c r="AF46" s="78">
        <v>42786.328935185185</v>
      </c>
      <c r="AG46" s="85">
        <v>42786</v>
      </c>
      <c r="AH46" s="80" t="s">
        <v>986</v>
      </c>
      <c r="AI46" s="76" t="b">
        <v>0</v>
      </c>
      <c r="AJ46" s="76"/>
      <c r="AK46" s="76"/>
      <c r="AL46" s="76"/>
      <c r="AM46" s="76"/>
      <c r="AN46" s="76"/>
      <c r="AO46" s="76"/>
      <c r="AP46" s="76"/>
      <c r="AQ46" s="76"/>
      <c r="AR46" s="76"/>
      <c r="AS46" s="76"/>
      <c r="AT46" s="76"/>
      <c r="AU46" s="76"/>
      <c r="AV46" s="81" t="str">
        <f>HYPERLINK("https://pbs.twimg.com/profile_images/833576943677214720/5ZyUgpEJ_normal.jpg")</f>
        <v>https://pbs.twimg.com/profile_images/833576943677214720/5ZyUgpEJ_normal.jpg</v>
      </c>
      <c r="AW46" s="80" t="s">
        <v>1109</v>
      </c>
      <c r="AX46" s="80" t="s">
        <v>1109</v>
      </c>
      <c r="AY46" s="76"/>
      <c r="AZ46" s="80" t="s">
        <v>252</v>
      </c>
      <c r="BA46" s="80" t="s">
        <v>252</v>
      </c>
      <c r="BB46" s="80" t="s">
        <v>252</v>
      </c>
      <c r="BC46" s="80" t="s">
        <v>1109</v>
      </c>
      <c r="BD46" s="76">
        <v>297885438</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row>
    <row r="47" spans="1:64" ht="15">
      <c r="A47" s="61" t="s">
        <v>224</v>
      </c>
      <c r="B47" s="61" t="s">
        <v>678</v>
      </c>
      <c r="C47" s="62"/>
      <c r="D47" s="63"/>
      <c r="E47" s="64"/>
      <c r="F47" s="65"/>
      <c r="G47" s="62"/>
      <c r="H47" s="66"/>
      <c r="I47" s="67"/>
      <c r="J47" s="67"/>
      <c r="K47" s="31" t="s">
        <v>65</v>
      </c>
      <c r="L47" s="74">
        <v>47</v>
      </c>
      <c r="M47" s="74"/>
      <c r="N47" s="69"/>
      <c r="O47" s="76" t="s">
        <v>227</v>
      </c>
      <c r="P47" s="78">
        <v>41092.44472222222</v>
      </c>
      <c r="Q47" s="76" t="s">
        <v>758</v>
      </c>
      <c r="R47" s="76">
        <v>0</v>
      </c>
      <c r="S47" s="76">
        <v>0</v>
      </c>
      <c r="T47" s="76">
        <v>0</v>
      </c>
      <c r="U47" s="76">
        <v>0</v>
      </c>
      <c r="V47" s="76"/>
      <c r="W47" s="76"/>
      <c r="X47" s="81" t="str">
        <f>HYPERLINK("http://pinterest.com/pin/274156696036825674/")</f>
        <v>http://pinterest.com/pin/274156696036825674/</v>
      </c>
      <c r="Y47" s="76" t="s">
        <v>870</v>
      </c>
      <c r="Z47" s="76" t="s">
        <v>678</v>
      </c>
      <c r="AA47" s="76"/>
      <c r="AB47" s="76"/>
      <c r="AC47" s="80" t="s">
        <v>946</v>
      </c>
      <c r="AD47" s="76" t="s">
        <v>244</v>
      </c>
      <c r="AE47" s="81" t="str">
        <f>HYPERLINK("https://twitter.com/inovies/status/219742313256198144")</f>
        <v>https://twitter.com/inovies/status/219742313256198144</v>
      </c>
      <c r="AF47" s="78">
        <v>41092.44472222222</v>
      </c>
      <c r="AG47" s="85">
        <v>41092</v>
      </c>
      <c r="AH47" s="80" t="s">
        <v>407</v>
      </c>
      <c r="AI47" s="76" t="b">
        <v>0</v>
      </c>
      <c r="AJ47" s="76"/>
      <c r="AK47" s="76"/>
      <c r="AL47" s="76"/>
      <c r="AM47" s="76"/>
      <c r="AN47" s="76"/>
      <c r="AO47" s="76"/>
      <c r="AP47" s="76"/>
      <c r="AQ47" s="76"/>
      <c r="AR47" s="76"/>
      <c r="AS47" s="76"/>
      <c r="AT47" s="76"/>
      <c r="AU47" s="76"/>
      <c r="AV47" s="81" t="str">
        <f>HYPERLINK("https://pbs.twimg.com/profile_images/833576943677214720/5ZyUgpEJ_normal.jpg")</f>
        <v>https://pbs.twimg.com/profile_images/833576943677214720/5ZyUgpEJ_normal.jpg</v>
      </c>
      <c r="AW47" s="80" t="s">
        <v>1110</v>
      </c>
      <c r="AX47" s="80" t="s">
        <v>1110</v>
      </c>
      <c r="AY47" s="76"/>
      <c r="AZ47" s="80" t="s">
        <v>252</v>
      </c>
      <c r="BA47" s="80" t="s">
        <v>252</v>
      </c>
      <c r="BB47" s="80" t="s">
        <v>252</v>
      </c>
      <c r="BC47" s="80" t="s">
        <v>1110</v>
      </c>
      <c r="BD47" s="76">
        <v>297885438</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row>
    <row r="48" spans="1:64" ht="15">
      <c r="A48" s="61" t="s">
        <v>224</v>
      </c>
      <c r="B48" s="61" t="s">
        <v>394</v>
      </c>
      <c r="C48" s="62"/>
      <c r="D48" s="63"/>
      <c r="E48" s="64"/>
      <c r="F48" s="65"/>
      <c r="G48" s="62"/>
      <c r="H48" s="66"/>
      <c r="I48" s="67"/>
      <c r="J48" s="67"/>
      <c r="K48" s="31" t="s">
        <v>65</v>
      </c>
      <c r="L48" s="74">
        <v>48</v>
      </c>
      <c r="M48" s="74"/>
      <c r="N48" s="69"/>
      <c r="O48" s="76" t="s">
        <v>228</v>
      </c>
      <c r="P48" s="78">
        <v>45031.79494212963</v>
      </c>
      <c r="Q48" s="76" t="s">
        <v>759</v>
      </c>
      <c r="R48" s="76">
        <v>0</v>
      </c>
      <c r="S48" s="76">
        <v>4</v>
      </c>
      <c r="T48" s="76">
        <v>0</v>
      </c>
      <c r="U48" s="76">
        <v>0</v>
      </c>
      <c r="V48" s="76">
        <v>880</v>
      </c>
      <c r="W48" s="76"/>
      <c r="X48" s="76"/>
      <c r="Y48" s="76"/>
      <c r="Z48" s="76" t="s">
        <v>394</v>
      </c>
      <c r="AA48" s="76"/>
      <c r="AB48" s="76"/>
      <c r="AC48" s="80" t="s">
        <v>241</v>
      </c>
      <c r="AD48" s="76" t="s">
        <v>244</v>
      </c>
      <c r="AE48" s="81" t="str">
        <f>HYPERLINK("https://twitter.com/inovies/status/1647315029828730880")</f>
        <v>https://twitter.com/inovies/status/1647315029828730880</v>
      </c>
      <c r="AF48" s="78">
        <v>45031.79494212963</v>
      </c>
      <c r="AG48" s="85">
        <v>45031</v>
      </c>
      <c r="AH48" s="80" t="s">
        <v>987</v>
      </c>
      <c r="AI48" s="76"/>
      <c r="AJ48" s="76"/>
      <c r="AK48" s="76"/>
      <c r="AL48" s="76"/>
      <c r="AM48" s="76"/>
      <c r="AN48" s="76"/>
      <c r="AO48" s="76"/>
      <c r="AP48" s="76"/>
      <c r="AQ48" s="76"/>
      <c r="AR48" s="76"/>
      <c r="AS48" s="76"/>
      <c r="AT48" s="76"/>
      <c r="AU48" s="76"/>
      <c r="AV48" s="81" t="str">
        <f>HYPERLINK("https://pbs.twimg.com/profile_images/833576943677214720/5ZyUgpEJ_normal.jpg")</f>
        <v>https://pbs.twimg.com/profile_images/833576943677214720/5ZyUgpEJ_normal.jpg</v>
      </c>
      <c r="AW48" s="80" t="s">
        <v>1111</v>
      </c>
      <c r="AX48" s="80" t="s">
        <v>1201</v>
      </c>
      <c r="AY48" s="80" t="s">
        <v>412</v>
      </c>
      <c r="AZ48" s="80" t="s">
        <v>1201</v>
      </c>
      <c r="BA48" s="80" t="s">
        <v>252</v>
      </c>
      <c r="BB48" s="80" t="s">
        <v>252</v>
      </c>
      <c r="BC48" s="80" t="s">
        <v>1201</v>
      </c>
      <c r="BD48" s="76">
        <v>297885438</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row>
    <row r="49" spans="1:64" ht="15">
      <c r="A49" s="61" t="s">
        <v>224</v>
      </c>
      <c r="B49" s="61" t="s">
        <v>679</v>
      </c>
      <c r="C49" s="62"/>
      <c r="D49" s="63"/>
      <c r="E49" s="64"/>
      <c r="F49" s="65"/>
      <c r="G49" s="62"/>
      <c r="H49" s="66"/>
      <c r="I49" s="67"/>
      <c r="J49" s="67"/>
      <c r="K49" s="31" t="s">
        <v>65</v>
      </c>
      <c r="L49" s="74">
        <v>49</v>
      </c>
      <c r="M49" s="74"/>
      <c r="N49" s="69"/>
      <c r="O49" s="76" t="s">
        <v>228</v>
      </c>
      <c r="P49" s="78">
        <v>42956.45309027778</v>
      </c>
      <c r="Q49" s="76" t="s">
        <v>760</v>
      </c>
      <c r="R49" s="76">
        <v>0</v>
      </c>
      <c r="S49" s="76">
        <v>0</v>
      </c>
      <c r="T49" s="76">
        <v>0</v>
      </c>
      <c r="U49" s="76">
        <v>0</v>
      </c>
      <c r="V49" s="76"/>
      <c r="W49" s="76"/>
      <c r="X49" s="81" t="str">
        <f>HYPERLINK("https://www.inovies.com")</f>
        <v>https://www.inovies.com</v>
      </c>
      <c r="Y49" s="76" t="s">
        <v>236</v>
      </c>
      <c r="Z49" s="76" t="s">
        <v>679</v>
      </c>
      <c r="AA49" s="76"/>
      <c r="AB49" s="76"/>
      <c r="AC49" s="80" t="s">
        <v>947</v>
      </c>
      <c r="AD49" s="76" t="s">
        <v>245</v>
      </c>
      <c r="AE49" s="81" t="str">
        <f>HYPERLINK("https://twitter.com/inovies/status/895236328220119040")</f>
        <v>https://twitter.com/inovies/status/895236328220119040</v>
      </c>
      <c r="AF49" s="78">
        <v>42956.45309027778</v>
      </c>
      <c r="AG49" s="85">
        <v>42956</v>
      </c>
      <c r="AH49" s="80" t="s">
        <v>988</v>
      </c>
      <c r="AI49" s="76" t="b">
        <v>0</v>
      </c>
      <c r="AJ49" s="76"/>
      <c r="AK49" s="76"/>
      <c r="AL49" s="76"/>
      <c r="AM49" s="76"/>
      <c r="AN49" s="76"/>
      <c r="AO49" s="76"/>
      <c r="AP49" s="76"/>
      <c r="AQ49" s="76"/>
      <c r="AR49" s="76"/>
      <c r="AS49" s="76"/>
      <c r="AT49" s="76"/>
      <c r="AU49" s="76"/>
      <c r="AV49" s="81" t="str">
        <f>HYPERLINK("https://pbs.twimg.com/profile_images/833576943677214720/5ZyUgpEJ_normal.jpg")</f>
        <v>https://pbs.twimg.com/profile_images/833576943677214720/5ZyUgpEJ_normal.jpg</v>
      </c>
      <c r="AW49" s="80" t="s">
        <v>1112</v>
      </c>
      <c r="AX49" s="80" t="s">
        <v>1202</v>
      </c>
      <c r="AY49" s="80" t="s">
        <v>1216</v>
      </c>
      <c r="AZ49" s="80" t="s">
        <v>1202</v>
      </c>
      <c r="BA49" s="80" t="s">
        <v>252</v>
      </c>
      <c r="BB49" s="80" t="s">
        <v>252</v>
      </c>
      <c r="BC49" s="80" t="s">
        <v>1202</v>
      </c>
      <c r="BD49" s="76">
        <v>297885438</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row>
    <row r="50" spans="1:64" ht="15">
      <c r="A50" s="61" t="s">
        <v>591</v>
      </c>
      <c r="B50" s="61" t="s">
        <v>224</v>
      </c>
      <c r="C50" s="62"/>
      <c r="D50" s="63"/>
      <c r="E50" s="64"/>
      <c r="F50" s="65"/>
      <c r="G50" s="62"/>
      <c r="H50" s="66"/>
      <c r="I50" s="67"/>
      <c r="J50" s="67"/>
      <c r="K50" s="31" t="s">
        <v>66</v>
      </c>
      <c r="L50" s="74">
        <v>50</v>
      </c>
      <c r="M50" s="74"/>
      <c r="N50" s="69"/>
      <c r="O50" s="76" t="s">
        <v>228</v>
      </c>
      <c r="P50" s="78">
        <v>41907.85356481482</v>
      </c>
      <c r="Q50" s="76" t="s">
        <v>761</v>
      </c>
      <c r="R50" s="76">
        <v>0</v>
      </c>
      <c r="S50" s="76">
        <v>0</v>
      </c>
      <c r="T50" s="76">
        <v>0</v>
      </c>
      <c r="U50" s="76">
        <v>0</v>
      </c>
      <c r="V50" s="76"/>
      <c r="W50" s="76"/>
      <c r="X50" s="76"/>
      <c r="Y50" s="76"/>
      <c r="Z50" s="76" t="s">
        <v>224</v>
      </c>
      <c r="AA50" s="76"/>
      <c r="AB50" s="76"/>
      <c r="AC50" s="80" t="s">
        <v>240</v>
      </c>
      <c r="AD50" s="76" t="s">
        <v>244</v>
      </c>
      <c r="AE50" s="81" t="str">
        <f>HYPERLINK("https://twitter.com/oviedojc/status/515236582170038272")</f>
        <v>https://twitter.com/oviedojc/status/515236582170038272</v>
      </c>
      <c r="AF50" s="78">
        <v>41907.85356481482</v>
      </c>
      <c r="AG50" s="85">
        <v>41907</v>
      </c>
      <c r="AH50" s="80" t="s">
        <v>989</v>
      </c>
      <c r="AI50" s="76"/>
      <c r="AJ50" s="76"/>
      <c r="AK50" s="76"/>
      <c r="AL50" s="76"/>
      <c r="AM50" s="76"/>
      <c r="AN50" s="76"/>
      <c r="AO50" s="76"/>
      <c r="AP50" s="76"/>
      <c r="AQ50" s="76"/>
      <c r="AR50" s="76"/>
      <c r="AS50" s="76"/>
      <c r="AT50" s="76"/>
      <c r="AU50" s="76"/>
      <c r="AV50" s="81" t="str">
        <f>HYPERLINK("https://pbs.twimg.com/profile_images/956110760505106432/16Pa3js-_normal.jpg")</f>
        <v>https://pbs.twimg.com/profile_images/956110760505106432/16Pa3js-_normal.jpg</v>
      </c>
      <c r="AW50" s="80" t="s">
        <v>1113</v>
      </c>
      <c r="AX50" s="80" t="s">
        <v>1114</v>
      </c>
      <c r="AY50" s="80" t="s">
        <v>251</v>
      </c>
      <c r="AZ50" s="80" t="s">
        <v>1115</v>
      </c>
      <c r="BA50" s="80" t="s">
        <v>252</v>
      </c>
      <c r="BB50" s="80" t="s">
        <v>252</v>
      </c>
      <c r="BC50" s="80" t="s">
        <v>1115</v>
      </c>
      <c r="BD50" s="76">
        <v>23606131</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row>
    <row r="51" spans="1:64" ht="15">
      <c r="A51" s="61" t="s">
        <v>224</v>
      </c>
      <c r="B51" s="61" t="s">
        <v>591</v>
      </c>
      <c r="C51" s="62"/>
      <c r="D51" s="63"/>
      <c r="E51" s="64"/>
      <c r="F51" s="65"/>
      <c r="G51" s="62"/>
      <c r="H51" s="66"/>
      <c r="I51" s="67"/>
      <c r="J51" s="67"/>
      <c r="K51" s="31" t="s">
        <v>66</v>
      </c>
      <c r="L51" s="74">
        <v>51</v>
      </c>
      <c r="M51" s="74"/>
      <c r="N51" s="69"/>
      <c r="O51" s="76" t="s">
        <v>228</v>
      </c>
      <c r="P51" s="78">
        <v>41907.75707175926</v>
      </c>
      <c r="Q51" s="76" t="s">
        <v>762</v>
      </c>
      <c r="R51" s="76">
        <v>0</v>
      </c>
      <c r="S51" s="76">
        <v>0</v>
      </c>
      <c r="T51" s="76">
        <v>1</v>
      </c>
      <c r="U51" s="76">
        <v>0</v>
      </c>
      <c r="V51" s="76"/>
      <c r="W51" s="76"/>
      <c r="X51" s="76"/>
      <c r="Y51" s="76"/>
      <c r="Z51" s="76" t="s">
        <v>591</v>
      </c>
      <c r="AA51" s="76"/>
      <c r="AB51" s="76"/>
      <c r="AC51" s="80" t="s">
        <v>403</v>
      </c>
      <c r="AD51" s="76" t="s">
        <v>244</v>
      </c>
      <c r="AE51" s="81" t="str">
        <f>HYPERLINK("https://twitter.com/inovies/status/515201614882172928")</f>
        <v>https://twitter.com/inovies/status/515201614882172928</v>
      </c>
      <c r="AF51" s="78">
        <v>41907.75707175926</v>
      </c>
      <c r="AG51" s="85">
        <v>41907</v>
      </c>
      <c r="AH51" s="80" t="s">
        <v>990</v>
      </c>
      <c r="AI51" s="76"/>
      <c r="AJ51" s="76"/>
      <c r="AK51" s="76"/>
      <c r="AL51" s="76"/>
      <c r="AM51" s="76"/>
      <c r="AN51" s="76"/>
      <c r="AO51" s="76"/>
      <c r="AP51" s="76"/>
      <c r="AQ51" s="76"/>
      <c r="AR51" s="76"/>
      <c r="AS51" s="76"/>
      <c r="AT51" s="76"/>
      <c r="AU51" s="76"/>
      <c r="AV51" s="81" t="str">
        <f>HYPERLINK("https://pbs.twimg.com/profile_images/833576943677214720/5ZyUgpEJ_normal.jpg")</f>
        <v>https://pbs.twimg.com/profile_images/833576943677214720/5ZyUgpEJ_normal.jpg</v>
      </c>
      <c r="AW51" s="80" t="s">
        <v>1115</v>
      </c>
      <c r="AX51" s="80" t="s">
        <v>1114</v>
      </c>
      <c r="AY51" s="80" t="s">
        <v>1217</v>
      </c>
      <c r="AZ51" s="80" t="s">
        <v>1114</v>
      </c>
      <c r="BA51" s="80" t="s">
        <v>252</v>
      </c>
      <c r="BB51" s="80" t="s">
        <v>252</v>
      </c>
      <c r="BC51" s="80" t="s">
        <v>1114</v>
      </c>
      <c r="BD51" s="76">
        <v>297885438</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row>
    <row r="52" spans="1:64" ht="15">
      <c r="A52" s="61" t="s">
        <v>224</v>
      </c>
      <c r="B52" s="61" t="s">
        <v>680</v>
      </c>
      <c r="C52" s="62"/>
      <c r="D52" s="63"/>
      <c r="E52" s="64"/>
      <c r="F52" s="65"/>
      <c r="G52" s="62"/>
      <c r="H52" s="66"/>
      <c r="I52" s="67"/>
      <c r="J52" s="67"/>
      <c r="K52" s="31" t="s">
        <v>65</v>
      </c>
      <c r="L52" s="74">
        <v>52</v>
      </c>
      <c r="M52" s="74"/>
      <c r="N52" s="69"/>
      <c r="O52" s="76" t="s">
        <v>227</v>
      </c>
      <c r="P52" s="78">
        <v>41897.520370370374</v>
      </c>
      <c r="Q52" s="76" t="s">
        <v>763</v>
      </c>
      <c r="R52" s="76">
        <v>0</v>
      </c>
      <c r="S52" s="76">
        <v>0</v>
      </c>
      <c r="T52" s="76">
        <v>0</v>
      </c>
      <c r="U52" s="76">
        <v>0</v>
      </c>
      <c r="V52" s="76"/>
      <c r="W52" s="76"/>
      <c r="X52" s="81" t="str">
        <f>HYPERLINK("http://www.inovies.com/10-simple-ways-to-drive-better-quality-leads-from-your-website-78-inovies.html")</f>
        <v>http://www.inovies.com/10-simple-ways-to-drive-better-quality-leads-from-your-website-78-inovies.html</v>
      </c>
      <c r="Y52" s="76" t="s">
        <v>236</v>
      </c>
      <c r="Z52" s="76" t="s">
        <v>680</v>
      </c>
      <c r="AA52" s="76"/>
      <c r="AB52" s="76"/>
      <c r="AC52" s="80" t="s">
        <v>947</v>
      </c>
      <c r="AD52" s="76" t="s">
        <v>244</v>
      </c>
      <c r="AE52" s="81" t="str">
        <f>HYPERLINK("https://twitter.com/inovies/status/511491957114146817")</f>
        <v>https://twitter.com/inovies/status/511491957114146817</v>
      </c>
      <c r="AF52" s="78">
        <v>41897.520370370374</v>
      </c>
      <c r="AG52" s="85">
        <v>41897</v>
      </c>
      <c r="AH52" s="80" t="s">
        <v>991</v>
      </c>
      <c r="AI52" s="76" t="b">
        <v>0</v>
      </c>
      <c r="AJ52" s="76"/>
      <c r="AK52" s="76"/>
      <c r="AL52" s="76"/>
      <c r="AM52" s="76"/>
      <c r="AN52" s="76"/>
      <c r="AO52" s="76"/>
      <c r="AP52" s="76"/>
      <c r="AQ52" s="76"/>
      <c r="AR52" s="76"/>
      <c r="AS52" s="76"/>
      <c r="AT52" s="76"/>
      <c r="AU52" s="76"/>
      <c r="AV52" s="81" t="str">
        <f>HYPERLINK("https://pbs.twimg.com/profile_images/833576943677214720/5ZyUgpEJ_normal.jpg")</f>
        <v>https://pbs.twimg.com/profile_images/833576943677214720/5ZyUgpEJ_normal.jpg</v>
      </c>
      <c r="AW52" s="80" t="s">
        <v>1116</v>
      </c>
      <c r="AX52" s="80" t="s">
        <v>1116</v>
      </c>
      <c r="AY52" s="76"/>
      <c r="AZ52" s="80" t="s">
        <v>252</v>
      </c>
      <c r="BA52" s="80" t="s">
        <v>252</v>
      </c>
      <c r="BB52" s="80" t="s">
        <v>252</v>
      </c>
      <c r="BC52" s="80" t="s">
        <v>1116</v>
      </c>
      <c r="BD52" s="76">
        <v>297885438</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row>
    <row r="53" spans="1:64" ht="15">
      <c r="A53" s="61" t="s">
        <v>224</v>
      </c>
      <c r="B53" s="61" t="s">
        <v>681</v>
      </c>
      <c r="C53" s="62"/>
      <c r="D53" s="63"/>
      <c r="E53" s="64"/>
      <c r="F53" s="65"/>
      <c r="G53" s="62"/>
      <c r="H53" s="66"/>
      <c r="I53" s="67"/>
      <c r="J53" s="67"/>
      <c r="K53" s="31" t="s">
        <v>65</v>
      </c>
      <c r="L53" s="74">
        <v>53</v>
      </c>
      <c r="M53" s="74"/>
      <c r="N53" s="69"/>
      <c r="O53" s="76" t="s">
        <v>227</v>
      </c>
      <c r="P53" s="78">
        <v>41897.51956018519</v>
      </c>
      <c r="Q53" s="76" t="s">
        <v>764</v>
      </c>
      <c r="R53" s="76">
        <v>0</v>
      </c>
      <c r="S53" s="76">
        <v>0</v>
      </c>
      <c r="T53" s="76">
        <v>0</v>
      </c>
      <c r="U53" s="76">
        <v>0</v>
      </c>
      <c r="V53" s="76"/>
      <c r="W53" s="76"/>
      <c r="X53" s="81" t="str">
        <f>HYPERLINK("http://www.inovies.com/10-simple-ways-to-drive-better-quality-leads-from-your-website-78-inovies.html")</f>
        <v>http://www.inovies.com/10-simple-ways-to-drive-better-quality-leads-from-your-website-78-inovies.html</v>
      </c>
      <c r="Y53" s="76" t="s">
        <v>236</v>
      </c>
      <c r="Z53" s="76" t="s">
        <v>681</v>
      </c>
      <c r="AA53" s="76"/>
      <c r="AB53" s="76"/>
      <c r="AC53" s="80" t="s">
        <v>947</v>
      </c>
      <c r="AD53" s="76" t="s">
        <v>244</v>
      </c>
      <c r="AE53" s="81" t="str">
        <f>HYPERLINK("https://twitter.com/inovies/status/511491663068266496")</f>
        <v>https://twitter.com/inovies/status/511491663068266496</v>
      </c>
      <c r="AF53" s="78">
        <v>41897.51956018519</v>
      </c>
      <c r="AG53" s="85">
        <v>41897</v>
      </c>
      <c r="AH53" s="80" t="s">
        <v>992</v>
      </c>
      <c r="AI53" s="76" t="b">
        <v>0</v>
      </c>
      <c r="AJ53" s="76"/>
      <c r="AK53" s="76"/>
      <c r="AL53" s="76"/>
      <c r="AM53" s="76"/>
      <c r="AN53" s="76"/>
      <c r="AO53" s="76"/>
      <c r="AP53" s="76"/>
      <c r="AQ53" s="76"/>
      <c r="AR53" s="76"/>
      <c r="AS53" s="76"/>
      <c r="AT53" s="76"/>
      <c r="AU53" s="76"/>
      <c r="AV53" s="81" t="str">
        <f>HYPERLINK("https://pbs.twimg.com/profile_images/833576943677214720/5ZyUgpEJ_normal.jpg")</f>
        <v>https://pbs.twimg.com/profile_images/833576943677214720/5ZyUgpEJ_normal.jpg</v>
      </c>
      <c r="AW53" s="80" t="s">
        <v>1117</v>
      </c>
      <c r="AX53" s="80" t="s">
        <v>1117</v>
      </c>
      <c r="AY53" s="76"/>
      <c r="AZ53" s="80" t="s">
        <v>252</v>
      </c>
      <c r="BA53" s="80" t="s">
        <v>252</v>
      </c>
      <c r="BB53" s="80" t="s">
        <v>252</v>
      </c>
      <c r="BC53" s="80" t="s">
        <v>1117</v>
      </c>
      <c r="BD53" s="76">
        <v>297885438</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row>
    <row r="54" spans="1:64" ht="15">
      <c r="A54" s="61" t="s">
        <v>592</v>
      </c>
      <c r="B54" s="61" t="s">
        <v>224</v>
      </c>
      <c r="C54" s="62"/>
      <c r="D54" s="63"/>
      <c r="E54" s="64"/>
      <c r="F54" s="65"/>
      <c r="G54" s="62"/>
      <c r="H54" s="66"/>
      <c r="I54" s="67"/>
      <c r="J54" s="67"/>
      <c r="K54" s="31" t="s">
        <v>65</v>
      </c>
      <c r="L54" s="74">
        <v>54</v>
      </c>
      <c r="M54" s="74"/>
      <c r="N54" s="69"/>
      <c r="O54" s="76" t="s">
        <v>227</v>
      </c>
      <c r="P54" s="78">
        <v>42877.76613425926</v>
      </c>
      <c r="Q54" s="76" t="s">
        <v>765</v>
      </c>
      <c r="R54" s="76">
        <v>0</v>
      </c>
      <c r="S54" s="76">
        <v>1</v>
      </c>
      <c r="T54" s="76">
        <v>0</v>
      </c>
      <c r="U54" s="76">
        <v>0</v>
      </c>
      <c r="V54" s="76"/>
      <c r="W54" s="76"/>
      <c r="X54" s="76"/>
      <c r="Y54" s="76"/>
      <c r="Z54" s="76" t="s">
        <v>224</v>
      </c>
      <c r="AA54" s="76"/>
      <c r="AB54" s="76"/>
      <c r="AC54" s="80" t="s">
        <v>947</v>
      </c>
      <c r="AD54" s="76" t="s">
        <v>244</v>
      </c>
      <c r="AE54" s="81" t="str">
        <f>HYPERLINK("https://twitter.com/farooqdesigns/status/866721128106033152")</f>
        <v>https://twitter.com/farooqdesigns/status/866721128106033152</v>
      </c>
      <c r="AF54" s="78">
        <v>42877.76613425926</v>
      </c>
      <c r="AG54" s="85">
        <v>42877</v>
      </c>
      <c r="AH54" s="80" t="s">
        <v>993</v>
      </c>
      <c r="AI54" s="76"/>
      <c r="AJ54" s="76"/>
      <c r="AK54" s="76"/>
      <c r="AL54" s="76"/>
      <c r="AM54" s="76"/>
      <c r="AN54" s="76"/>
      <c r="AO54" s="76"/>
      <c r="AP54" s="76"/>
      <c r="AQ54" s="76"/>
      <c r="AR54" s="76"/>
      <c r="AS54" s="76"/>
      <c r="AT54" s="76"/>
      <c r="AU54" s="76"/>
      <c r="AV54" s="81" t="str">
        <f>HYPERLINK("https://pbs.twimg.com/profile_images/771250690949656576/WjH7zGE6_normal.jpg")</f>
        <v>https://pbs.twimg.com/profile_images/771250690949656576/WjH7zGE6_normal.jpg</v>
      </c>
      <c r="AW54" s="80" t="s">
        <v>1118</v>
      </c>
      <c r="AX54" s="80" t="s">
        <v>1118</v>
      </c>
      <c r="AY54" s="80" t="s">
        <v>251</v>
      </c>
      <c r="AZ54" s="80" t="s">
        <v>252</v>
      </c>
      <c r="BA54" s="80" t="s">
        <v>252</v>
      </c>
      <c r="BB54" s="80" t="s">
        <v>252</v>
      </c>
      <c r="BC54" s="80" t="s">
        <v>1118</v>
      </c>
      <c r="BD54" s="76">
        <v>3595788384</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row>
    <row r="55" spans="1:64" ht="15">
      <c r="A55" s="61" t="s">
        <v>593</v>
      </c>
      <c r="B55" s="61" t="s">
        <v>224</v>
      </c>
      <c r="C55" s="62"/>
      <c r="D55" s="63"/>
      <c r="E55" s="64"/>
      <c r="F55" s="65"/>
      <c r="G55" s="62"/>
      <c r="H55" s="66"/>
      <c r="I55" s="67"/>
      <c r="J55" s="67"/>
      <c r="K55" s="31" t="s">
        <v>65</v>
      </c>
      <c r="L55" s="74">
        <v>55</v>
      </c>
      <c r="M55" s="74"/>
      <c r="N55" s="69"/>
      <c r="O55" s="76" t="s">
        <v>227</v>
      </c>
      <c r="P55" s="78">
        <v>43856.708333333336</v>
      </c>
      <c r="Q55" s="76" t="s">
        <v>766</v>
      </c>
      <c r="R55" s="76">
        <v>0</v>
      </c>
      <c r="S55" s="76">
        <v>0</v>
      </c>
      <c r="T55" s="76">
        <v>1</v>
      </c>
      <c r="U55" s="76">
        <v>0</v>
      </c>
      <c r="V55" s="76"/>
      <c r="W55" s="76"/>
      <c r="X55" s="81" t="str">
        <f>HYPERLINK("https://lnkd.in/eTP-h_M")</f>
        <v>https://lnkd.in/eTP-h_M</v>
      </c>
      <c r="Y55" s="76" t="s">
        <v>399</v>
      </c>
      <c r="Z55" s="76" t="s">
        <v>224</v>
      </c>
      <c r="AA55" s="76"/>
      <c r="AB55" s="76"/>
      <c r="AC55" s="80" t="s">
        <v>948</v>
      </c>
      <c r="AD55" s="76" t="s">
        <v>244</v>
      </c>
      <c r="AE55" s="81" t="str">
        <f>HYPERLINK("https://twitter.com/martintenvoorde/status/1221477901813649411")</f>
        <v>https://twitter.com/martintenvoorde/status/1221477901813649411</v>
      </c>
      <c r="AF55" s="78">
        <v>43856.708333333336</v>
      </c>
      <c r="AG55" s="85">
        <v>43856</v>
      </c>
      <c r="AH55" s="80" t="s">
        <v>406</v>
      </c>
      <c r="AI55" s="76" t="b">
        <v>0</v>
      </c>
      <c r="AJ55" s="76"/>
      <c r="AK55" s="76"/>
      <c r="AL55" s="76"/>
      <c r="AM55" s="76"/>
      <c r="AN55" s="76"/>
      <c r="AO55" s="76"/>
      <c r="AP55" s="76"/>
      <c r="AQ55" s="76"/>
      <c r="AR55" s="76"/>
      <c r="AS55" s="76"/>
      <c r="AT55" s="76"/>
      <c r="AU55" s="76"/>
      <c r="AV55" s="81" t="str">
        <f>HYPERLINK("https://pbs.twimg.com/profile_images/1882396335/MTV_normal.PNG")</f>
        <v>https://pbs.twimg.com/profile_images/1882396335/MTV_normal.PNG</v>
      </c>
      <c r="AW55" s="80" t="s">
        <v>1119</v>
      </c>
      <c r="AX55" s="80" t="s">
        <v>1119</v>
      </c>
      <c r="AY55" s="76"/>
      <c r="AZ55" s="80" t="s">
        <v>252</v>
      </c>
      <c r="BA55" s="80" t="s">
        <v>252</v>
      </c>
      <c r="BB55" s="80" t="s">
        <v>252</v>
      </c>
      <c r="BC55" s="80" t="s">
        <v>1119</v>
      </c>
      <c r="BD55" s="76">
        <v>32630040</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row>
    <row r="56" spans="1:64" ht="15">
      <c r="A56" s="61" t="s">
        <v>594</v>
      </c>
      <c r="B56" s="61" t="s">
        <v>682</v>
      </c>
      <c r="C56" s="62"/>
      <c r="D56" s="63"/>
      <c r="E56" s="64"/>
      <c r="F56" s="65"/>
      <c r="G56" s="62"/>
      <c r="H56" s="66"/>
      <c r="I56" s="67"/>
      <c r="J56" s="67"/>
      <c r="K56" s="31" t="s">
        <v>65</v>
      </c>
      <c r="L56" s="74">
        <v>56</v>
      </c>
      <c r="M56" s="74"/>
      <c r="N56" s="69"/>
      <c r="O56" s="76" t="s">
        <v>227</v>
      </c>
      <c r="P56" s="78">
        <v>43855.23099537037</v>
      </c>
      <c r="Q56" s="76" t="s">
        <v>767</v>
      </c>
      <c r="R56" s="76">
        <v>0</v>
      </c>
      <c r="S56" s="76">
        <v>0</v>
      </c>
      <c r="T56" s="76">
        <v>0</v>
      </c>
      <c r="U56" s="76">
        <v>0</v>
      </c>
      <c r="V56" s="76"/>
      <c r="W56" s="76"/>
      <c r="X56" s="81" t="str">
        <f>HYPERLINK("http://customerthink.com/think-effectively-with-seo-and-brand-building-strategies/")</f>
        <v>http://customerthink.com/think-effectively-with-seo-and-brand-building-strategies/</v>
      </c>
      <c r="Y56" s="76" t="s">
        <v>871</v>
      </c>
      <c r="Z56" s="76" t="s">
        <v>901</v>
      </c>
      <c r="AA56" s="76"/>
      <c r="AB56" s="76"/>
      <c r="AC56" s="80" t="s">
        <v>947</v>
      </c>
      <c r="AD56" s="76" t="s">
        <v>244</v>
      </c>
      <c r="AE56" s="81" t="str">
        <f>HYPERLINK("https://twitter.com/bob_thompson/status/1220942533804429318")</f>
        <v>https://twitter.com/bob_thompson/status/1220942533804429318</v>
      </c>
      <c r="AF56" s="78">
        <v>43855.23099537037</v>
      </c>
      <c r="AG56" s="85">
        <v>43855</v>
      </c>
      <c r="AH56" s="80" t="s">
        <v>994</v>
      </c>
      <c r="AI56" s="76" t="b">
        <v>0</v>
      </c>
      <c r="AJ56" s="76"/>
      <c r="AK56" s="76"/>
      <c r="AL56" s="76"/>
      <c r="AM56" s="76"/>
      <c r="AN56" s="76"/>
      <c r="AO56" s="76"/>
      <c r="AP56" s="76"/>
      <c r="AQ56" s="76"/>
      <c r="AR56" s="76"/>
      <c r="AS56" s="76"/>
      <c r="AT56" s="76"/>
      <c r="AU56" s="76"/>
      <c r="AV56" s="81" t="str">
        <f>HYPERLINK("https://pbs.twimg.com/profile_images/1453428033042333698/QFjMjQn8_normal.jpg")</f>
        <v>https://pbs.twimg.com/profile_images/1453428033042333698/QFjMjQn8_normal.jpg</v>
      </c>
      <c r="AW56" s="80" t="s">
        <v>1120</v>
      </c>
      <c r="AX56" s="80" t="s">
        <v>1120</v>
      </c>
      <c r="AY56" s="76"/>
      <c r="AZ56" s="80" t="s">
        <v>252</v>
      </c>
      <c r="BA56" s="80" t="s">
        <v>252</v>
      </c>
      <c r="BB56" s="80" t="s">
        <v>252</v>
      </c>
      <c r="BC56" s="80" t="s">
        <v>1120</v>
      </c>
      <c r="BD56" s="76">
        <v>16357285</v>
      </c>
      <c r="BE56" s="76"/>
      <c r="BF56" s="76"/>
      <c r="BG56" s="76"/>
      <c r="BH56" s="76"/>
      <c r="BI56" s="76"/>
      <c r="BJ56" s="76">
        <v>2</v>
      </c>
      <c r="BK56" s="75" t="str">
        <f>REPLACE(INDEX(GroupVertices[Group],MATCH("~"&amp;Edges[[#This Row],[Vertex 1]],GroupVertices[Vertex],0)),1,1,"")</f>
        <v>1</v>
      </c>
      <c r="BL56" s="75" t="str">
        <f>REPLACE(INDEX(GroupVertices[Group],MATCH("~"&amp;Edges[[#This Row],[Vertex 2]],GroupVertices[Vertex],0)),1,1,"")</f>
        <v>1</v>
      </c>
    </row>
    <row r="57" spans="1:64" ht="15">
      <c r="A57" s="61" t="s">
        <v>594</v>
      </c>
      <c r="B57" s="61" t="s">
        <v>224</v>
      </c>
      <c r="C57" s="62"/>
      <c r="D57" s="63"/>
      <c r="E57" s="64"/>
      <c r="F57" s="65"/>
      <c r="G57" s="62"/>
      <c r="H57" s="66"/>
      <c r="I57" s="67"/>
      <c r="J57" s="67"/>
      <c r="K57" s="31" t="s">
        <v>65</v>
      </c>
      <c r="L57" s="74">
        <v>57</v>
      </c>
      <c r="M57" s="74"/>
      <c r="N57" s="69"/>
      <c r="O57" s="76" t="s">
        <v>227</v>
      </c>
      <c r="P57" s="78">
        <v>43855.23099537037</v>
      </c>
      <c r="Q57" s="76" t="s">
        <v>767</v>
      </c>
      <c r="R57" s="76">
        <v>0</v>
      </c>
      <c r="S57" s="76">
        <v>0</v>
      </c>
      <c r="T57" s="76">
        <v>0</v>
      </c>
      <c r="U57" s="76">
        <v>0</v>
      </c>
      <c r="V57" s="76"/>
      <c r="W57" s="76"/>
      <c r="X57" s="81" t="str">
        <f>HYPERLINK("http://customerthink.com/think-effectively-with-seo-and-brand-building-strategies/")</f>
        <v>http://customerthink.com/think-effectively-with-seo-and-brand-building-strategies/</v>
      </c>
      <c r="Y57" s="76" t="s">
        <v>871</v>
      </c>
      <c r="Z57" s="76" t="s">
        <v>901</v>
      </c>
      <c r="AA57" s="76"/>
      <c r="AB57" s="76"/>
      <c r="AC57" s="80" t="s">
        <v>947</v>
      </c>
      <c r="AD57" s="76" t="s">
        <v>244</v>
      </c>
      <c r="AE57" s="81" t="str">
        <f>HYPERLINK("https://twitter.com/bob_thompson/status/1220942533804429318")</f>
        <v>https://twitter.com/bob_thompson/status/1220942533804429318</v>
      </c>
      <c r="AF57" s="78">
        <v>43855.23099537037</v>
      </c>
      <c r="AG57" s="85">
        <v>43855</v>
      </c>
      <c r="AH57" s="80" t="s">
        <v>994</v>
      </c>
      <c r="AI57" s="76" t="b">
        <v>0</v>
      </c>
      <c r="AJ57" s="76"/>
      <c r="AK57" s="76"/>
      <c r="AL57" s="76"/>
      <c r="AM57" s="76"/>
      <c r="AN57" s="76"/>
      <c r="AO57" s="76"/>
      <c r="AP57" s="76"/>
      <c r="AQ57" s="76"/>
      <c r="AR57" s="76"/>
      <c r="AS57" s="76"/>
      <c r="AT57" s="76"/>
      <c r="AU57" s="76"/>
      <c r="AV57" s="81" t="str">
        <f>HYPERLINK("https://pbs.twimg.com/profile_images/1453428033042333698/QFjMjQn8_normal.jpg")</f>
        <v>https://pbs.twimg.com/profile_images/1453428033042333698/QFjMjQn8_normal.jpg</v>
      </c>
      <c r="AW57" s="80" t="s">
        <v>1120</v>
      </c>
      <c r="AX57" s="80" t="s">
        <v>1120</v>
      </c>
      <c r="AY57" s="76"/>
      <c r="AZ57" s="80" t="s">
        <v>252</v>
      </c>
      <c r="BA57" s="80" t="s">
        <v>252</v>
      </c>
      <c r="BB57" s="80" t="s">
        <v>252</v>
      </c>
      <c r="BC57" s="80" t="s">
        <v>1120</v>
      </c>
      <c r="BD57" s="76">
        <v>16357285</v>
      </c>
      <c r="BE57" s="76"/>
      <c r="BF57" s="76"/>
      <c r="BG57" s="76"/>
      <c r="BH57" s="76"/>
      <c r="BI57" s="76"/>
      <c r="BJ57" s="76">
        <v>2</v>
      </c>
      <c r="BK57" s="75" t="str">
        <f>REPLACE(INDEX(GroupVertices[Group],MATCH("~"&amp;Edges[[#This Row],[Vertex 1]],GroupVertices[Vertex],0)),1,1,"")</f>
        <v>1</v>
      </c>
      <c r="BL57" s="75" t="str">
        <f>REPLACE(INDEX(GroupVertices[Group],MATCH("~"&amp;Edges[[#This Row],[Vertex 2]],GroupVertices[Vertex],0)),1,1,"")</f>
        <v>1</v>
      </c>
    </row>
    <row r="58" spans="1:64" ht="15">
      <c r="A58" s="61" t="s">
        <v>595</v>
      </c>
      <c r="B58" s="61" t="s">
        <v>683</v>
      </c>
      <c r="C58" s="62"/>
      <c r="D58" s="63"/>
      <c r="E58" s="64"/>
      <c r="F58" s="65"/>
      <c r="G58" s="62"/>
      <c r="H58" s="66"/>
      <c r="I58" s="67"/>
      <c r="J58" s="67"/>
      <c r="K58" s="31" t="s">
        <v>65</v>
      </c>
      <c r="L58" s="74">
        <v>58</v>
      </c>
      <c r="M58" s="74"/>
      <c r="N58" s="69"/>
      <c r="O58" s="76" t="s">
        <v>227</v>
      </c>
      <c r="P58" s="78">
        <v>44057.023877314816</v>
      </c>
      <c r="Q58" s="76" t="s">
        <v>768</v>
      </c>
      <c r="R58" s="76">
        <v>0</v>
      </c>
      <c r="S58" s="76">
        <v>1</v>
      </c>
      <c r="T58" s="76">
        <v>0</v>
      </c>
      <c r="U58" s="76">
        <v>0</v>
      </c>
      <c r="V58" s="76"/>
      <c r="W58" s="76"/>
      <c r="X58" s="76"/>
      <c r="Y58" s="76"/>
      <c r="Z58" s="76" t="s">
        <v>902</v>
      </c>
      <c r="AA58" s="76"/>
      <c r="AB58" s="76"/>
      <c r="AC58" s="80" t="s">
        <v>243</v>
      </c>
      <c r="AD58" s="76" t="s">
        <v>244</v>
      </c>
      <c r="AE58" s="81" t="str">
        <f>HYPERLINK("https://twitter.com/allifrye123/status/1294069825908682752")</f>
        <v>https://twitter.com/allifrye123/status/1294069825908682752</v>
      </c>
      <c r="AF58" s="78">
        <v>44057.023877314816</v>
      </c>
      <c r="AG58" s="85">
        <v>44057</v>
      </c>
      <c r="AH58" s="80" t="s">
        <v>995</v>
      </c>
      <c r="AI58" s="76"/>
      <c r="AJ58" s="76"/>
      <c r="AK58" s="76"/>
      <c r="AL58" s="76"/>
      <c r="AM58" s="76"/>
      <c r="AN58" s="76"/>
      <c r="AO58" s="76"/>
      <c r="AP58" s="76"/>
      <c r="AQ58" s="76"/>
      <c r="AR58" s="76"/>
      <c r="AS58" s="76"/>
      <c r="AT58" s="76"/>
      <c r="AU58" s="76"/>
      <c r="AV58" s="81" t="str">
        <f>HYPERLINK("https://pbs.twimg.com/profile_images/1652268191719014402/AJLST_8V_normal.jpg")</f>
        <v>https://pbs.twimg.com/profile_images/1652268191719014402/AJLST_8V_normal.jpg</v>
      </c>
      <c r="AW58" s="80" t="s">
        <v>1121</v>
      </c>
      <c r="AX58" s="80" t="s">
        <v>1121</v>
      </c>
      <c r="AY58" s="76"/>
      <c r="AZ58" s="80" t="s">
        <v>252</v>
      </c>
      <c r="BA58" s="80" t="s">
        <v>252</v>
      </c>
      <c r="BB58" s="80" t="s">
        <v>252</v>
      </c>
      <c r="BC58" s="80" t="s">
        <v>1121</v>
      </c>
      <c r="BD58" s="76">
        <v>97307104</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row>
    <row r="59" spans="1:64" ht="15">
      <c r="A59" s="61" t="s">
        <v>595</v>
      </c>
      <c r="B59" s="61" t="s">
        <v>684</v>
      </c>
      <c r="C59" s="62"/>
      <c r="D59" s="63"/>
      <c r="E59" s="64"/>
      <c r="F59" s="65"/>
      <c r="G59" s="62"/>
      <c r="H59" s="66"/>
      <c r="I59" s="67"/>
      <c r="J59" s="67"/>
      <c r="K59" s="31" t="s">
        <v>65</v>
      </c>
      <c r="L59" s="74">
        <v>59</v>
      </c>
      <c r="M59" s="74"/>
      <c r="N59" s="69"/>
      <c r="O59" s="76" t="s">
        <v>227</v>
      </c>
      <c r="P59" s="78">
        <v>44057.023877314816</v>
      </c>
      <c r="Q59" s="76" t="s">
        <v>768</v>
      </c>
      <c r="R59" s="76">
        <v>0</v>
      </c>
      <c r="S59" s="76">
        <v>1</v>
      </c>
      <c r="T59" s="76">
        <v>0</v>
      </c>
      <c r="U59" s="76">
        <v>0</v>
      </c>
      <c r="V59" s="76"/>
      <c r="W59" s="76"/>
      <c r="X59" s="76"/>
      <c r="Y59" s="76"/>
      <c r="Z59" s="76" t="s">
        <v>902</v>
      </c>
      <c r="AA59" s="76"/>
      <c r="AB59" s="76"/>
      <c r="AC59" s="80" t="s">
        <v>243</v>
      </c>
      <c r="AD59" s="76" t="s">
        <v>244</v>
      </c>
      <c r="AE59" s="81" t="str">
        <f>HYPERLINK("https://twitter.com/allifrye123/status/1294069825908682752")</f>
        <v>https://twitter.com/allifrye123/status/1294069825908682752</v>
      </c>
      <c r="AF59" s="78">
        <v>44057.023877314816</v>
      </c>
      <c r="AG59" s="85">
        <v>44057</v>
      </c>
      <c r="AH59" s="80" t="s">
        <v>995</v>
      </c>
      <c r="AI59" s="76"/>
      <c r="AJ59" s="76"/>
      <c r="AK59" s="76"/>
      <c r="AL59" s="76"/>
      <c r="AM59" s="76"/>
      <c r="AN59" s="76"/>
      <c r="AO59" s="76"/>
      <c r="AP59" s="76"/>
      <c r="AQ59" s="76"/>
      <c r="AR59" s="76"/>
      <c r="AS59" s="76"/>
      <c r="AT59" s="76"/>
      <c r="AU59" s="76"/>
      <c r="AV59" s="81" t="str">
        <f>HYPERLINK("https://pbs.twimg.com/profile_images/1652268191719014402/AJLST_8V_normal.jpg")</f>
        <v>https://pbs.twimg.com/profile_images/1652268191719014402/AJLST_8V_normal.jpg</v>
      </c>
      <c r="AW59" s="80" t="s">
        <v>1121</v>
      </c>
      <c r="AX59" s="80" t="s">
        <v>1121</v>
      </c>
      <c r="AY59" s="76"/>
      <c r="AZ59" s="80" t="s">
        <v>252</v>
      </c>
      <c r="BA59" s="80" t="s">
        <v>252</v>
      </c>
      <c r="BB59" s="80" t="s">
        <v>252</v>
      </c>
      <c r="BC59" s="80" t="s">
        <v>1121</v>
      </c>
      <c r="BD59" s="76">
        <v>97307104</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row>
    <row r="60" spans="1:64" ht="15">
      <c r="A60" s="61" t="s">
        <v>595</v>
      </c>
      <c r="B60" s="61" t="s">
        <v>685</v>
      </c>
      <c r="C60" s="62"/>
      <c r="D60" s="63"/>
      <c r="E60" s="64"/>
      <c r="F60" s="65"/>
      <c r="G60" s="62"/>
      <c r="H60" s="66"/>
      <c r="I60" s="67"/>
      <c r="J60" s="67"/>
      <c r="K60" s="31" t="s">
        <v>65</v>
      </c>
      <c r="L60" s="74">
        <v>60</v>
      </c>
      <c r="M60" s="74"/>
      <c r="N60" s="69"/>
      <c r="O60" s="76" t="s">
        <v>227</v>
      </c>
      <c r="P60" s="78">
        <v>44057.023877314816</v>
      </c>
      <c r="Q60" s="76" t="s">
        <v>768</v>
      </c>
      <c r="R60" s="76">
        <v>0</v>
      </c>
      <c r="S60" s="76">
        <v>1</v>
      </c>
      <c r="T60" s="76">
        <v>0</v>
      </c>
      <c r="U60" s="76">
        <v>0</v>
      </c>
      <c r="V60" s="76"/>
      <c r="W60" s="76"/>
      <c r="X60" s="76"/>
      <c r="Y60" s="76"/>
      <c r="Z60" s="76" t="s">
        <v>902</v>
      </c>
      <c r="AA60" s="76"/>
      <c r="AB60" s="76"/>
      <c r="AC60" s="80" t="s">
        <v>243</v>
      </c>
      <c r="AD60" s="76" t="s">
        <v>244</v>
      </c>
      <c r="AE60" s="81" t="str">
        <f>HYPERLINK("https://twitter.com/allifrye123/status/1294069825908682752")</f>
        <v>https://twitter.com/allifrye123/status/1294069825908682752</v>
      </c>
      <c r="AF60" s="78">
        <v>44057.023877314816</v>
      </c>
      <c r="AG60" s="85">
        <v>44057</v>
      </c>
      <c r="AH60" s="80" t="s">
        <v>995</v>
      </c>
      <c r="AI60" s="76"/>
      <c r="AJ60" s="76"/>
      <c r="AK60" s="76"/>
      <c r="AL60" s="76"/>
      <c r="AM60" s="76"/>
      <c r="AN60" s="76"/>
      <c r="AO60" s="76"/>
      <c r="AP60" s="76"/>
      <c r="AQ60" s="76"/>
      <c r="AR60" s="76"/>
      <c r="AS60" s="76"/>
      <c r="AT60" s="76"/>
      <c r="AU60" s="76"/>
      <c r="AV60" s="81" t="str">
        <f>HYPERLINK("https://pbs.twimg.com/profile_images/1652268191719014402/AJLST_8V_normal.jpg")</f>
        <v>https://pbs.twimg.com/profile_images/1652268191719014402/AJLST_8V_normal.jpg</v>
      </c>
      <c r="AW60" s="80" t="s">
        <v>1121</v>
      </c>
      <c r="AX60" s="80" t="s">
        <v>1121</v>
      </c>
      <c r="AY60" s="76"/>
      <c r="AZ60" s="80" t="s">
        <v>252</v>
      </c>
      <c r="BA60" s="80" t="s">
        <v>252</v>
      </c>
      <c r="BB60" s="80" t="s">
        <v>252</v>
      </c>
      <c r="BC60" s="80" t="s">
        <v>1121</v>
      </c>
      <c r="BD60" s="76">
        <v>97307104</v>
      </c>
      <c r="BE60" s="76"/>
      <c r="BF60" s="76"/>
      <c r="BG60" s="76"/>
      <c r="BH60" s="76"/>
      <c r="BI60" s="76"/>
      <c r="BJ60" s="76">
        <v>1</v>
      </c>
      <c r="BK60" s="75" t="str">
        <f>REPLACE(INDEX(GroupVertices[Group],MATCH("~"&amp;Edges[[#This Row],[Vertex 1]],GroupVertices[Vertex],0)),1,1,"")</f>
        <v>2</v>
      </c>
      <c r="BL60" s="75" t="str">
        <f>REPLACE(INDEX(GroupVertices[Group],MATCH("~"&amp;Edges[[#This Row],[Vertex 2]],GroupVertices[Vertex],0)),1,1,"")</f>
        <v>2</v>
      </c>
    </row>
    <row r="61" spans="1:64" ht="15">
      <c r="A61" s="61" t="s">
        <v>595</v>
      </c>
      <c r="B61" s="61" t="s">
        <v>686</v>
      </c>
      <c r="C61" s="62"/>
      <c r="D61" s="63"/>
      <c r="E61" s="64"/>
      <c r="F61" s="65"/>
      <c r="G61" s="62"/>
      <c r="H61" s="66"/>
      <c r="I61" s="67"/>
      <c r="J61" s="67"/>
      <c r="K61" s="31" t="s">
        <v>65</v>
      </c>
      <c r="L61" s="74">
        <v>61</v>
      </c>
      <c r="M61" s="74"/>
      <c r="N61" s="69"/>
      <c r="O61" s="76" t="s">
        <v>227</v>
      </c>
      <c r="P61" s="78">
        <v>44057.023877314816</v>
      </c>
      <c r="Q61" s="76" t="s">
        <v>768</v>
      </c>
      <c r="R61" s="76">
        <v>0</v>
      </c>
      <c r="S61" s="76">
        <v>1</v>
      </c>
      <c r="T61" s="76">
        <v>0</v>
      </c>
      <c r="U61" s="76">
        <v>0</v>
      </c>
      <c r="V61" s="76"/>
      <c r="W61" s="76"/>
      <c r="X61" s="76"/>
      <c r="Y61" s="76"/>
      <c r="Z61" s="76" t="s">
        <v>902</v>
      </c>
      <c r="AA61" s="76"/>
      <c r="AB61" s="76"/>
      <c r="AC61" s="80" t="s">
        <v>243</v>
      </c>
      <c r="AD61" s="76" t="s">
        <v>244</v>
      </c>
      <c r="AE61" s="81" t="str">
        <f>HYPERLINK("https://twitter.com/allifrye123/status/1294069825908682752")</f>
        <v>https://twitter.com/allifrye123/status/1294069825908682752</v>
      </c>
      <c r="AF61" s="78">
        <v>44057.023877314816</v>
      </c>
      <c r="AG61" s="85">
        <v>44057</v>
      </c>
      <c r="AH61" s="80" t="s">
        <v>995</v>
      </c>
      <c r="AI61" s="76"/>
      <c r="AJ61" s="76"/>
      <c r="AK61" s="76"/>
      <c r="AL61" s="76"/>
      <c r="AM61" s="76"/>
      <c r="AN61" s="76"/>
      <c r="AO61" s="76"/>
      <c r="AP61" s="76"/>
      <c r="AQ61" s="76"/>
      <c r="AR61" s="76"/>
      <c r="AS61" s="76"/>
      <c r="AT61" s="76"/>
      <c r="AU61" s="76"/>
      <c r="AV61" s="81" t="str">
        <f>HYPERLINK("https://pbs.twimg.com/profile_images/1652268191719014402/AJLST_8V_normal.jpg")</f>
        <v>https://pbs.twimg.com/profile_images/1652268191719014402/AJLST_8V_normal.jpg</v>
      </c>
      <c r="AW61" s="80" t="s">
        <v>1121</v>
      </c>
      <c r="AX61" s="80" t="s">
        <v>1121</v>
      </c>
      <c r="AY61" s="76"/>
      <c r="AZ61" s="80" t="s">
        <v>252</v>
      </c>
      <c r="BA61" s="80" t="s">
        <v>252</v>
      </c>
      <c r="BB61" s="80" t="s">
        <v>252</v>
      </c>
      <c r="BC61" s="80" t="s">
        <v>1121</v>
      </c>
      <c r="BD61" s="76">
        <v>97307104</v>
      </c>
      <c r="BE61" s="76"/>
      <c r="BF61" s="76"/>
      <c r="BG61" s="76"/>
      <c r="BH61" s="76"/>
      <c r="BI61" s="76"/>
      <c r="BJ61" s="76">
        <v>1</v>
      </c>
      <c r="BK61" s="75" t="str">
        <f>REPLACE(INDEX(GroupVertices[Group],MATCH("~"&amp;Edges[[#This Row],[Vertex 1]],GroupVertices[Vertex],0)),1,1,"")</f>
        <v>2</v>
      </c>
      <c r="BL61" s="75" t="str">
        <f>REPLACE(INDEX(GroupVertices[Group],MATCH("~"&amp;Edges[[#This Row],[Vertex 2]],GroupVertices[Vertex],0)),1,1,"")</f>
        <v>2</v>
      </c>
    </row>
    <row r="62" spans="1:64" ht="15">
      <c r="A62" s="61" t="s">
        <v>595</v>
      </c>
      <c r="B62" s="61" t="s">
        <v>687</v>
      </c>
      <c r="C62" s="62"/>
      <c r="D62" s="63"/>
      <c r="E62" s="64"/>
      <c r="F62" s="65"/>
      <c r="G62" s="62"/>
      <c r="H62" s="66"/>
      <c r="I62" s="67"/>
      <c r="J62" s="67"/>
      <c r="K62" s="31" t="s">
        <v>65</v>
      </c>
      <c r="L62" s="74">
        <v>62</v>
      </c>
      <c r="M62" s="74"/>
      <c r="N62" s="69"/>
      <c r="O62" s="76" t="s">
        <v>227</v>
      </c>
      <c r="P62" s="78">
        <v>44057.023877314816</v>
      </c>
      <c r="Q62" s="76" t="s">
        <v>768</v>
      </c>
      <c r="R62" s="76">
        <v>0</v>
      </c>
      <c r="S62" s="76">
        <v>1</v>
      </c>
      <c r="T62" s="76">
        <v>0</v>
      </c>
      <c r="U62" s="76">
        <v>0</v>
      </c>
      <c r="V62" s="76"/>
      <c r="W62" s="76"/>
      <c r="X62" s="76"/>
      <c r="Y62" s="76"/>
      <c r="Z62" s="76" t="s">
        <v>902</v>
      </c>
      <c r="AA62" s="76"/>
      <c r="AB62" s="76"/>
      <c r="AC62" s="80" t="s">
        <v>243</v>
      </c>
      <c r="AD62" s="76" t="s">
        <v>244</v>
      </c>
      <c r="AE62" s="81" t="str">
        <f>HYPERLINK("https://twitter.com/allifrye123/status/1294069825908682752")</f>
        <v>https://twitter.com/allifrye123/status/1294069825908682752</v>
      </c>
      <c r="AF62" s="78">
        <v>44057.023877314816</v>
      </c>
      <c r="AG62" s="85">
        <v>44057</v>
      </c>
      <c r="AH62" s="80" t="s">
        <v>995</v>
      </c>
      <c r="AI62" s="76"/>
      <c r="AJ62" s="76"/>
      <c r="AK62" s="76"/>
      <c r="AL62" s="76"/>
      <c r="AM62" s="76"/>
      <c r="AN62" s="76"/>
      <c r="AO62" s="76"/>
      <c r="AP62" s="76"/>
      <c r="AQ62" s="76"/>
      <c r="AR62" s="76"/>
      <c r="AS62" s="76"/>
      <c r="AT62" s="76"/>
      <c r="AU62" s="76"/>
      <c r="AV62" s="81" t="str">
        <f>HYPERLINK("https://pbs.twimg.com/profile_images/1652268191719014402/AJLST_8V_normal.jpg")</f>
        <v>https://pbs.twimg.com/profile_images/1652268191719014402/AJLST_8V_normal.jpg</v>
      </c>
      <c r="AW62" s="80" t="s">
        <v>1121</v>
      </c>
      <c r="AX62" s="80" t="s">
        <v>1121</v>
      </c>
      <c r="AY62" s="76"/>
      <c r="AZ62" s="80" t="s">
        <v>252</v>
      </c>
      <c r="BA62" s="80" t="s">
        <v>252</v>
      </c>
      <c r="BB62" s="80" t="s">
        <v>252</v>
      </c>
      <c r="BC62" s="80" t="s">
        <v>1121</v>
      </c>
      <c r="BD62" s="76">
        <v>97307104</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row>
    <row r="63" spans="1:64" ht="15">
      <c r="A63" s="61" t="s">
        <v>595</v>
      </c>
      <c r="B63" s="61" t="s">
        <v>224</v>
      </c>
      <c r="C63" s="62"/>
      <c r="D63" s="63"/>
      <c r="E63" s="64"/>
      <c r="F63" s="65"/>
      <c r="G63" s="62"/>
      <c r="H63" s="66"/>
      <c r="I63" s="67"/>
      <c r="J63" s="67"/>
      <c r="K63" s="31" t="s">
        <v>65</v>
      </c>
      <c r="L63" s="74">
        <v>63</v>
      </c>
      <c r="M63" s="74"/>
      <c r="N63" s="69"/>
      <c r="O63" s="76" t="s">
        <v>227</v>
      </c>
      <c r="P63" s="78">
        <v>44057.023877314816</v>
      </c>
      <c r="Q63" s="76" t="s">
        <v>768</v>
      </c>
      <c r="R63" s="76">
        <v>0</v>
      </c>
      <c r="S63" s="76">
        <v>1</v>
      </c>
      <c r="T63" s="76">
        <v>0</v>
      </c>
      <c r="U63" s="76">
        <v>0</v>
      </c>
      <c r="V63" s="76"/>
      <c r="W63" s="76"/>
      <c r="X63" s="76"/>
      <c r="Y63" s="76"/>
      <c r="Z63" s="76" t="s">
        <v>902</v>
      </c>
      <c r="AA63" s="76"/>
      <c r="AB63" s="76"/>
      <c r="AC63" s="80" t="s">
        <v>243</v>
      </c>
      <c r="AD63" s="76" t="s">
        <v>244</v>
      </c>
      <c r="AE63" s="81" t="str">
        <f>HYPERLINK("https://twitter.com/allifrye123/status/1294069825908682752")</f>
        <v>https://twitter.com/allifrye123/status/1294069825908682752</v>
      </c>
      <c r="AF63" s="78">
        <v>44057.023877314816</v>
      </c>
      <c r="AG63" s="85">
        <v>44057</v>
      </c>
      <c r="AH63" s="80" t="s">
        <v>995</v>
      </c>
      <c r="AI63" s="76"/>
      <c r="AJ63" s="76"/>
      <c r="AK63" s="76"/>
      <c r="AL63" s="76"/>
      <c r="AM63" s="76"/>
      <c r="AN63" s="76"/>
      <c r="AO63" s="76"/>
      <c r="AP63" s="76"/>
      <c r="AQ63" s="76"/>
      <c r="AR63" s="76"/>
      <c r="AS63" s="76"/>
      <c r="AT63" s="76"/>
      <c r="AU63" s="76"/>
      <c r="AV63" s="81" t="str">
        <f>HYPERLINK("https://pbs.twimg.com/profile_images/1652268191719014402/AJLST_8V_normal.jpg")</f>
        <v>https://pbs.twimg.com/profile_images/1652268191719014402/AJLST_8V_normal.jpg</v>
      </c>
      <c r="AW63" s="80" t="s">
        <v>1121</v>
      </c>
      <c r="AX63" s="80" t="s">
        <v>1121</v>
      </c>
      <c r="AY63" s="76"/>
      <c r="AZ63" s="80" t="s">
        <v>252</v>
      </c>
      <c r="BA63" s="80" t="s">
        <v>252</v>
      </c>
      <c r="BB63" s="80" t="s">
        <v>252</v>
      </c>
      <c r="BC63" s="80" t="s">
        <v>1121</v>
      </c>
      <c r="BD63" s="76">
        <v>97307104</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1</v>
      </c>
    </row>
    <row r="64" spans="1:64" ht="15">
      <c r="A64" s="61" t="s">
        <v>595</v>
      </c>
      <c r="B64" s="61" t="s">
        <v>688</v>
      </c>
      <c r="C64" s="62"/>
      <c r="D64" s="63"/>
      <c r="E64" s="64"/>
      <c r="F64" s="65"/>
      <c r="G64" s="62"/>
      <c r="H64" s="66"/>
      <c r="I64" s="67"/>
      <c r="J64" s="67"/>
      <c r="K64" s="31" t="s">
        <v>65</v>
      </c>
      <c r="L64" s="74">
        <v>64</v>
      </c>
      <c r="M64" s="74"/>
      <c r="N64" s="69"/>
      <c r="O64" s="76" t="s">
        <v>227</v>
      </c>
      <c r="P64" s="78">
        <v>44057.023877314816</v>
      </c>
      <c r="Q64" s="76" t="s">
        <v>768</v>
      </c>
      <c r="R64" s="76">
        <v>0</v>
      </c>
      <c r="S64" s="76">
        <v>1</v>
      </c>
      <c r="T64" s="76">
        <v>0</v>
      </c>
      <c r="U64" s="76">
        <v>0</v>
      </c>
      <c r="V64" s="76"/>
      <c r="W64" s="76"/>
      <c r="X64" s="76"/>
      <c r="Y64" s="76"/>
      <c r="Z64" s="76" t="s">
        <v>902</v>
      </c>
      <c r="AA64" s="76"/>
      <c r="AB64" s="76"/>
      <c r="AC64" s="80" t="s">
        <v>243</v>
      </c>
      <c r="AD64" s="76" t="s">
        <v>244</v>
      </c>
      <c r="AE64" s="81" t="str">
        <f>HYPERLINK("https://twitter.com/allifrye123/status/1294069825908682752")</f>
        <v>https://twitter.com/allifrye123/status/1294069825908682752</v>
      </c>
      <c r="AF64" s="78">
        <v>44057.023877314816</v>
      </c>
      <c r="AG64" s="85">
        <v>44057</v>
      </c>
      <c r="AH64" s="80" t="s">
        <v>995</v>
      </c>
      <c r="AI64" s="76"/>
      <c r="AJ64" s="76"/>
      <c r="AK64" s="76"/>
      <c r="AL64" s="76"/>
      <c r="AM64" s="76"/>
      <c r="AN64" s="76"/>
      <c r="AO64" s="76"/>
      <c r="AP64" s="76"/>
      <c r="AQ64" s="76"/>
      <c r="AR64" s="76"/>
      <c r="AS64" s="76"/>
      <c r="AT64" s="76"/>
      <c r="AU64" s="76"/>
      <c r="AV64" s="81" t="str">
        <f>HYPERLINK("https://pbs.twimg.com/profile_images/1652268191719014402/AJLST_8V_normal.jpg")</f>
        <v>https://pbs.twimg.com/profile_images/1652268191719014402/AJLST_8V_normal.jpg</v>
      </c>
      <c r="AW64" s="80" t="s">
        <v>1121</v>
      </c>
      <c r="AX64" s="80" t="s">
        <v>1121</v>
      </c>
      <c r="AY64" s="76"/>
      <c r="AZ64" s="80" t="s">
        <v>252</v>
      </c>
      <c r="BA64" s="80" t="s">
        <v>252</v>
      </c>
      <c r="BB64" s="80" t="s">
        <v>252</v>
      </c>
      <c r="BC64" s="80" t="s">
        <v>1121</v>
      </c>
      <c r="BD64" s="76">
        <v>97307104</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2</v>
      </c>
    </row>
    <row r="65" spans="1:64" ht="15">
      <c r="A65" s="61" t="s">
        <v>595</v>
      </c>
      <c r="B65" s="61" t="s">
        <v>635</v>
      </c>
      <c r="C65" s="62"/>
      <c r="D65" s="63"/>
      <c r="E65" s="64"/>
      <c r="F65" s="65"/>
      <c r="G65" s="62"/>
      <c r="H65" s="66"/>
      <c r="I65" s="67"/>
      <c r="J65" s="67"/>
      <c r="K65" s="31" t="s">
        <v>65</v>
      </c>
      <c r="L65" s="74">
        <v>65</v>
      </c>
      <c r="M65" s="74"/>
      <c r="N65" s="69"/>
      <c r="O65" s="76" t="s">
        <v>227</v>
      </c>
      <c r="P65" s="78">
        <v>44057.023877314816</v>
      </c>
      <c r="Q65" s="76" t="s">
        <v>768</v>
      </c>
      <c r="R65" s="76">
        <v>0</v>
      </c>
      <c r="S65" s="76">
        <v>1</v>
      </c>
      <c r="T65" s="76">
        <v>0</v>
      </c>
      <c r="U65" s="76">
        <v>0</v>
      </c>
      <c r="V65" s="76"/>
      <c r="W65" s="76"/>
      <c r="X65" s="76"/>
      <c r="Y65" s="76"/>
      <c r="Z65" s="76" t="s">
        <v>902</v>
      </c>
      <c r="AA65" s="76"/>
      <c r="AB65" s="76"/>
      <c r="AC65" s="80" t="s">
        <v>243</v>
      </c>
      <c r="AD65" s="76" t="s">
        <v>244</v>
      </c>
      <c r="AE65" s="81" t="str">
        <f>HYPERLINK("https://twitter.com/allifrye123/status/1294069825908682752")</f>
        <v>https://twitter.com/allifrye123/status/1294069825908682752</v>
      </c>
      <c r="AF65" s="78">
        <v>44057.023877314816</v>
      </c>
      <c r="AG65" s="85">
        <v>44057</v>
      </c>
      <c r="AH65" s="80" t="s">
        <v>995</v>
      </c>
      <c r="AI65" s="76"/>
      <c r="AJ65" s="76"/>
      <c r="AK65" s="76"/>
      <c r="AL65" s="76"/>
      <c r="AM65" s="76"/>
      <c r="AN65" s="76"/>
      <c r="AO65" s="76"/>
      <c r="AP65" s="76"/>
      <c r="AQ65" s="76"/>
      <c r="AR65" s="76"/>
      <c r="AS65" s="76"/>
      <c r="AT65" s="76"/>
      <c r="AU65" s="76"/>
      <c r="AV65" s="81" t="str">
        <f>HYPERLINK("https://pbs.twimg.com/profile_images/1652268191719014402/AJLST_8V_normal.jpg")</f>
        <v>https://pbs.twimg.com/profile_images/1652268191719014402/AJLST_8V_normal.jpg</v>
      </c>
      <c r="AW65" s="80" t="s">
        <v>1121</v>
      </c>
      <c r="AX65" s="80" t="s">
        <v>1121</v>
      </c>
      <c r="AY65" s="76"/>
      <c r="AZ65" s="80" t="s">
        <v>252</v>
      </c>
      <c r="BA65" s="80" t="s">
        <v>252</v>
      </c>
      <c r="BB65" s="80" t="s">
        <v>252</v>
      </c>
      <c r="BC65" s="80" t="s">
        <v>1121</v>
      </c>
      <c r="BD65" s="76">
        <v>97307104</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2</v>
      </c>
    </row>
    <row r="66" spans="1:64" ht="15">
      <c r="A66" s="61" t="s">
        <v>595</v>
      </c>
      <c r="B66" s="61" t="s">
        <v>633</v>
      </c>
      <c r="C66" s="62"/>
      <c r="D66" s="63"/>
      <c r="E66" s="64"/>
      <c r="F66" s="65"/>
      <c r="G66" s="62"/>
      <c r="H66" s="66"/>
      <c r="I66" s="67"/>
      <c r="J66" s="67"/>
      <c r="K66" s="31" t="s">
        <v>65</v>
      </c>
      <c r="L66" s="74">
        <v>66</v>
      </c>
      <c r="M66" s="74"/>
      <c r="N66" s="69"/>
      <c r="O66" s="76" t="s">
        <v>227</v>
      </c>
      <c r="P66" s="78">
        <v>44057.023877314816</v>
      </c>
      <c r="Q66" s="76" t="s">
        <v>768</v>
      </c>
      <c r="R66" s="76">
        <v>0</v>
      </c>
      <c r="S66" s="76">
        <v>1</v>
      </c>
      <c r="T66" s="76">
        <v>0</v>
      </c>
      <c r="U66" s="76">
        <v>0</v>
      </c>
      <c r="V66" s="76"/>
      <c r="W66" s="76"/>
      <c r="X66" s="76"/>
      <c r="Y66" s="76"/>
      <c r="Z66" s="76" t="s">
        <v>902</v>
      </c>
      <c r="AA66" s="76"/>
      <c r="AB66" s="76"/>
      <c r="AC66" s="80" t="s">
        <v>243</v>
      </c>
      <c r="AD66" s="76" t="s">
        <v>244</v>
      </c>
      <c r="AE66" s="81" t="str">
        <f>HYPERLINK("https://twitter.com/allifrye123/status/1294069825908682752")</f>
        <v>https://twitter.com/allifrye123/status/1294069825908682752</v>
      </c>
      <c r="AF66" s="78">
        <v>44057.023877314816</v>
      </c>
      <c r="AG66" s="85">
        <v>44057</v>
      </c>
      <c r="AH66" s="80" t="s">
        <v>995</v>
      </c>
      <c r="AI66" s="76"/>
      <c r="AJ66" s="76"/>
      <c r="AK66" s="76"/>
      <c r="AL66" s="76"/>
      <c r="AM66" s="76"/>
      <c r="AN66" s="76"/>
      <c r="AO66" s="76"/>
      <c r="AP66" s="76"/>
      <c r="AQ66" s="76"/>
      <c r="AR66" s="76"/>
      <c r="AS66" s="76"/>
      <c r="AT66" s="76"/>
      <c r="AU66" s="76"/>
      <c r="AV66" s="81" t="str">
        <f>HYPERLINK("https://pbs.twimg.com/profile_images/1652268191719014402/AJLST_8V_normal.jpg")</f>
        <v>https://pbs.twimg.com/profile_images/1652268191719014402/AJLST_8V_normal.jpg</v>
      </c>
      <c r="AW66" s="80" t="s">
        <v>1121</v>
      </c>
      <c r="AX66" s="80" t="s">
        <v>1121</v>
      </c>
      <c r="AY66" s="76"/>
      <c r="AZ66" s="80" t="s">
        <v>252</v>
      </c>
      <c r="BA66" s="80" t="s">
        <v>252</v>
      </c>
      <c r="BB66" s="80" t="s">
        <v>252</v>
      </c>
      <c r="BC66" s="80" t="s">
        <v>1121</v>
      </c>
      <c r="BD66" s="76">
        <v>97307104</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row>
    <row r="67" spans="1:64" ht="15">
      <c r="A67" s="61" t="s">
        <v>596</v>
      </c>
      <c r="B67" s="61" t="s">
        <v>689</v>
      </c>
      <c r="C67" s="62"/>
      <c r="D67" s="63"/>
      <c r="E67" s="64"/>
      <c r="F67" s="65"/>
      <c r="G67" s="62"/>
      <c r="H67" s="66"/>
      <c r="I67" s="67"/>
      <c r="J67" s="67"/>
      <c r="K67" s="31" t="s">
        <v>65</v>
      </c>
      <c r="L67" s="74">
        <v>67</v>
      </c>
      <c r="M67" s="74"/>
      <c r="N67" s="69"/>
      <c r="O67" s="76" t="s">
        <v>231</v>
      </c>
      <c r="P67" s="78">
        <v>44904.957280092596</v>
      </c>
      <c r="Q67" s="76" t="s">
        <v>769</v>
      </c>
      <c r="R67" s="76">
        <v>0</v>
      </c>
      <c r="S67" s="76">
        <v>0</v>
      </c>
      <c r="T67" s="76">
        <v>0</v>
      </c>
      <c r="U67" s="76">
        <v>0</v>
      </c>
      <c r="V67" s="76"/>
      <c r="W67" s="76"/>
      <c r="X67" s="76"/>
      <c r="Y67" s="76"/>
      <c r="Z67" s="76" t="s">
        <v>903</v>
      </c>
      <c r="AA67" s="76"/>
      <c r="AB67" s="76"/>
      <c r="AC67" s="80" t="s">
        <v>240</v>
      </c>
      <c r="AD67" s="76" t="s">
        <v>962</v>
      </c>
      <c r="AE67" s="81" t="str">
        <f>HYPERLINK("https://twitter.com/laurieciss/status/1601350599156830208")</f>
        <v>https://twitter.com/laurieciss/status/1601350599156830208</v>
      </c>
      <c r="AF67" s="78">
        <v>44904.957280092596</v>
      </c>
      <c r="AG67" s="85">
        <v>44904</v>
      </c>
      <c r="AH67" s="80" t="s">
        <v>996</v>
      </c>
      <c r="AI67" s="76"/>
      <c r="AJ67" s="76"/>
      <c r="AK67" s="76"/>
      <c r="AL67" s="76"/>
      <c r="AM67" s="76"/>
      <c r="AN67" s="76"/>
      <c r="AO67" s="76"/>
      <c r="AP67" s="76"/>
      <c r="AQ67" s="76"/>
      <c r="AR67" s="76"/>
      <c r="AS67" s="76"/>
      <c r="AT67" s="76"/>
      <c r="AU67" s="76"/>
      <c r="AV67" s="81" t="str">
        <f>HYPERLINK("https://pbs.twimg.com/profile_images/2067772740/Twitt_normal.jpg")</f>
        <v>https://pbs.twimg.com/profile_images/2067772740/Twitt_normal.jpg</v>
      </c>
      <c r="AW67" s="80" t="s">
        <v>1122</v>
      </c>
      <c r="AX67" s="80" t="s">
        <v>1122</v>
      </c>
      <c r="AY67" s="80" t="s">
        <v>1218</v>
      </c>
      <c r="AZ67" s="80" t="s">
        <v>252</v>
      </c>
      <c r="BA67" s="80" t="s">
        <v>1123</v>
      </c>
      <c r="BB67" s="80" t="s">
        <v>252</v>
      </c>
      <c r="BC67" s="80" t="s">
        <v>1123</v>
      </c>
      <c r="BD67" s="76">
        <v>548287703</v>
      </c>
      <c r="BE67" s="76"/>
      <c r="BF67" s="76"/>
      <c r="BG67" s="76"/>
      <c r="BH67" s="76"/>
      <c r="BI67" s="76"/>
      <c r="BJ67" s="76">
        <v>1</v>
      </c>
      <c r="BK67" s="75" t="str">
        <f>REPLACE(INDEX(GroupVertices[Group],MATCH("~"&amp;Edges[[#This Row],[Vertex 1]],GroupVertices[Vertex],0)),1,1,"")</f>
        <v>3</v>
      </c>
      <c r="BL67" s="75" t="str">
        <f>REPLACE(INDEX(GroupVertices[Group],MATCH("~"&amp;Edges[[#This Row],[Vertex 2]],GroupVertices[Vertex],0)),1,1,"")</f>
        <v>3</v>
      </c>
    </row>
    <row r="68" spans="1:64" ht="15">
      <c r="A68" s="61" t="s">
        <v>596</v>
      </c>
      <c r="B68" s="61" t="s">
        <v>655</v>
      </c>
      <c r="C68" s="62"/>
      <c r="D68" s="63"/>
      <c r="E68" s="64"/>
      <c r="F68" s="65"/>
      <c r="G68" s="62"/>
      <c r="H68" s="66"/>
      <c r="I68" s="67"/>
      <c r="J68" s="67"/>
      <c r="K68" s="31" t="s">
        <v>65</v>
      </c>
      <c r="L68" s="74">
        <v>68</v>
      </c>
      <c r="M68" s="74"/>
      <c r="N68" s="69"/>
      <c r="O68" s="76" t="s">
        <v>231</v>
      </c>
      <c r="P68" s="78">
        <v>44904.957280092596</v>
      </c>
      <c r="Q68" s="76" t="s">
        <v>769</v>
      </c>
      <c r="R68" s="76">
        <v>0</v>
      </c>
      <c r="S68" s="76">
        <v>0</v>
      </c>
      <c r="T68" s="76">
        <v>0</v>
      </c>
      <c r="U68" s="76">
        <v>0</v>
      </c>
      <c r="V68" s="76"/>
      <c r="W68" s="76"/>
      <c r="X68" s="76"/>
      <c r="Y68" s="76"/>
      <c r="Z68" s="76" t="s">
        <v>903</v>
      </c>
      <c r="AA68" s="76"/>
      <c r="AB68" s="76"/>
      <c r="AC68" s="80" t="s">
        <v>240</v>
      </c>
      <c r="AD68" s="76" t="s">
        <v>962</v>
      </c>
      <c r="AE68" s="81" t="str">
        <f>HYPERLINK("https://twitter.com/laurieciss/status/1601350599156830208")</f>
        <v>https://twitter.com/laurieciss/status/1601350599156830208</v>
      </c>
      <c r="AF68" s="78">
        <v>44904.957280092596</v>
      </c>
      <c r="AG68" s="85">
        <v>44904</v>
      </c>
      <c r="AH68" s="80" t="s">
        <v>996</v>
      </c>
      <c r="AI68" s="76"/>
      <c r="AJ68" s="76"/>
      <c r="AK68" s="76"/>
      <c r="AL68" s="76"/>
      <c r="AM68" s="76"/>
      <c r="AN68" s="76"/>
      <c r="AO68" s="76"/>
      <c r="AP68" s="76"/>
      <c r="AQ68" s="76"/>
      <c r="AR68" s="76"/>
      <c r="AS68" s="76"/>
      <c r="AT68" s="76"/>
      <c r="AU68" s="76"/>
      <c r="AV68" s="81" t="str">
        <f>HYPERLINK("https://pbs.twimg.com/profile_images/2067772740/Twitt_normal.jpg")</f>
        <v>https://pbs.twimg.com/profile_images/2067772740/Twitt_normal.jpg</v>
      </c>
      <c r="AW68" s="80" t="s">
        <v>1122</v>
      </c>
      <c r="AX68" s="80" t="s">
        <v>1122</v>
      </c>
      <c r="AY68" s="80" t="s">
        <v>1218</v>
      </c>
      <c r="AZ68" s="80" t="s">
        <v>252</v>
      </c>
      <c r="BA68" s="80" t="s">
        <v>1123</v>
      </c>
      <c r="BB68" s="80" t="s">
        <v>252</v>
      </c>
      <c r="BC68" s="80" t="s">
        <v>1123</v>
      </c>
      <c r="BD68" s="76">
        <v>548287703</v>
      </c>
      <c r="BE68" s="76"/>
      <c r="BF68" s="76"/>
      <c r="BG68" s="76"/>
      <c r="BH68" s="76"/>
      <c r="BI68" s="76"/>
      <c r="BJ68" s="76">
        <v>1</v>
      </c>
      <c r="BK68" s="75" t="str">
        <f>REPLACE(INDEX(GroupVertices[Group],MATCH("~"&amp;Edges[[#This Row],[Vertex 1]],GroupVertices[Vertex],0)),1,1,"")</f>
        <v>3</v>
      </c>
      <c r="BL68" s="75" t="str">
        <f>REPLACE(INDEX(GroupVertices[Group],MATCH("~"&amp;Edges[[#This Row],[Vertex 2]],GroupVertices[Vertex],0)),1,1,"")</f>
        <v>3</v>
      </c>
    </row>
    <row r="69" spans="1:64" ht="15">
      <c r="A69" s="61" t="s">
        <v>597</v>
      </c>
      <c r="B69" s="61" t="s">
        <v>597</v>
      </c>
      <c r="C69" s="62"/>
      <c r="D69" s="63"/>
      <c r="E69" s="64"/>
      <c r="F69" s="65"/>
      <c r="G69" s="62"/>
      <c r="H69" s="66"/>
      <c r="I69" s="67"/>
      <c r="J69" s="67"/>
      <c r="K69" s="31" t="s">
        <v>65</v>
      </c>
      <c r="L69" s="74">
        <v>69</v>
      </c>
      <c r="M69" s="74"/>
      <c r="N69" s="69"/>
      <c r="O69" s="76" t="s">
        <v>179</v>
      </c>
      <c r="P69" s="78">
        <v>44903.46512731481</v>
      </c>
      <c r="Q69" s="76" t="s">
        <v>770</v>
      </c>
      <c r="R69" s="76">
        <v>2</v>
      </c>
      <c r="S69" s="76">
        <v>3</v>
      </c>
      <c r="T69" s="76">
        <v>0</v>
      </c>
      <c r="U69" s="76">
        <v>1</v>
      </c>
      <c r="V69" s="76"/>
      <c r="W69" s="76"/>
      <c r="X69" s="81" t="str">
        <f>HYPERLINK("https://www.altereco.media/cW0")</f>
        <v>https://www.altereco.media/cW0</v>
      </c>
      <c r="Y69" s="76" t="s">
        <v>872</v>
      </c>
      <c r="Z69" s="76"/>
      <c r="AA69" s="76"/>
      <c r="AB69" s="76"/>
      <c r="AC69" s="80" t="s">
        <v>949</v>
      </c>
      <c r="AD69" s="76" t="s">
        <v>248</v>
      </c>
      <c r="AE69" s="81" t="str">
        <f>HYPERLINK("https://twitter.com/altereco_/status/1600809861150801922")</f>
        <v>https://twitter.com/altereco_/status/1600809861150801922</v>
      </c>
      <c r="AF69" s="78">
        <v>44903.46512731481</v>
      </c>
      <c r="AG69" s="85">
        <v>44903</v>
      </c>
      <c r="AH69" s="80" t="s">
        <v>997</v>
      </c>
      <c r="AI69" s="76" t="b">
        <v>0</v>
      </c>
      <c r="AJ69" s="76"/>
      <c r="AK69" s="76"/>
      <c r="AL69" s="76"/>
      <c r="AM69" s="76"/>
      <c r="AN69" s="76"/>
      <c r="AO69" s="76"/>
      <c r="AP69" s="76"/>
      <c r="AQ69" s="76"/>
      <c r="AR69" s="76"/>
      <c r="AS69" s="76"/>
      <c r="AT69" s="76"/>
      <c r="AU69" s="76"/>
      <c r="AV69" s="81" t="str">
        <f>HYPERLINK("https://pbs.twimg.com/profile_images/1164192706660315136/LGUyT95O_normal.jpg")</f>
        <v>https://pbs.twimg.com/profile_images/1164192706660315136/LGUyT95O_normal.jpg</v>
      </c>
      <c r="AW69" s="80" t="s">
        <v>1123</v>
      </c>
      <c r="AX69" s="80" t="s">
        <v>1123</v>
      </c>
      <c r="AY69" s="76"/>
      <c r="AZ69" s="80" t="s">
        <v>252</v>
      </c>
      <c r="BA69" s="80" t="s">
        <v>252</v>
      </c>
      <c r="BB69" s="80" t="s">
        <v>252</v>
      </c>
      <c r="BC69" s="80" t="s">
        <v>1123</v>
      </c>
      <c r="BD69" s="76">
        <v>546720037</v>
      </c>
      <c r="BE69" s="76"/>
      <c r="BF69" s="76"/>
      <c r="BG69" s="76"/>
      <c r="BH69" s="76"/>
      <c r="BI69" s="76"/>
      <c r="BJ69" s="76">
        <v>1</v>
      </c>
      <c r="BK69" s="75" t="str">
        <f>REPLACE(INDEX(GroupVertices[Group],MATCH("~"&amp;Edges[[#This Row],[Vertex 1]],GroupVertices[Vertex],0)),1,1,"")</f>
        <v>3</v>
      </c>
      <c r="BL69" s="75" t="str">
        <f>REPLACE(INDEX(GroupVertices[Group],MATCH("~"&amp;Edges[[#This Row],[Vertex 2]],GroupVertices[Vertex],0)),1,1,"")</f>
        <v>3</v>
      </c>
    </row>
    <row r="70" spans="1:64" ht="15">
      <c r="A70" s="61" t="s">
        <v>596</v>
      </c>
      <c r="B70" s="61" t="s">
        <v>597</v>
      </c>
      <c r="C70" s="62"/>
      <c r="D70" s="63"/>
      <c r="E70" s="64"/>
      <c r="F70" s="65"/>
      <c r="G70" s="62"/>
      <c r="H70" s="66"/>
      <c r="I70" s="67"/>
      <c r="J70" s="67"/>
      <c r="K70" s="31" t="s">
        <v>65</v>
      </c>
      <c r="L70" s="74">
        <v>70</v>
      </c>
      <c r="M70" s="74"/>
      <c r="N70" s="69"/>
      <c r="O70" s="76" t="s">
        <v>229</v>
      </c>
      <c r="P70" s="78">
        <v>44904.957280092596</v>
      </c>
      <c r="Q70" s="76" t="s">
        <v>769</v>
      </c>
      <c r="R70" s="76">
        <v>0</v>
      </c>
      <c r="S70" s="76">
        <v>0</v>
      </c>
      <c r="T70" s="76">
        <v>0</v>
      </c>
      <c r="U70" s="76">
        <v>0</v>
      </c>
      <c r="V70" s="76"/>
      <c r="W70" s="76"/>
      <c r="X70" s="76"/>
      <c r="Y70" s="76"/>
      <c r="Z70" s="76" t="s">
        <v>903</v>
      </c>
      <c r="AA70" s="76"/>
      <c r="AB70" s="76"/>
      <c r="AC70" s="80" t="s">
        <v>240</v>
      </c>
      <c r="AD70" s="76" t="s">
        <v>962</v>
      </c>
      <c r="AE70" s="81" t="str">
        <f>HYPERLINK("https://twitter.com/laurieciss/status/1601350599156830208")</f>
        <v>https://twitter.com/laurieciss/status/1601350599156830208</v>
      </c>
      <c r="AF70" s="78">
        <v>44904.957280092596</v>
      </c>
      <c r="AG70" s="85">
        <v>44904</v>
      </c>
      <c r="AH70" s="80" t="s">
        <v>996</v>
      </c>
      <c r="AI70" s="76"/>
      <c r="AJ70" s="76"/>
      <c r="AK70" s="76"/>
      <c r="AL70" s="76"/>
      <c r="AM70" s="76"/>
      <c r="AN70" s="76"/>
      <c r="AO70" s="76"/>
      <c r="AP70" s="76"/>
      <c r="AQ70" s="76"/>
      <c r="AR70" s="76"/>
      <c r="AS70" s="76"/>
      <c r="AT70" s="76"/>
      <c r="AU70" s="76"/>
      <c r="AV70" s="81" t="str">
        <f>HYPERLINK("https://pbs.twimg.com/profile_images/2067772740/Twitt_normal.jpg")</f>
        <v>https://pbs.twimg.com/profile_images/2067772740/Twitt_normal.jpg</v>
      </c>
      <c r="AW70" s="80" t="s">
        <v>1122</v>
      </c>
      <c r="AX70" s="80" t="s">
        <v>1122</v>
      </c>
      <c r="AY70" s="80" t="s">
        <v>1218</v>
      </c>
      <c r="AZ70" s="80" t="s">
        <v>252</v>
      </c>
      <c r="BA70" s="80" t="s">
        <v>1123</v>
      </c>
      <c r="BB70" s="80" t="s">
        <v>252</v>
      </c>
      <c r="BC70" s="80" t="s">
        <v>1123</v>
      </c>
      <c r="BD70" s="76">
        <v>548287703</v>
      </c>
      <c r="BE70" s="76"/>
      <c r="BF70" s="76"/>
      <c r="BG70" s="76"/>
      <c r="BH70" s="76"/>
      <c r="BI70" s="76"/>
      <c r="BJ70" s="76">
        <v>1</v>
      </c>
      <c r="BK70" s="75" t="str">
        <f>REPLACE(INDEX(GroupVertices[Group],MATCH("~"&amp;Edges[[#This Row],[Vertex 1]],GroupVertices[Vertex],0)),1,1,"")</f>
        <v>3</v>
      </c>
      <c r="BL70" s="75" t="str">
        <f>REPLACE(INDEX(GroupVertices[Group],MATCH("~"&amp;Edges[[#This Row],[Vertex 2]],GroupVertices[Vertex],0)),1,1,"")</f>
        <v>3</v>
      </c>
    </row>
    <row r="71" spans="1:64" ht="15">
      <c r="A71" s="61" t="s">
        <v>596</v>
      </c>
      <c r="B71" s="61" t="s">
        <v>224</v>
      </c>
      <c r="C71" s="62"/>
      <c r="D71" s="63"/>
      <c r="E71" s="64"/>
      <c r="F71" s="65"/>
      <c r="G71" s="62"/>
      <c r="H71" s="66"/>
      <c r="I71" s="67"/>
      <c r="J71" s="67"/>
      <c r="K71" s="31" t="s">
        <v>65</v>
      </c>
      <c r="L71" s="74">
        <v>71</v>
      </c>
      <c r="M71" s="74"/>
      <c r="N71" s="69"/>
      <c r="O71" s="76" t="s">
        <v>231</v>
      </c>
      <c r="P71" s="78">
        <v>44904.957280092596</v>
      </c>
      <c r="Q71" s="76" t="s">
        <v>769</v>
      </c>
      <c r="R71" s="76">
        <v>0</v>
      </c>
      <c r="S71" s="76">
        <v>0</v>
      </c>
      <c r="T71" s="76">
        <v>0</v>
      </c>
      <c r="U71" s="76">
        <v>0</v>
      </c>
      <c r="V71" s="76"/>
      <c r="W71" s="76"/>
      <c r="X71" s="76"/>
      <c r="Y71" s="76"/>
      <c r="Z71" s="76" t="s">
        <v>903</v>
      </c>
      <c r="AA71" s="76"/>
      <c r="AB71" s="76"/>
      <c r="AC71" s="80" t="s">
        <v>240</v>
      </c>
      <c r="AD71" s="76" t="s">
        <v>962</v>
      </c>
      <c r="AE71" s="81" t="str">
        <f>HYPERLINK("https://twitter.com/laurieciss/status/1601350599156830208")</f>
        <v>https://twitter.com/laurieciss/status/1601350599156830208</v>
      </c>
      <c r="AF71" s="78">
        <v>44904.957280092596</v>
      </c>
      <c r="AG71" s="85">
        <v>44904</v>
      </c>
      <c r="AH71" s="80" t="s">
        <v>996</v>
      </c>
      <c r="AI71" s="76"/>
      <c r="AJ71" s="76"/>
      <c r="AK71" s="76"/>
      <c r="AL71" s="76"/>
      <c r="AM71" s="76"/>
      <c r="AN71" s="76"/>
      <c r="AO71" s="76"/>
      <c r="AP71" s="76"/>
      <c r="AQ71" s="76"/>
      <c r="AR71" s="76"/>
      <c r="AS71" s="76"/>
      <c r="AT71" s="76"/>
      <c r="AU71" s="76"/>
      <c r="AV71" s="81" t="str">
        <f>HYPERLINK("https://pbs.twimg.com/profile_images/2067772740/Twitt_normal.jpg")</f>
        <v>https://pbs.twimg.com/profile_images/2067772740/Twitt_normal.jpg</v>
      </c>
      <c r="AW71" s="80" t="s">
        <v>1122</v>
      </c>
      <c r="AX71" s="80" t="s">
        <v>1122</v>
      </c>
      <c r="AY71" s="80" t="s">
        <v>1218</v>
      </c>
      <c r="AZ71" s="80" t="s">
        <v>252</v>
      </c>
      <c r="BA71" s="80" t="s">
        <v>1123</v>
      </c>
      <c r="BB71" s="80" t="s">
        <v>252</v>
      </c>
      <c r="BC71" s="80" t="s">
        <v>1123</v>
      </c>
      <c r="BD71" s="76">
        <v>548287703</v>
      </c>
      <c r="BE71" s="76"/>
      <c r="BF71" s="76"/>
      <c r="BG71" s="76"/>
      <c r="BH71" s="76"/>
      <c r="BI71" s="76"/>
      <c r="BJ71" s="76">
        <v>1</v>
      </c>
      <c r="BK71" s="75" t="str">
        <f>REPLACE(INDEX(GroupVertices[Group],MATCH("~"&amp;Edges[[#This Row],[Vertex 1]],GroupVertices[Vertex],0)),1,1,"")</f>
        <v>3</v>
      </c>
      <c r="BL71" s="75" t="str">
        <f>REPLACE(INDEX(GroupVertices[Group],MATCH("~"&amp;Edges[[#This Row],[Vertex 2]],GroupVertices[Vertex],0)),1,1,"")</f>
        <v>1</v>
      </c>
    </row>
    <row r="72" spans="1:64" ht="15">
      <c r="A72" s="61" t="s">
        <v>598</v>
      </c>
      <c r="B72" s="61" t="s">
        <v>224</v>
      </c>
      <c r="C72" s="62"/>
      <c r="D72" s="63"/>
      <c r="E72" s="64"/>
      <c r="F72" s="65"/>
      <c r="G72" s="62"/>
      <c r="H72" s="66"/>
      <c r="I72" s="67"/>
      <c r="J72" s="67"/>
      <c r="K72" s="31" t="s">
        <v>65</v>
      </c>
      <c r="L72" s="74">
        <v>72</v>
      </c>
      <c r="M72" s="74"/>
      <c r="N72" s="69"/>
      <c r="O72" s="76" t="s">
        <v>227</v>
      </c>
      <c r="P72" s="78">
        <v>42956.31575231482</v>
      </c>
      <c r="Q72" s="76" t="s">
        <v>771</v>
      </c>
      <c r="R72" s="76">
        <v>0</v>
      </c>
      <c r="S72" s="76">
        <v>0</v>
      </c>
      <c r="T72" s="76">
        <v>0</v>
      </c>
      <c r="U72" s="76">
        <v>0</v>
      </c>
      <c r="V72" s="76"/>
      <c r="W72" s="76"/>
      <c r="X72" s="81" t="str">
        <f>HYPERLINK("http://grwth.link/whats-growth-marketing")</f>
        <v>http://grwth.link/whats-growth-marketing</v>
      </c>
      <c r="Y72" s="76" t="s">
        <v>873</v>
      </c>
      <c r="Z72" s="76" t="s">
        <v>224</v>
      </c>
      <c r="AA72" s="76"/>
      <c r="AB72" s="76"/>
      <c r="AC72" s="80" t="s">
        <v>950</v>
      </c>
      <c r="AD72" s="76" t="s">
        <v>244</v>
      </c>
      <c r="AE72" s="81" t="str">
        <f>HYPERLINK("https://twitter.com/growthmktconf/status/895186556897689602")</f>
        <v>https://twitter.com/growthmktconf/status/895186556897689602</v>
      </c>
      <c r="AF72" s="78">
        <v>42956.31575231482</v>
      </c>
      <c r="AG72" s="85">
        <v>42956</v>
      </c>
      <c r="AH72" s="80" t="s">
        <v>998</v>
      </c>
      <c r="AI72" s="76" t="b">
        <v>0</v>
      </c>
      <c r="AJ72" s="76"/>
      <c r="AK72" s="76"/>
      <c r="AL72" s="76"/>
      <c r="AM72" s="76"/>
      <c r="AN72" s="76"/>
      <c r="AO72" s="76"/>
      <c r="AP72" s="76"/>
      <c r="AQ72" s="76"/>
      <c r="AR72" s="76"/>
      <c r="AS72" s="76"/>
      <c r="AT72" s="76"/>
      <c r="AU72" s="76"/>
      <c r="AV72" s="81" t="str">
        <f>HYPERLINK("https://pbs.twimg.com/profile_images/1094193552698077185/_I-5pm2s_normal.jpg")</f>
        <v>https://pbs.twimg.com/profile_images/1094193552698077185/_I-5pm2s_normal.jpg</v>
      </c>
      <c r="AW72" s="80" t="s">
        <v>1124</v>
      </c>
      <c r="AX72" s="80" t="s">
        <v>1124</v>
      </c>
      <c r="AY72" s="80" t="s">
        <v>251</v>
      </c>
      <c r="AZ72" s="80" t="s">
        <v>252</v>
      </c>
      <c r="BA72" s="80" t="s">
        <v>252</v>
      </c>
      <c r="BB72" s="80" t="s">
        <v>252</v>
      </c>
      <c r="BC72" s="80" t="s">
        <v>1124</v>
      </c>
      <c r="BD72" s="76">
        <v>3278888852</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row>
    <row r="73" spans="1:64" ht="15">
      <c r="A73" s="61" t="s">
        <v>599</v>
      </c>
      <c r="B73" s="61" t="s">
        <v>224</v>
      </c>
      <c r="C73" s="62"/>
      <c r="D73" s="63"/>
      <c r="E73" s="64"/>
      <c r="F73" s="65"/>
      <c r="G73" s="62"/>
      <c r="H73" s="66"/>
      <c r="I73" s="67"/>
      <c r="J73" s="67"/>
      <c r="K73" s="31" t="s">
        <v>65</v>
      </c>
      <c r="L73" s="74">
        <v>73</v>
      </c>
      <c r="M73" s="74"/>
      <c r="N73" s="69"/>
      <c r="O73" s="76" t="s">
        <v>227</v>
      </c>
      <c r="P73" s="78">
        <v>42956.33150462963</v>
      </c>
      <c r="Q73" s="76" t="s">
        <v>772</v>
      </c>
      <c r="R73" s="76">
        <v>0</v>
      </c>
      <c r="S73" s="76">
        <v>0</v>
      </c>
      <c r="T73" s="76">
        <v>0</v>
      </c>
      <c r="U73" s="76">
        <v>0</v>
      </c>
      <c r="V73" s="76"/>
      <c r="W73" s="76"/>
      <c r="X73" s="76"/>
      <c r="Y73" s="76"/>
      <c r="Z73" s="76" t="s">
        <v>224</v>
      </c>
      <c r="AA73" s="76"/>
      <c r="AB73" s="76"/>
      <c r="AC73" s="80" t="s">
        <v>951</v>
      </c>
      <c r="AD73" s="76" t="s">
        <v>244</v>
      </c>
      <c r="AE73" s="81" t="str">
        <f>HYPERLINK("https://twitter.com/slidesource/status/895192265190256641")</f>
        <v>https://twitter.com/slidesource/status/895192265190256641</v>
      </c>
      <c r="AF73" s="78">
        <v>42956.33150462963</v>
      </c>
      <c r="AG73" s="85">
        <v>42956</v>
      </c>
      <c r="AH73" s="80" t="s">
        <v>999</v>
      </c>
      <c r="AI73" s="76"/>
      <c r="AJ73" s="76"/>
      <c r="AK73" s="76"/>
      <c r="AL73" s="76"/>
      <c r="AM73" s="76"/>
      <c r="AN73" s="76"/>
      <c r="AO73" s="76"/>
      <c r="AP73" s="76"/>
      <c r="AQ73" s="76"/>
      <c r="AR73" s="76"/>
      <c r="AS73" s="76"/>
      <c r="AT73" s="76"/>
      <c r="AU73" s="76"/>
      <c r="AV73" s="81" t="str">
        <f>HYPERLINK("https://pbs.twimg.com/profile_images/1293970537878880259/4vWgJzMG_normal.jpg")</f>
        <v>https://pbs.twimg.com/profile_images/1293970537878880259/4vWgJzMG_normal.jpg</v>
      </c>
      <c r="AW73" s="80" t="s">
        <v>1125</v>
      </c>
      <c r="AX73" s="80" t="s">
        <v>1125</v>
      </c>
      <c r="AY73" s="80" t="s">
        <v>251</v>
      </c>
      <c r="AZ73" s="80" t="s">
        <v>252</v>
      </c>
      <c r="BA73" s="80" t="s">
        <v>252</v>
      </c>
      <c r="BB73" s="80" t="s">
        <v>252</v>
      </c>
      <c r="BC73" s="80" t="s">
        <v>1125</v>
      </c>
      <c r="BD73" s="76">
        <v>2792438832</v>
      </c>
      <c r="BE73" s="76"/>
      <c r="BF73" s="76"/>
      <c r="BG73" s="76"/>
      <c r="BH73" s="76"/>
      <c r="BI73" s="76"/>
      <c r="BJ73" s="76">
        <v>1</v>
      </c>
      <c r="BK73" s="75" t="str">
        <f>REPLACE(INDEX(GroupVertices[Group],MATCH("~"&amp;Edges[[#This Row],[Vertex 1]],GroupVertices[Vertex],0)),1,1,"")</f>
        <v>1</v>
      </c>
      <c r="BL73" s="75" t="str">
        <f>REPLACE(INDEX(GroupVertices[Group],MATCH("~"&amp;Edges[[#This Row],[Vertex 2]],GroupVertices[Vertex],0)),1,1,"")</f>
        <v>1</v>
      </c>
    </row>
    <row r="74" spans="1:64" ht="15">
      <c r="A74" s="61" t="s">
        <v>600</v>
      </c>
      <c r="B74" s="61" t="s">
        <v>224</v>
      </c>
      <c r="C74" s="62"/>
      <c r="D74" s="63"/>
      <c r="E74" s="64"/>
      <c r="F74" s="65"/>
      <c r="G74" s="62"/>
      <c r="H74" s="66"/>
      <c r="I74" s="67"/>
      <c r="J74" s="67"/>
      <c r="K74" s="31" t="s">
        <v>65</v>
      </c>
      <c r="L74" s="74">
        <v>74</v>
      </c>
      <c r="M74" s="74"/>
      <c r="N74" s="69"/>
      <c r="O74" s="76" t="s">
        <v>227</v>
      </c>
      <c r="P74" s="78">
        <v>42954.452893518515</v>
      </c>
      <c r="Q74" s="76" t="s">
        <v>773</v>
      </c>
      <c r="R74" s="76">
        <v>0</v>
      </c>
      <c r="S74" s="76">
        <v>0</v>
      </c>
      <c r="T74" s="76">
        <v>0</v>
      </c>
      <c r="U74" s="76">
        <v>0</v>
      </c>
      <c r="V74" s="76"/>
      <c r="W74" s="80" t="s">
        <v>673</v>
      </c>
      <c r="X74" s="81" t="str">
        <f>HYPERLINK("http://bit.ly/ShanaHaynie")</f>
        <v>http://bit.ly/ShanaHaynie</v>
      </c>
      <c r="Y74" s="76" t="s">
        <v>233</v>
      </c>
      <c r="Z74" s="76" t="s">
        <v>224</v>
      </c>
      <c r="AA74" s="76"/>
      <c r="AB74" s="76"/>
      <c r="AC74" s="80" t="s">
        <v>950</v>
      </c>
      <c r="AD74" s="76" t="s">
        <v>244</v>
      </c>
      <c r="AE74" s="81" t="str">
        <f>HYPERLINK("https://twitter.com/artworksbyshana/status/894511477939462144")</f>
        <v>https://twitter.com/artworksbyshana/status/894511477939462144</v>
      </c>
      <c r="AF74" s="78">
        <v>42954.452893518515</v>
      </c>
      <c r="AG74" s="85">
        <v>42954</v>
      </c>
      <c r="AH74" s="80" t="s">
        <v>1000</v>
      </c>
      <c r="AI74" s="76" t="b">
        <v>0</v>
      </c>
      <c r="AJ74" s="76"/>
      <c r="AK74" s="76"/>
      <c r="AL74" s="76"/>
      <c r="AM74" s="76"/>
      <c r="AN74" s="76"/>
      <c r="AO74" s="76"/>
      <c r="AP74" s="76"/>
      <c r="AQ74" s="76"/>
      <c r="AR74" s="76"/>
      <c r="AS74" s="76"/>
      <c r="AT74" s="76"/>
      <c r="AU74" s="76"/>
      <c r="AV74" s="81" t="str">
        <f>HYPERLINK("https://pbs.twimg.com/profile_images/1283814083712565248/fAfZbOhm_normal.jpg")</f>
        <v>https://pbs.twimg.com/profile_images/1283814083712565248/fAfZbOhm_normal.jpg</v>
      </c>
      <c r="AW74" s="80" t="s">
        <v>1126</v>
      </c>
      <c r="AX74" s="80" t="s">
        <v>1126</v>
      </c>
      <c r="AY74" s="80" t="s">
        <v>251</v>
      </c>
      <c r="AZ74" s="80" t="s">
        <v>252</v>
      </c>
      <c r="BA74" s="80" t="s">
        <v>252</v>
      </c>
      <c r="BB74" s="80" t="s">
        <v>252</v>
      </c>
      <c r="BC74" s="80" t="s">
        <v>1126</v>
      </c>
      <c r="BD74" s="76">
        <v>161532559</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row>
    <row r="75" spans="1:64" ht="15">
      <c r="A75" s="61" t="s">
        <v>601</v>
      </c>
      <c r="B75" s="61" t="s">
        <v>690</v>
      </c>
      <c r="C75" s="62"/>
      <c r="D75" s="63"/>
      <c r="E75" s="64"/>
      <c r="F75" s="65"/>
      <c r="G75" s="62"/>
      <c r="H75" s="66"/>
      <c r="I75" s="67"/>
      <c r="J75" s="67"/>
      <c r="K75" s="31" t="s">
        <v>65</v>
      </c>
      <c r="L75" s="74">
        <v>75</v>
      </c>
      <c r="M75" s="74"/>
      <c r="N75" s="69"/>
      <c r="O75" s="76" t="s">
        <v>227</v>
      </c>
      <c r="P75" s="78">
        <v>42898.53925925926</v>
      </c>
      <c r="Q75" s="76" t="s">
        <v>774</v>
      </c>
      <c r="R75" s="76">
        <v>0</v>
      </c>
      <c r="S75" s="76">
        <v>0</v>
      </c>
      <c r="T75" s="76">
        <v>0</v>
      </c>
      <c r="U75" s="76">
        <v>0</v>
      </c>
      <c r="V75" s="76"/>
      <c r="W75" s="76"/>
      <c r="X75" s="81" t="str">
        <f>HYPERLINK("https://commun.it/thank-you/?aid=thankyou134")</f>
        <v>https://commun.it/thank-you/?aid=thankyou134</v>
      </c>
      <c r="Y75" s="76" t="s">
        <v>874</v>
      </c>
      <c r="Z75" s="76" t="s">
        <v>904</v>
      </c>
      <c r="AA75" s="76"/>
      <c r="AB75" s="76"/>
      <c r="AC75" s="80" t="s">
        <v>952</v>
      </c>
      <c r="AD75" s="76" t="s">
        <v>244</v>
      </c>
      <c r="AE75" s="81" t="str">
        <f>HYPERLINK("https://twitter.com/gvalan/status/874249058516434944")</f>
        <v>https://twitter.com/gvalan/status/874249058516434944</v>
      </c>
      <c r="AF75" s="78">
        <v>42898.53925925926</v>
      </c>
      <c r="AG75" s="85">
        <v>42898</v>
      </c>
      <c r="AH75" s="80" t="s">
        <v>1001</v>
      </c>
      <c r="AI75" s="76" t="b">
        <v>0</v>
      </c>
      <c r="AJ75" s="76"/>
      <c r="AK75" s="76"/>
      <c r="AL75" s="76"/>
      <c r="AM75" s="76"/>
      <c r="AN75" s="76"/>
      <c r="AO75" s="76"/>
      <c r="AP75" s="76"/>
      <c r="AQ75" s="76"/>
      <c r="AR75" s="76"/>
      <c r="AS75" s="76"/>
      <c r="AT75" s="76"/>
      <c r="AU75" s="76"/>
      <c r="AV75" s="81" t="str">
        <f>HYPERLINK("https://pbs.twimg.com/profile_images/1430661185435754496/Tq0Bqq2u_normal.jpg")</f>
        <v>https://pbs.twimg.com/profile_images/1430661185435754496/Tq0Bqq2u_normal.jpg</v>
      </c>
      <c r="AW75" s="80" t="s">
        <v>1127</v>
      </c>
      <c r="AX75" s="80" t="s">
        <v>1127</v>
      </c>
      <c r="AY75" s="76"/>
      <c r="AZ75" s="80" t="s">
        <v>252</v>
      </c>
      <c r="BA75" s="80" t="s">
        <v>252</v>
      </c>
      <c r="BB75" s="80" t="s">
        <v>252</v>
      </c>
      <c r="BC75" s="80" t="s">
        <v>1127</v>
      </c>
      <c r="BD75" s="76">
        <v>115991458</v>
      </c>
      <c r="BE75" s="76"/>
      <c r="BF75" s="76"/>
      <c r="BG75" s="76"/>
      <c r="BH75" s="76"/>
      <c r="BI75" s="76"/>
      <c r="BJ75" s="76">
        <v>1</v>
      </c>
      <c r="BK75" s="75" t="str">
        <f>REPLACE(INDEX(GroupVertices[Group],MATCH("~"&amp;Edges[[#This Row],[Vertex 1]],GroupVertices[Vertex],0)),1,1,"")</f>
        <v>16</v>
      </c>
      <c r="BL75" s="75" t="str">
        <f>REPLACE(INDEX(GroupVertices[Group],MATCH("~"&amp;Edges[[#This Row],[Vertex 2]],GroupVertices[Vertex],0)),1,1,"")</f>
        <v>16</v>
      </c>
    </row>
    <row r="76" spans="1:64" ht="15">
      <c r="A76" s="61" t="s">
        <v>601</v>
      </c>
      <c r="B76" s="61" t="s">
        <v>224</v>
      </c>
      <c r="C76" s="62"/>
      <c r="D76" s="63"/>
      <c r="E76" s="64"/>
      <c r="F76" s="65"/>
      <c r="G76" s="62"/>
      <c r="H76" s="66"/>
      <c r="I76" s="67"/>
      <c r="J76" s="67"/>
      <c r="K76" s="31" t="s">
        <v>65</v>
      </c>
      <c r="L76" s="74">
        <v>76</v>
      </c>
      <c r="M76" s="74"/>
      <c r="N76" s="69"/>
      <c r="O76" s="76" t="s">
        <v>227</v>
      </c>
      <c r="P76" s="78">
        <v>42898.53925925926</v>
      </c>
      <c r="Q76" s="76" t="s">
        <v>774</v>
      </c>
      <c r="R76" s="76">
        <v>0</v>
      </c>
      <c r="S76" s="76">
        <v>0</v>
      </c>
      <c r="T76" s="76">
        <v>0</v>
      </c>
      <c r="U76" s="76">
        <v>0</v>
      </c>
      <c r="V76" s="76"/>
      <c r="W76" s="76"/>
      <c r="X76" s="81" t="str">
        <f>HYPERLINK("https://commun.it/thank-you/?aid=thankyou134")</f>
        <v>https://commun.it/thank-you/?aid=thankyou134</v>
      </c>
      <c r="Y76" s="76" t="s">
        <v>874</v>
      </c>
      <c r="Z76" s="76" t="s">
        <v>904</v>
      </c>
      <c r="AA76" s="76"/>
      <c r="AB76" s="76"/>
      <c r="AC76" s="80" t="s">
        <v>952</v>
      </c>
      <c r="AD76" s="76" t="s">
        <v>244</v>
      </c>
      <c r="AE76" s="81" t="str">
        <f>HYPERLINK("https://twitter.com/gvalan/status/874249058516434944")</f>
        <v>https://twitter.com/gvalan/status/874249058516434944</v>
      </c>
      <c r="AF76" s="78">
        <v>42898.53925925926</v>
      </c>
      <c r="AG76" s="85">
        <v>42898</v>
      </c>
      <c r="AH76" s="80" t="s">
        <v>1001</v>
      </c>
      <c r="AI76" s="76" t="b">
        <v>0</v>
      </c>
      <c r="AJ76" s="76"/>
      <c r="AK76" s="76"/>
      <c r="AL76" s="76"/>
      <c r="AM76" s="76"/>
      <c r="AN76" s="76"/>
      <c r="AO76" s="76"/>
      <c r="AP76" s="76"/>
      <c r="AQ76" s="76"/>
      <c r="AR76" s="76"/>
      <c r="AS76" s="76"/>
      <c r="AT76" s="76"/>
      <c r="AU76" s="76"/>
      <c r="AV76" s="81" t="str">
        <f>HYPERLINK("https://pbs.twimg.com/profile_images/1430661185435754496/Tq0Bqq2u_normal.jpg")</f>
        <v>https://pbs.twimg.com/profile_images/1430661185435754496/Tq0Bqq2u_normal.jpg</v>
      </c>
      <c r="AW76" s="80" t="s">
        <v>1127</v>
      </c>
      <c r="AX76" s="80" t="s">
        <v>1127</v>
      </c>
      <c r="AY76" s="76"/>
      <c r="AZ76" s="80" t="s">
        <v>252</v>
      </c>
      <c r="BA76" s="80" t="s">
        <v>252</v>
      </c>
      <c r="BB76" s="80" t="s">
        <v>252</v>
      </c>
      <c r="BC76" s="80" t="s">
        <v>1127</v>
      </c>
      <c r="BD76" s="76">
        <v>115991458</v>
      </c>
      <c r="BE76" s="76"/>
      <c r="BF76" s="76"/>
      <c r="BG76" s="76"/>
      <c r="BH76" s="76"/>
      <c r="BI76" s="76"/>
      <c r="BJ76" s="76">
        <v>1</v>
      </c>
      <c r="BK76" s="75" t="str">
        <f>REPLACE(INDEX(GroupVertices[Group],MATCH("~"&amp;Edges[[#This Row],[Vertex 1]],GroupVertices[Vertex],0)),1,1,"")</f>
        <v>16</v>
      </c>
      <c r="BL76" s="75" t="str">
        <f>REPLACE(INDEX(GroupVertices[Group],MATCH("~"&amp;Edges[[#This Row],[Vertex 2]],GroupVertices[Vertex],0)),1,1,"")</f>
        <v>1</v>
      </c>
    </row>
    <row r="77" spans="1:64" ht="15">
      <c r="A77" s="61" t="s">
        <v>602</v>
      </c>
      <c r="B77" s="61" t="s">
        <v>224</v>
      </c>
      <c r="C77" s="62"/>
      <c r="D77" s="63"/>
      <c r="E77" s="64"/>
      <c r="F77" s="65"/>
      <c r="G77" s="62"/>
      <c r="H77" s="66"/>
      <c r="I77" s="67"/>
      <c r="J77" s="67"/>
      <c r="K77" s="31" t="s">
        <v>65</v>
      </c>
      <c r="L77" s="74">
        <v>77</v>
      </c>
      <c r="M77" s="74"/>
      <c r="N77" s="69"/>
      <c r="O77" s="76" t="s">
        <v>228</v>
      </c>
      <c r="P77" s="78">
        <v>44356.76767361111</v>
      </c>
      <c r="Q77" s="76" t="s">
        <v>775</v>
      </c>
      <c r="R77" s="76">
        <v>2</v>
      </c>
      <c r="S77" s="76">
        <v>2</v>
      </c>
      <c r="T77" s="76">
        <v>0</v>
      </c>
      <c r="U77" s="76">
        <v>0</v>
      </c>
      <c r="V77" s="76"/>
      <c r="W77" s="80" t="s">
        <v>837</v>
      </c>
      <c r="X77" s="76"/>
      <c r="Y77" s="76"/>
      <c r="Z77" s="76" t="s">
        <v>224</v>
      </c>
      <c r="AA77" s="76"/>
      <c r="AB77" s="76"/>
      <c r="AC77" s="80" t="s">
        <v>241</v>
      </c>
      <c r="AD77" s="76" t="s">
        <v>245</v>
      </c>
      <c r="AE77" s="81" t="str">
        <f>HYPERLINK("https://twitter.com/chandra_sekhare/status/1402693340710117377")</f>
        <v>https://twitter.com/chandra_sekhare/status/1402693340710117377</v>
      </c>
      <c r="AF77" s="78">
        <v>44356.76767361111</v>
      </c>
      <c r="AG77" s="85">
        <v>44356</v>
      </c>
      <c r="AH77" s="80" t="s">
        <v>1002</v>
      </c>
      <c r="AI77" s="76"/>
      <c r="AJ77" s="76"/>
      <c r="AK77" s="76"/>
      <c r="AL77" s="76"/>
      <c r="AM77" s="76"/>
      <c r="AN77" s="76"/>
      <c r="AO77" s="76"/>
      <c r="AP77" s="76"/>
      <c r="AQ77" s="76"/>
      <c r="AR77" s="76"/>
      <c r="AS77" s="76"/>
      <c r="AT77" s="76"/>
      <c r="AU77" s="76"/>
      <c r="AV77" s="81" t="str">
        <f>HYPERLINK("https://pbs.twimg.com/profile_images/1581987060390367232/4N2HfJLX_normal.jpg")</f>
        <v>https://pbs.twimg.com/profile_images/1581987060390367232/4N2HfJLX_normal.jpg</v>
      </c>
      <c r="AW77" s="80" t="s">
        <v>1128</v>
      </c>
      <c r="AX77" s="80" t="s">
        <v>1186</v>
      </c>
      <c r="AY77" s="80" t="s">
        <v>251</v>
      </c>
      <c r="AZ77" s="80" t="s">
        <v>1186</v>
      </c>
      <c r="BA77" s="80" t="s">
        <v>252</v>
      </c>
      <c r="BB77" s="80" t="s">
        <v>252</v>
      </c>
      <c r="BC77" s="80" t="s">
        <v>1186</v>
      </c>
      <c r="BD77" s="76">
        <v>162659925</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row>
    <row r="78" spans="1:64" ht="15">
      <c r="A78" s="61" t="s">
        <v>603</v>
      </c>
      <c r="B78" s="61" t="s">
        <v>224</v>
      </c>
      <c r="C78" s="62"/>
      <c r="D78" s="63"/>
      <c r="E78" s="64"/>
      <c r="F78" s="65"/>
      <c r="G78" s="62"/>
      <c r="H78" s="66"/>
      <c r="I78" s="67"/>
      <c r="J78" s="67"/>
      <c r="K78" s="31" t="s">
        <v>65</v>
      </c>
      <c r="L78" s="74">
        <v>78</v>
      </c>
      <c r="M78" s="74"/>
      <c r="N78" s="69"/>
      <c r="O78" s="76" t="s">
        <v>227</v>
      </c>
      <c r="P78" s="78">
        <v>41732.53335648148</v>
      </c>
      <c r="Q78" s="76" t="s">
        <v>776</v>
      </c>
      <c r="R78" s="76">
        <v>1</v>
      </c>
      <c r="S78" s="76">
        <v>0</v>
      </c>
      <c r="T78" s="76">
        <v>0</v>
      </c>
      <c r="U78" s="76">
        <v>0</v>
      </c>
      <c r="V78" s="76"/>
      <c r="W78" s="76"/>
      <c r="X78" s="81" t="str">
        <f>HYPERLINK("http://www.inovies.com/ubuntu-smartphone-wont-be-as-open-as-they-say-18-inovies.html")</f>
        <v>http://www.inovies.com/ubuntu-smartphone-wont-be-as-open-as-they-say-18-inovies.html</v>
      </c>
      <c r="Y78" s="76" t="s">
        <v>236</v>
      </c>
      <c r="Z78" s="76" t="s">
        <v>224</v>
      </c>
      <c r="AA78" s="76"/>
      <c r="AB78" s="76"/>
      <c r="AC78" s="80" t="s">
        <v>946</v>
      </c>
      <c r="AD78" s="76" t="s">
        <v>244</v>
      </c>
      <c r="AE78" s="81" t="str">
        <f>HYPERLINK("https://twitter.com/rameshdudala/status/451702667710980097")</f>
        <v>https://twitter.com/rameshdudala/status/451702667710980097</v>
      </c>
      <c r="AF78" s="78">
        <v>41732.53335648148</v>
      </c>
      <c r="AG78" s="85">
        <v>41732</v>
      </c>
      <c r="AH78" s="80" t="s">
        <v>1003</v>
      </c>
      <c r="AI78" s="76" t="b">
        <v>0</v>
      </c>
      <c r="AJ78" s="76"/>
      <c r="AK78" s="76"/>
      <c r="AL78" s="76"/>
      <c r="AM78" s="76"/>
      <c r="AN78" s="76"/>
      <c r="AO78" s="76"/>
      <c r="AP78" s="76"/>
      <c r="AQ78" s="76"/>
      <c r="AR78" s="76"/>
      <c r="AS78" s="76"/>
      <c r="AT78" s="76"/>
      <c r="AU78" s="76"/>
      <c r="AV78" s="81" t="str">
        <f>HYPERLINK("https://pbs.twimg.com/profile_images/3151993004/9e73269faab0ce782dd7dce36b95c1f8_normal.jpeg")</f>
        <v>https://pbs.twimg.com/profile_images/3151993004/9e73269faab0ce782dd7dce36b95c1f8_normal.jpeg</v>
      </c>
      <c r="AW78" s="80" t="s">
        <v>1129</v>
      </c>
      <c r="AX78" s="80" t="s">
        <v>1129</v>
      </c>
      <c r="AY78" s="76"/>
      <c r="AZ78" s="80" t="s">
        <v>252</v>
      </c>
      <c r="BA78" s="80" t="s">
        <v>252</v>
      </c>
      <c r="BB78" s="80" t="s">
        <v>252</v>
      </c>
      <c r="BC78" s="80" t="s">
        <v>1129</v>
      </c>
      <c r="BD78" s="76">
        <v>226829792</v>
      </c>
      <c r="BE78" s="76"/>
      <c r="BF78" s="76"/>
      <c r="BG78" s="76"/>
      <c r="BH78" s="76"/>
      <c r="BI78" s="76"/>
      <c r="BJ78" s="76">
        <v>35</v>
      </c>
      <c r="BK78" s="75" t="str">
        <f>REPLACE(INDEX(GroupVertices[Group],MATCH("~"&amp;Edges[[#This Row],[Vertex 1]],GroupVertices[Vertex],0)),1,1,"")</f>
        <v>1</v>
      </c>
      <c r="BL78" s="75" t="str">
        <f>REPLACE(INDEX(GroupVertices[Group],MATCH("~"&amp;Edges[[#This Row],[Vertex 2]],GroupVertices[Vertex],0)),1,1,"")</f>
        <v>1</v>
      </c>
    </row>
    <row r="79" spans="1:64" ht="15">
      <c r="A79" s="61" t="s">
        <v>603</v>
      </c>
      <c r="B79" s="61" t="s">
        <v>603</v>
      </c>
      <c r="C79" s="62"/>
      <c r="D79" s="63"/>
      <c r="E79" s="64"/>
      <c r="F79" s="65"/>
      <c r="G79" s="62"/>
      <c r="H79" s="66"/>
      <c r="I79" s="67"/>
      <c r="J79" s="67"/>
      <c r="K79" s="31" t="s">
        <v>65</v>
      </c>
      <c r="L79" s="74">
        <v>79</v>
      </c>
      <c r="M79" s="74"/>
      <c r="N79" s="69"/>
      <c r="O79" s="76" t="s">
        <v>228</v>
      </c>
      <c r="P79" s="78">
        <v>41731.57046296296</v>
      </c>
      <c r="Q79" s="76" t="s">
        <v>777</v>
      </c>
      <c r="R79" s="76">
        <v>1</v>
      </c>
      <c r="S79" s="76">
        <v>0</v>
      </c>
      <c r="T79" s="76">
        <v>0</v>
      </c>
      <c r="U79" s="76">
        <v>0</v>
      </c>
      <c r="V79" s="76"/>
      <c r="W79" s="76"/>
      <c r="X79" s="76"/>
      <c r="Y79" s="76"/>
      <c r="Z79" s="76" t="s">
        <v>224</v>
      </c>
      <c r="AA79" s="76"/>
      <c r="AB79" s="76"/>
      <c r="AC79" s="80" t="s">
        <v>947</v>
      </c>
      <c r="AD79" s="76" t="s">
        <v>244</v>
      </c>
      <c r="AE79" s="81" t="str">
        <f>HYPERLINK("https://twitter.com/rameshdudala/status/451353724523659264")</f>
        <v>https://twitter.com/rameshdudala/status/451353724523659264</v>
      </c>
      <c r="AF79" s="78">
        <v>41731.57046296296</v>
      </c>
      <c r="AG79" s="85">
        <v>41731</v>
      </c>
      <c r="AH79" s="80" t="s">
        <v>1005</v>
      </c>
      <c r="AI79" s="76"/>
      <c r="AJ79" s="76"/>
      <c r="AK79" s="76"/>
      <c r="AL79" s="76"/>
      <c r="AM79" s="76"/>
      <c r="AN79" s="76"/>
      <c r="AO79" s="76"/>
      <c r="AP79" s="76"/>
      <c r="AQ79" s="76"/>
      <c r="AR79" s="76"/>
      <c r="AS79" s="76"/>
      <c r="AT79" s="76"/>
      <c r="AU79" s="76"/>
      <c r="AV79" s="81" t="str">
        <f>HYPERLINK("https://pbs.twimg.com/profile_images/3151993004/9e73269faab0ce782dd7dce36b95c1f8_normal.jpeg")</f>
        <v>https://pbs.twimg.com/profile_images/3151993004/9e73269faab0ce782dd7dce36b95c1f8_normal.jpeg</v>
      </c>
      <c r="AW79" s="80" t="s">
        <v>1130</v>
      </c>
      <c r="AX79" s="80" t="s">
        <v>1131</v>
      </c>
      <c r="AY79" s="80" t="s">
        <v>1219</v>
      </c>
      <c r="AZ79" s="80" t="s">
        <v>1131</v>
      </c>
      <c r="BA79" s="80" t="s">
        <v>252</v>
      </c>
      <c r="BB79" s="80" t="s">
        <v>252</v>
      </c>
      <c r="BC79" s="80" t="s">
        <v>1131</v>
      </c>
      <c r="BD79" s="76">
        <v>226829792</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row>
    <row r="80" spans="1:64" ht="15">
      <c r="A80" s="61" t="s">
        <v>604</v>
      </c>
      <c r="B80" s="61" t="s">
        <v>224</v>
      </c>
      <c r="C80" s="62"/>
      <c r="D80" s="63"/>
      <c r="E80" s="64"/>
      <c r="F80" s="65"/>
      <c r="G80" s="62"/>
      <c r="H80" s="66"/>
      <c r="I80" s="67"/>
      <c r="J80" s="67"/>
      <c r="K80" s="31" t="s">
        <v>65</v>
      </c>
      <c r="L80" s="74">
        <v>80</v>
      </c>
      <c r="M80" s="74"/>
      <c r="N80" s="69"/>
      <c r="O80" s="76" t="s">
        <v>228</v>
      </c>
      <c r="P80" s="78">
        <v>44357.118738425925</v>
      </c>
      <c r="Q80" s="76" t="s">
        <v>775</v>
      </c>
      <c r="R80" s="76">
        <v>2</v>
      </c>
      <c r="S80" s="76">
        <v>4</v>
      </c>
      <c r="T80" s="76">
        <v>0</v>
      </c>
      <c r="U80" s="76">
        <v>0</v>
      </c>
      <c r="V80" s="76"/>
      <c r="W80" s="80" t="s">
        <v>837</v>
      </c>
      <c r="X80" s="76"/>
      <c r="Y80" s="76"/>
      <c r="Z80" s="76" t="s">
        <v>224</v>
      </c>
      <c r="AA80" s="76"/>
      <c r="AB80" s="76"/>
      <c r="AC80" s="80" t="s">
        <v>240</v>
      </c>
      <c r="AD80" s="76" t="s">
        <v>245</v>
      </c>
      <c r="AE80" s="81" t="str">
        <f>HYPERLINK("https://twitter.com/aim_pvsk/status/1402820560187396097")</f>
        <v>https://twitter.com/aim_pvsk/status/1402820560187396097</v>
      </c>
      <c r="AF80" s="78">
        <v>44357.118738425925</v>
      </c>
      <c r="AG80" s="85">
        <v>44357</v>
      </c>
      <c r="AH80" s="80" t="s">
        <v>1006</v>
      </c>
      <c r="AI80" s="76"/>
      <c r="AJ80" s="76" t="s">
        <v>1057</v>
      </c>
      <c r="AK80" s="76" t="s">
        <v>291</v>
      </c>
      <c r="AL80" s="76" t="s">
        <v>1058</v>
      </c>
      <c r="AM80" s="76" t="s">
        <v>1061</v>
      </c>
      <c r="AN80" s="76" t="s">
        <v>1065</v>
      </c>
      <c r="AO80" s="76" t="s">
        <v>1068</v>
      </c>
      <c r="AP80" s="76" t="s">
        <v>250</v>
      </c>
      <c r="AQ80" s="76"/>
      <c r="AR80" s="76"/>
      <c r="AS80" s="76"/>
      <c r="AT80" s="76"/>
      <c r="AU80" s="76"/>
      <c r="AV80" s="81" t="str">
        <f>HYPERLINK("https://pbs.twimg.com/profile_images/1402816470212481025/vdLEQOzr_normal.jpg")</f>
        <v>https://pbs.twimg.com/profile_images/1402816470212481025/vdLEQOzr_normal.jpg</v>
      </c>
      <c r="AW80" s="80" t="s">
        <v>1132</v>
      </c>
      <c r="AX80" s="80" t="s">
        <v>1186</v>
      </c>
      <c r="AY80" s="80" t="s">
        <v>251</v>
      </c>
      <c r="AZ80" s="80" t="s">
        <v>1186</v>
      </c>
      <c r="BA80" s="80" t="s">
        <v>252</v>
      </c>
      <c r="BB80" s="80" t="s">
        <v>252</v>
      </c>
      <c r="BC80" s="80" t="s">
        <v>1186</v>
      </c>
      <c r="BD80" s="80" t="s">
        <v>1230</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row>
    <row r="81" spans="1:64" ht="15">
      <c r="A81" s="61" t="s">
        <v>605</v>
      </c>
      <c r="B81" s="61" t="s">
        <v>224</v>
      </c>
      <c r="C81" s="62"/>
      <c r="D81" s="63"/>
      <c r="E81" s="64"/>
      <c r="F81" s="65"/>
      <c r="G81" s="62"/>
      <c r="H81" s="66"/>
      <c r="I81" s="67"/>
      <c r="J81" s="67"/>
      <c r="K81" s="31" t="s">
        <v>65</v>
      </c>
      <c r="L81" s="74">
        <v>81</v>
      </c>
      <c r="M81" s="74"/>
      <c r="N81" s="69"/>
      <c r="O81" s="76" t="s">
        <v>227</v>
      </c>
      <c r="P81" s="78">
        <v>42956.303194444445</v>
      </c>
      <c r="Q81" s="76" t="s">
        <v>778</v>
      </c>
      <c r="R81" s="76">
        <v>0</v>
      </c>
      <c r="S81" s="76">
        <v>0</v>
      </c>
      <c r="T81" s="76">
        <v>0</v>
      </c>
      <c r="U81" s="76">
        <v>0</v>
      </c>
      <c r="V81" s="76"/>
      <c r="W81" s="76"/>
      <c r="X81" s="76"/>
      <c r="Y81" s="76"/>
      <c r="Z81" s="76" t="s">
        <v>224</v>
      </c>
      <c r="AA81" s="76"/>
      <c r="AB81" s="76"/>
      <c r="AC81" s="80" t="s">
        <v>951</v>
      </c>
      <c r="AD81" s="76" t="s">
        <v>244</v>
      </c>
      <c r="AE81" s="81" t="str">
        <f>HYPERLINK("https://twitter.com/coopsgreenteam/status/895182005553508352")</f>
        <v>https://twitter.com/coopsgreenteam/status/895182005553508352</v>
      </c>
      <c r="AF81" s="78">
        <v>42956.303194444445</v>
      </c>
      <c r="AG81" s="85">
        <v>42956</v>
      </c>
      <c r="AH81" s="80" t="s">
        <v>1007</v>
      </c>
      <c r="AI81" s="76"/>
      <c r="AJ81" s="76"/>
      <c r="AK81" s="76"/>
      <c r="AL81" s="76"/>
      <c r="AM81" s="76"/>
      <c r="AN81" s="76"/>
      <c r="AO81" s="76"/>
      <c r="AP81" s="76"/>
      <c r="AQ81" s="76"/>
      <c r="AR81" s="76"/>
      <c r="AS81" s="76"/>
      <c r="AT81" s="76"/>
      <c r="AU81" s="76"/>
      <c r="AV81" s="81" t="str">
        <f>HYPERLINK("https://pbs.twimg.com/profile_images/1673066044682907649/yjKNjvL-_normal.jpg")</f>
        <v>https://pbs.twimg.com/profile_images/1673066044682907649/yjKNjvL-_normal.jpg</v>
      </c>
      <c r="AW81" s="80" t="s">
        <v>1133</v>
      </c>
      <c r="AX81" s="80" t="s">
        <v>1133</v>
      </c>
      <c r="AY81" s="76"/>
      <c r="AZ81" s="80" t="s">
        <v>252</v>
      </c>
      <c r="BA81" s="80" t="s">
        <v>252</v>
      </c>
      <c r="BB81" s="80" t="s">
        <v>252</v>
      </c>
      <c r="BC81" s="80" t="s">
        <v>1133</v>
      </c>
      <c r="BD81" s="76">
        <v>257294613</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row>
    <row r="82" spans="1:64" ht="15">
      <c r="A82" s="61" t="s">
        <v>606</v>
      </c>
      <c r="B82" s="61" t="s">
        <v>224</v>
      </c>
      <c r="C82" s="62"/>
      <c r="D82" s="63"/>
      <c r="E82" s="64"/>
      <c r="F82" s="65"/>
      <c r="G82" s="62"/>
      <c r="H82" s="66"/>
      <c r="I82" s="67"/>
      <c r="J82" s="67"/>
      <c r="K82" s="31" t="s">
        <v>65</v>
      </c>
      <c r="L82" s="74">
        <v>82</v>
      </c>
      <c r="M82" s="74"/>
      <c r="N82" s="69"/>
      <c r="O82" s="76" t="s">
        <v>227</v>
      </c>
      <c r="P82" s="78">
        <v>43178.2475</v>
      </c>
      <c r="Q82" s="76" t="s">
        <v>779</v>
      </c>
      <c r="R82" s="76">
        <v>1</v>
      </c>
      <c r="S82" s="76">
        <v>3</v>
      </c>
      <c r="T82" s="76">
        <v>0</v>
      </c>
      <c r="U82" s="76">
        <v>0</v>
      </c>
      <c r="V82" s="76"/>
      <c r="W82" s="80" t="s">
        <v>838</v>
      </c>
      <c r="X82" s="76"/>
      <c r="Y82" s="76"/>
      <c r="Z82" s="76" t="s">
        <v>224</v>
      </c>
      <c r="AA82" s="76" t="s">
        <v>929</v>
      </c>
      <c r="AB82" s="76" t="s">
        <v>237</v>
      </c>
      <c r="AC82" s="80" t="s">
        <v>947</v>
      </c>
      <c r="AD82" s="76" t="s">
        <v>244</v>
      </c>
      <c r="AE82" s="81" t="str">
        <f>HYPERLINK("https://twitter.com/indywoodifc/status/975611926846853121")</f>
        <v>https://twitter.com/indywoodifc/status/975611926846853121</v>
      </c>
      <c r="AF82" s="78">
        <v>43178.2475</v>
      </c>
      <c r="AG82" s="85">
        <v>43178</v>
      </c>
      <c r="AH82" s="80" t="s">
        <v>1008</v>
      </c>
      <c r="AI82" s="76" t="b">
        <v>0</v>
      </c>
      <c r="AJ82" s="76"/>
      <c r="AK82" s="76"/>
      <c r="AL82" s="76"/>
      <c r="AM82" s="76"/>
      <c r="AN82" s="76"/>
      <c r="AO82" s="76"/>
      <c r="AP82" s="76"/>
      <c r="AQ82" s="76" t="s">
        <v>1070</v>
      </c>
      <c r="AR82" s="76"/>
      <c r="AS82" s="76"/>
      <c r="AT82" s="76"/>
      <c r="AU82" s="76"/>
      <c r="AV82" s="81" t="str">
        <f>HYPERLINK("https://pbs.twimg.com/media/DYoR20GU8AAUe3D.jpg")</f>
        <v>https://pbs.twimg.com/media/DYoR20GU8AAUe3D.jpg</v>
      </c>
      <c r="AW82" s="80" t="s">
        <v>1134</v>
      </c>
      <c r="AX82" s="80" t="s">
        <v>1134</v>
      </c>
      <c r="AY82" s="76"/>
      <c r="AZ82" s="80" t="s">
        <v>252</v>
      </c>
      <c r="BA82" s="80" t="s">
        <v>252</v>
      </c>
      <c r="BB82" s="80" t="s">
        <v>252</v>
      </c>
      <c r="BC82" s="80" t="s">
        <v>1134</v>
      </c>
      <c r="BD82" s="80" t="s">
        <v>1231</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row>
    <row r="83" spans="1:64" ht="15">
      <c r="A83" s="61" t="s">
        <v>607</v>
      </c>
      <c r="B83" s="61" t="s">
        <v>224</v>
      </c>
      <c r="C83" s="62"/>
      <c r="D83" s="63"/>
      <c r="E83" s="64"/>
      <c r="F83" s="65"/>
      <c r="G83" s="62"/>
      <c r="H83" s="66"/>
      <c r="I83" s="67"/>
      <c r="J83" s="67"/>
      <c r="K83" s="31" t="s">
        <v>65</v>
      </c>
      <c r="L83" s="74">
        <v>83</v>
      </c>
      <c r="M83" s="74"/>
      <c r="N83" s="69"/>
      <c r="O83" s="76" t="s">
        <v>227</v>
      </c>
      <c r="P83" s="78">
        <v>42956.24116898148</v>
      </c>
      <c r="Q83" s="76" t="s">
        <v>780</v>
      </c>
      <c r="R83" s="76">
        <v>0</v>
      </c>
      <c r="S83" s="76">
        <v>0</v>
      </c>
      <c r="T83" s="76">
        <v>0</v>
      </c>
      <c r="U83" s="76">
        <v>0</v>
      </c>
      <c r="V83" s="76"/>
      <c r="W83" s="76"/>
      <c r="X83" s="76" t="s">
        <v>860</v>
      </c>
      <c r="Y83" s="76" t="s">
        <v>875</v>
      </c>
      <c r="Z83" s="76" t="s">
        <v>224</v>
      </c>
      <c r="AA83" s="76"/>
      <c r="AB83" s="76"/>
      <c r="AC83" s="80" t="s">
        <v>951</v>
      </c>
      <c r="AD83" s="76" t="s">
        <v>244</v>
      </c>
      <c r="AE83" s="81" t="str">
        <f>HYPERLINK("https://twitter.com/procharitynews/status/895159527095533568")</f>
        <v>https://twitter.com/procharitynews/status/895159527095533568</v>
      </c>
      <c r="AF83" s="78">
        <v>42956.24116898148</v>
      </c>
      <c r="AG83" s="85">
        <v>42956</v>
      </c>
      <c r="AH83" s="80" t="s">
        <v>1009</v>
      </c>
      <c r="AI83" s="76" t="b">
        <v>0</v>
      </c>
      <c r="AJ83" s="76"/>
      <c r="AK83" s="76"/>
      <c r="AL83" s="76"/>
      <c r="AM83" s="76"/>
      <c r="AN83" s="76"/>
      <c r="AO83" s="76"/>
      <c r="AP83" s="76"/>
      <c r="AQ83" s="76"/>
      <c r="AR83" s="76"/>
      <c r="AS83" s="76"/>
      <c r="AT83" s="76"/>
      <c r="AU83" s="76"/>
      <c r="AV83" s="81" t="str">
        <f>HYPERLINK("https://pbs.twimg.com/profile_images/1631805669832638465/3rIgk94z_normal.png")</f>
        <v>https://pbs.twimg.com/profile_images/1631805669832638465/3rIgk94z_normal.png</v>
      </c>
      <c r="AW83" s="80" t="s">
        <v>1135</v>
      </c>
      <c r="AX83" s="80" t="s">
        <v>1135</v>
      </c>
      <c r="AY83" s="76"/>
      <c r="AZ83" s="80" t="s">
        <v>252</v>
      </c>
      <c r="BA83" s="80" t="s">
        <v>252</v>
      </c>
      <c r="BB83" s="80" t="s">
        <v>252</v>
      </c>
      <c r="BC83" s="80" t="s">
        <v>1135</v>
      </c>
      <c r="BD83" s="76">
        <v>4662675315</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row>
    <row r="84" spans="1:64" ht="15">
      <c r="A84" s="61" t="s">
        <v>608</v>
      </c>
      <c r="B84" s="61" t="s">
        <v>224</v>
      </c>
      <c r="C84" s="62"/>
      <c r="D84" s="63"/>
      <c r="E84" s="64"/>
      <c r="F84" s="65"/>
      <c r="G84" s="62"/>
      <c r="H84" s="66"/>
      <c r="I84" s="67"/>
      <c r="J84" s="67"/>
      <c r="K84" s="31" t="s">
        <v>65</v>
      </c>
      <c r="L84" s="74">
        <v>84</v>
      </c>
      <c r="M84" s="74"/>
      <c r="N84" s="69"/>
      <c r="O84" s="76" t="s">
        <v>227</v>
      </c>
      <c r="P84" s="78">
        <v>42877.804872685185</v>
      </c>
      <c r="Q84" s="76" t="s">
        <v>781</v>
      </c>
      <c r="R84" s="76">
        <v>0</v>
      </c>
      <c r="S84" s="76">
        <v>0</v>
      </c>
      <c r="T84" s="76">
        <v>0</v>
      </c>
      <c r="U84" s="76">
        <v>0</v>
      </c>
      <c r="V84" s="76"/>
      <c r="W84" s="76"/>
      <c r="X84" s="76"/>
      <c r="Y84" s="76"/>
      <c r="Z84" s="76" t="s">
        <v>905</v>
      </c>
      <c r="AA84" s="76"/>
      <c r="AB84" s="76"/>
      <c r="AC84" s="80" t="s">
        <v>952</v>
      </c>
      <c r="AD84" s="76" t="s">
        <v>244</v>
      </c>
      <c r="AE84" s="81" t="str">
        <f>HYPERLINK("https://twitter.com/codeitwright/status/866735166382886912")</f>
        <v>https://twitter.com/codeitwright/status/866735166382886912</v>
      </c>
      <c r="AF84" s="78">
        <v>42877.804872685185</v>
      </c>
      <c r="AG84" s="85">
        <v>42877</v>
      </c>
      <c r="AH84" s="80" t="s">
        <v>1010</v>
      </c>
      <c r="AI84" s="76"/>
      <c r="AJ84" s="76"/>
      <c r="AK84" s="76"/>
      <c r="AL84" s="76"/>
      <c r="AM84" s="76"/>
      <c r="AN84" s="76"/>
      <c r="AO84" s="76"/>
      <c r="AP84" s="76"/>
      <c r="AQ84" s="76"/>
      <c r="AR84" s="76"/>
      <c r="AS84" s="76"/>
      <c r="AT84" s="76"/>
      <c r="AU84" s="76"/>
      <c r="AV84" s="81" t="str">
        <f>HYPERLINK("https://pbs.twimg.com/profile_images/796527478844096513/nfWOLST-_normal.jpg")</f>
        <v>https://pbs.twimg.com/profile_images/796527478844096513/nfWOLST-_normal.jpg</v>
      </c>
      <c r="AW84" s="80" t="s">
        <v>1136</v>
      </c>
      <c r="AX84" s="80" t="s">
        <v>1136</v>
      </c>
      <c r="AY84" s="76"/>
      <c r="AZ84" s="80" t="s">
        <v>252</v>
      </c>
      <c r="BA84" s="80" t="s">
        <v>252</v>
      </c>
      <c r="BB84" s="80" t="s">
        <v>252</v>
      </c>
      <c r="BC84" s="80" t="s">
        <v>1136</v>
      </c>
      <c r="BD84" s="76">
        <v>2917786541</v>
      </c>
      <c r="BE84" s="76"/>
      <c r="BF84" s="76"/>
      <c r="BG84" s="76"/>
      <c r="BH84" s="76"/>
      <c r="BI84" s="76"/>
      <c r="BJ84" s="76">
        <v>2</v>
      </c>
      <c r="BK84" s="75" t="str">
        <f>REPLACE(INDEX(GroupVertices[Group],MATCH("~"&amp;Edges[[#This Row],[Vertex 1]],GroupVertices[Vertex],0)),1,1,"")</f>
        <v>1</v>
      </c>
      <c r="BL84" s="75" t="str">
        <f>REPLACE(INDEX(GroupVertices[Group],MATCH("~"&amp;Edges[[#This Row],[Vertex 2]],GroupVertices[Vertex],0)),1,1,"")</f>
        <v>1</v>
      </c>
    </row>
    <row r="85" spans="1:64" ht="15">
      <c r="A85" s="61" t="s">
        <v>609</v>
      </c>
      <c r="B85" s="61" t="s">
        <v>691</v>
      </c>
      <c r="C85" s="62"/>
      <c r="D85" s="63"/>
      <c r="E85" s="64"/>
      <c r="F85" s="65"/>
      <c r="G85" s="62"/>
      <c r="H85" s="66"/>
      <c r="I85" s="67"/>
      <c r="J85" s="67"/>
      <c r="K85" s="31" t="s">
        <v>65</v>
      </c>
      <c r="L85" s="74">
        <v>85</v>
      </c>
      <c r="M85" s="74"/>
      <c r="N85" s="69"/>
      <c r="O85" s="76" t="s">
        <v>227</v>
      </c>
      <c r="P85" s="78">
        <v>42953.91259259259</v>
      </c>
      <c r="Q85" s="76" t="s">
        <v>782</v>
      </c>
      <c r="R85" s="76">
        <v>0</v>
      </c>
      <c r="S85" s="76">
        <v>0</v>
      </c>
      <c r="T85" s="76">
        <v>0</v>
      </c>
      <c r="U85" s="76">
        <v>0</v>
      </c>
      <c r="V85" s="76"/>
      <c r="W85" s="76"/>
      <c r="X85" s="76"/>
      <c r="Y85" s="76"/>
      <c r="Z85" s="76" t="s">
        <v>906</v>
      </c>
      <c r="AA85" s="76"/>
      <c r="AB85" s="76"/>
      <c r="AC85" s="80" t="s">
        <v>953</v>
      </c>
      <c r="AD85" s="76" t="s">
        <v>244</v>
      </c>
      <c r="AE85" s="81" t="str">
        <f>HYPERLINK("https://twitter.com/jetrubyagency/status/894315681877020672")</f>
        <v>https://twitter.com/jetrubyagency/status/894315681877020672</v>
      </c>
      <c r="AF85" s="78">
        <v>42953.91259259259</v>
      </c>
      <c r="AG85" s="85">
        <v>42953</v>
      </c>
      <c r="AH85" s="80" t="s">
        <v>1011</v>
      </c>
      <c r="AI85" s="76"/>
      <c r="AJ85" s="76"/>
      <c r="AK85" s="76"/>
      <c r="AL85" s="76"/>
      <c r="AM85" s="76"/>
      <c r="AN85" s="76"/>
      <c r="AO85" s="76"/>
      <c r="AP85" s="76"/>
      <c r="AQ85" s="76"/>
      <c r="AR85" s="76"/>
      <c r="AS85" s="76"/>
      <c r="AT85" s="76"/>
      <c r="AU85" s="76"/>
      <c r="AV85" s="81" t="str">
        <f>HYPERLINK("https://pbs.twimg.com/profile_images/930046786521137152/zfBILylG_normal.jpg")</f>
        <v>https://pbs.twimg.com/profile_images/930046786521137152/zfBILylG_normal.jpg</v>
      </c>
      <c r="AW85" s="80" t="s">
        <v>1137</v>
      </c>
      <c r="AX85" s="80" t="s">
        <v>1137</v>
      </c>
      <c r="AY85" s="80" t="s">
        <v>1220</v>
      </c>
      <c r="AZ85" s="80" t="s">
        <v>252</v>
      </c>
      <c r="BA85" s="80" t="s">
        <v>252</v>
      </c>
      <c r="BB85" s="80" t="s">
        <v>252</v>
      </c>
      <c r="BC85" s="80" t="s">
        <v>1137</v>
      </c>
      <c r="BD85" s="76">
        <v>3092433987</v>
      </c>
      <c r="BE85" s="76"/>
      <c r="BF85" s="76"/>
      <c r="BG85" s="76"/>
      <c r="BH85" s="76"/>
      <c r="BI85" s="76"/>
      <c r="BJ85" s="76">
        <v>1</v>
      </c>
      <c r="BK85" s="75" t="str">
        <f>REPLACE(INDEX(GroupVertices[Group],MATCH("~"&amp;Edges[[#This Row],[Vertex 1]],GroupVertices[Vertex],0)),1,1,"")</f>
        <v>9</v>
      </c>
      <c r="BL85" s="75" t="str">
        <f>REPLACE(INDEX(GroupVertices[Group],MATCH("~"&amp;Edges[[#This Row],[Vertex 2]],GroupVertices[Vertex],0)),1,1,"")</f>
        <v>9</v>
      </c>
    </row>
    <row r="86" spans="1:64" ht="15">
      <c r="A86" s="61" t="s">
        <v>609</v>
      </c>
      <c r="B86" s="61" t="s">
        <v>692</v>
      </c>
      <c r="C86" s="62"/>
      <c r="D86" s="63"/>
      <c r="E86" s="64"/>
      <c r="F86" s="65"/>
      <c r="G86" s="62"/>
      <c r="H86" s="66"/>
      <c r="I86" s="67"/>
      <c r="J86" s="67"/>
      <c r="K86" s="31" t="s">
        <v>65</v>
      </c>
      <c r="L86" s="74">
        <v>86</v>
      </c>
      <c r="M86" s="74"/>
      <c r="N86" s="69"/>
      <c r="O86" s="76" t="s">
        <v>227</v>
      </c>
      <c r="P86" s="78">
        <v>42953.91259259259</v>
      </c>
      <c r="Q86" s="76" t="s">
        <v>782</v>
      </c>
      <c r="R86" s="76">
        <v>0</v>
      </c>
      <c r="S86" s="76">
        <v>0</v>
      </c>
      <c r="T86" s="76">
        <v>0</v>
      </c>
      <c r="U86" s="76">
        <v>0</v>
      </c>
      <c r="V86" s="76"/>
      <c r="W86" s="76"/>
      <c r="X86" s="76"/>
      <c r="Y86" s="76"/>
      <c r="Z86" s="76" t="s">
        <v>906</v>
      </c>
      <c r="AA86" s="76"/>
      <c r="AB86" s="76"/>
      <c r="AC86" s="80" t="s">
        <v>953</v>
      </c>
      <c r="AD86" s="76" t="s">
        <v>244</v>
      </c>
      <c r="AE86" s="81" t="str">
        <f>HYPERLINK("https://twitter.com/jetrubyagency/status/894315681877020672")</f>
        <v>https://twitter.com/jetrubyagency/status/894315681877020672</v>
      </c>
      <c r="AF86" s="78">
        <v>42953.91259259259</v>
      </c>
      <c r="AG86" s="85">
        <v>42953</v>
      </c>
      <c r="AH86" s="80" t="s">
        <v>1011</v>
      </c>
      <c r="AI86" s="76"/>
      <c r="AJ86" s="76"/>
      <c r="AK86" s="76"/>
      <c r="AL86" s="76"/>
      <c r="AM86" s="76"/>
      <c r="AN86" s="76"/>
      <c r="AO86" s="76"/>
      <c r="AP86" s="76"/>
      <c r="AQ86" s="76"/>
      <c r="AR86" s="76"/>
      <c r="AS86" s="76"/>
      <c r="AT86" s="76"/>
      <c r="AU86" s="76"/>
      <c r="AV86" s="81" t="str">
        <f>HYPERLINK("https://pbs.twimg.com/profile_images/930046786521137152/zfBILylG_normal.jpg")</f>
        <v>https://pbs.twimg.com/profile_images/930046786521137152/zfBILylG_normal.jpg</v>
      </c>
      <c r="AW86" s="80" t="s">
        <v>1137</v>
      </c>
      <c r="AX86" s="80" t="s">
        <v>1137</v>
      </c>
      <c r="AY86" s="80" t="s">
        <v>1220</v>
      </c>
      <c r="AZ86" s="80" t="s">
        <v>252</v>
      </c>
      <c r="BA86" s="80" t="s">
        <v>252</v>
      </c>
      <c r="BB86" s="80" t="s">
        <v>252</v>
      </c>
      <c r="BC86" s="80" t="s">
        <v>1137</v>
      </c>
      <c r="BD86" s="76">
        <v>3092433987</v>
      </c>
      <c r="BE86" s="76"/>
      <c r="BF86" s="76"/>
      <c r="BG86" s="76"/>
      <c r="BH86" s="76"/>
      <c r="BI86" s="76"/>
      <c r="BJ86" s="76">
        <v>1</v>
      </c>
      <c r="BK86" s="75" t="str">
        <f>REPLACE(INDEX(GroupVertices[Group],MATCH("~"&amp;Edges[[#This Row],[Vertex 1]],GroupVertices[Vertex],0)),1,1,"")</f>
        <v>9</v>
      </c>
      <c r="BL86" s="75" t="str">
        <f>REPLACE(INDEX(GroupVertices[Group],MATCH("~"&amp;Edges[[#This Row],[Vertex 2]],GroupVertices[Vertex],0)),1,1,"")</f>
        <v>9</v>
      </c>
    </row>
    <row r="87" spans="1:64" ht="15">
      <c r="A87" s="61" t="s">
        <v>609</v>
      </c>
      <c r="B87" s="61" t="s">
        <v>224</v>
      </c>
      <c r="C87" s="62"/>
      <c r="D87" s="63"/>
      <c r="E87" s="64"/>
      <c r="F87" s="65"/>
      <c r="G87" s="62"/>
      <c r="H87" s="66"/>
      <c r="I87" s="67"/>
      <c r="J87" s="67"/>
      <c r="K87" s="31" t="s">
        <v>65</v>
      </c>
      <c r="L87" s="74">
        <v>87</v>
      </c>
      <c r="M87" s="74"/>
      <c r="N87" s="69"/>
      <c r="O87" s="76" t="s">
        <v>227</v>
      </c>
      <c r="P87" s="78">
        <v>42953.91259259259</v>
      </c>
      <c r="Q87" s="76" t="s">
        <v>782</v>
      </c>
      <c r="R87" s="76">
        <v>0</v>
      </c>
      <c r="S87" s="76">
        <v>0</v>
      </c>
      <c r="T87" s="76">
        <v>0</v>
      </c>
      <c r="U87" s="76">
        <v>0</v>
      </c>
      <c r="V87" s="76"/>
      <c r="W87" s="76"/>
      <c r="X87" s="76"/>
      <c r="Y87" s="76"/>
      <c r="Z87" s="76" t="s">
        <v>906</v>
      </c>
      <c r="AA87" s="76"/>
      <c r="AB87" s="76"/>
      <c r="AC87" s="80" t="s">
        <v>953</v>
      </c>
      <c r="AD87" s="76" t="s">
        <v>244</v>
      </c>
      <c r="AE87" s="81" t="str">
        <f>HYPERLINK("https://twitter.com/jetrubyagency/status/894315681877020672")</f>
        <v>https://twitter.com/jetrubyagency/status/894315681877020672</v>
      </c>
      <c r="AF87" s="78">
        <v>42953.91259259259</v>
      </c>
      <c r="AG87" s="85">
        <v>42953</v>
      </c>
      <c r="AH87" s="80" t="s">
        <v>1011</v>
      </c>
      <c r="AI87" s="76"/>
      <c r="AJ87" s="76"/>
      <c r="AK87" s="76"/>
      <c r="AL87" s="76"/>
      <c r="AM87" s="76"/>
      <c r="AN87" s="76"/>
      <c r="AO87" s="76"/>
      <c r="AP87" s="76"/>
      <c r="AQ87" s="76"/>
      <c r="AR87" s="76"/>
      <c r="AS87" s="76"/>
      <c r="AT87" s="76"/>
      <c r="AU87" s="76"/>
      <c r="AV87" s="81" t="str">
        <f>HYPERLINK("https://pbs.twimg.com/profile_images/930046786521137152/zfBILylG_normal.jpg")</f>
        <v>https://pbs.twimg.com/profile_images/930046786521137152/zfBILylG_normal.jpg</v>
      </c>
      <c r="AW87" s="80" t="s">
        <v>1137</v>
      </c>
      <c r="AX87" s="80" t="s">
        <v>1137</v>
      </c>
      <c r="AY87" s="80" t="s">
        <v>1220</v>
      </c>
      <c r="AZ87" s="80" t="s">
        <v>252</v>
      </c>
      <c r="BA87" s="80" t="s">
        <v>252</v>
      </c>
      <c r="BB87" s="80" t="s">
        <v>252</v>
      </c>
      <c r="BC87" s="80" t="s">
        <v>1137</v>
      </c>
      <c r="BD87" s="76">
        <v>3092433987</v>
      </c>
      <c r="BE87" s="76"/>
      <c r="BF87" s="76"/>
      <c r="BG87" s="76"/>
      <c r="BH87" s="76"/>
      <c r="BI87" s="76"/>
      <c r="BJ87" s="76">
        <v>1</v>
      </c>
      <c r="BK87" s="75" t="str">
        <f>REPLACE(INDEX(GroupVertices[Group],MATCH("~"&amp;Edges[[#This Row],[Vertex 1]],GroupVertices[Vertex],0)),1,1,"")</f>
        <v>9</v>
      </c>
      <c r="BL87" s="75" t="str">
        <f>REPLACE(INDEX(GroupVertices[Group],MATCH("~"&amp;Edges[[#This Row],[Vertex 2]],GroupVertices[Vertex],0)),1,1,"")</f>
        <v>1</v>
      </c>
    </row>
    <row r="88" spans="1:64" ht="15">
      <c r="A88" s="61" t="s">
        <v>610</v>
      </c>
      <c r="B88" s="61" t="s">
        <v>224</v>
      </c>
      <c r="C88" s="62"/>
      <c r="D88" s="63"/>
      <c r="E88" s="64"/>
      <c r="F88" s="65"/>
      <c r="G88" s="62"/>
      <c r="H88" s="66"/>
      <c r="I88" s="67"/>
      <c r="J88" s="67"/>
      <c r="K88" s="31" t="s">
        <v>65</v>
      </c>
      <c r="L88" s="74">
        <v>88</v>
      </c>
      <c r="M88" s="74"/>
      <c r="N88" s="69"/>
      <c r="O88" s="76" t="s">
        <v>227</v>
      </c>
      <c r="P88" s="78">
        <v>42955.27523148148</v>
      </c>
      <c r="Q88" s="76" t="s">
        <v>783</v>
      </c>
      <c r="R88" s="76">
        <v>0</v>
      </c>
      <c r="S88" s="76">
        <v>0</v>
      </c>
      <c r="T88" s="76">
        <v>0</v>
      </c>
      <c r="U88" s="76">
        <v>0</v>
      </c>
      <c r="V88" s="76"/>
      <c r="W88" s="76"/>
      <c r="X88" s="81" t="str">
        <f>HYPERLINK("http://bit.ly/watch-behind-the-scenes")</f>
        <v>http://bit.ly/watch-behind-the-scenes</v>
      </c>
      <c r="Y88" s="76" t="s">
        <v>233</v>
      </c>
      <c r="Z88" s="76" t="s">
        <v>224</v>
      </c>
      <c r="AA88" s="76"/>
      <c r="AB88" s="76"/>
      <c r="AC88" s="80" t="s">
        <v>950</v>
      </c>
      <c r="AD88" s="76" t="s">
        <v>244</v>
      </c>
      <c r="AE88" s="81" t="str">
        <f>HYPERLINK("https://twitter.com/redbookfilms/status/894809482974384130")</f>
        <v>https://twitter.com/redbookfilms/status/894809482974384130</v>
      </c>
      <c r="AF88" s="78">
        <v>42955.27523148148</v>
      </c>
      <c r="AG88" s="85">
        <v>42955</v>
      </c>
      <c r="AH88" s="80" t="s">
        <v>1012</v>
      </c>
      <c r="AI88" s="76" t="b">
        <v>0</v>
      </c>
      <c r="AJ88" s="76"/>
      <c r="AK88" s="76"/>
      <c r="AL88" s="76"/>
      <c r="AM88" s="76"/>
      <c r="AN88" s="76"/>
      <c r="AO88" s="76"/>
      <c r="AP88" s="76"/>
      <c r="AQ88" s="76"/>
      <c r="AR88" s="76"/>
      <c r="AS88" s="76"/>
      <c r="AT88" s="76"/>
      <c r="AU88" s="76"/>
      <c r="AV88" s="81" t="str">
        <f>HYPERLINK("https://pbs.twimg.com/profile_images/793451736061079552/mzm0DXCC_normal.jpg")</f>
        <v>https://pbs.twimg.com/profile_images/793451736061079552/mzm0DXCC_normal.jpg</v>
      </c>
      <c r="AW88" s="80" t="s">
        <v>1138</v>
      </c>
      <c r="AX88" s="80" t="s">
        <v>1138</v>
      </c>
      <c r="AY88" s="80" t="s">
        <v>251</v>
      </c>
      <c r="AZ88" s="80" t="s">
        <v>252</v>
      </c>
      <c r="BA88" s="80" t="s">
        <v>252</v>
      </c>
      <c r="BB88" s="80" t="s">
        <v>252</v>
      </c>
      <c r="BC88" s="80" t="s">
        <v>1138</v>
      </c>
      <c r="BD88" s="76">
        <v>264184368</v>
      </c>
      <c r="BE88" s="76"/>
      <c r="BF88" s="76"/>
      <c r="BG88" s="76"/>
      <c r="BH88" s="76"/>
      <c r="BI88" s="76"/>
      <c r="BJ88" s="76">
        <v>1</v>
      </c>
      <c r="BK88" s="75" t="str">
        <f>REPLACE(INDEX(GroupVertices[Group],MATCH("~"&amp;Edges[[#This Row],[Vertex 1]],GroupVertices[Vertex],0)),1,1,"")</f>
        <v>1</v>
      </c>
      <c r="BL88" s="75" t="str">
        <f>REPLACE(INDEX(GroupVertices[Group],MATCH("~"&amp;Edges[[#This Row],[Vertex 2]],GroupVertices[Vertex],0)),1,1,"")</f>
        <v>1</v>
      </c>
    </row>
    <row r="89" spans="1:64" ht="15">
      <c r="A89" s="61" t="s">
        <v>611</v>
      </c>
      <c r="B89" s="61" t="s">
        <v>224</v>
      </c>
      <c r="C89" s="62"/>
      <c r="D89" s="63"/>
      <c r="E89" s="64"/>
      <c r="F89" s="65"/>
      <c r="G89" s="62"/>
      <c r="H89" s="66"/>
      <c r="I89" s="67"/>
      <c r="J89" s="67"/>
      <c r="K89" s="31" t="s">
        <v>65</v>
      </c>
      <c r="L89" s="74">
        <v>89</v>
      </c>
      <c r="M89" s="74"/>
      <c r="N89" s="69"/>
      <c r="O89" s="76" t="s">
        <v>227</v>
      </c>
      <c r="P89" s="78">
        <v>41918.29368055556</v>
      </c>
      <c r="Q89" s="76" t="s">
        <v>784</v>
      </c>
      <c r="R89" s="76">
        <v>0</v>
      </c>
      <c r="S89" s="76">
        <v>0</v>
      </c>
      <c r="T89" s="76">
        <v>0</v>
      </c>
      <c r="U89" s="76">
        <v>0</v>
      </c>
      <c r="V89" s="76"/>
      <c r="W89" s="76"/>
      <c r="X89" s="76" t="s">
        <v>861</v>
      </c>
      <c r="Y89" s="76" t="s">
        <v>876</v>
      </c>
      <c r="Z89" s="76" t="s">
        <v>224</v>
      </c>
      <c r="AA89" s="76"/>
      <c r="AB89" s="76"/>
      <c r="AC89" s="80" t="s">
        <v>954</v>
      </c>
      <c r="AD89" s="76" t="s">
        <v>244</v>
      </c>
      <c r="AE89" s="81" t="str">
        <f>HYPERLINK("https://twitter.com/twibs/status/519019955518320641")</f>
        <v>https://twitter.com/twibs/status/519019955518320641</v>
      </c>
      <c r="AF89" s="78">
        <v>41918.29368055556</v>
      </c>
      <c r="AG89" s="85">
        <v>41918</v>
      </c>
      <c r="AH89" s="80" t="s">
        <v>1013</v>
      </c>
      <c r="AI89" s="76" t="b">
        <v>0</v>
      </c>
      <c r="AJ89" s="76"/>
      <c r="AK89" s="76"/>
      <c r="AL89" s="76"/>
      <c r="AM89" s="76"/>
      <c r="AN89" s="76"/>
      <c r="AO89" s="76"/>
      <c r="AP89" s="76"/>
      <c r="AQ89" s="76"/>
      <c r="AR89" s="76"/>
      <c r="AS89" s="76"/>
      <c r="AT89" s="76"/>
      <c r="AU89" s="76"/>
      <c r="AV89" s="81" t="str">
        <f>HYPERLINK("https://pbs.twimg.com/profile_images/70171146/home_icon_normal.jpg")</f>
        <v>https://pbs.twimg.com/profile_images/70171146/home_icon_normal.jpg</v>
      </c>
      <c r="AW89" s="80" t="s">
        <v>1139</v>
      </c>
      <c r="AX89" s="80" t="s">
        <v>1139</v>
      </c>
      <c r="AY89" s="80" t="s">
        <v>251</v>
      </c>
      <c r="AZ89" s="80" t="s">
        <v>252</v>
      </c>
      <c r="BA89" s="80" t="s">
        <v>252</v>
      </c>
      <c r="BB89" s="80" t="s">
        <v>252</v>
      </c>
      <c r="BC89" s="80" t="s">
        <v>1139</v>
      </c>
      <c r="BD89" s="76">
        <v>18461544</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row>
    <row r="90" spans="1:64" ht="15">
      <c r="A90" s="61" t="s">
        <v>612</v>
      </c>
      <c r="B90" s="61" t="s">
        <v>224</v>
      </c>
      <c r="C90" s="62"/>
      <c r="D90" s="63"/>
      <c r="E90" s="64"/>
      <c r="F90" s="65"/>
      <c r="G90" s="62"/>
      <c r="H90" s="66"/>
      <c r="I90" s="67"/>
      <c r="J90" s="67"/>
      <c r="K90" s="31" t="s">
        <v>65</v>
      </c>
      <c r="L90" s="74">
        <v>90</v>
      </c>
      <c r="M90" s="74"/>
      <c r="N90" s="69"/>
      <c r="O90" s="76" t="s">
        <v>227</v>
      </c>
      <c r="P90" s="78">
        <v>43119.145891203705</v>
      </c>
      <c r="Q90" s="76" t="s">
        <v>785</v>
      </c>
      <c r="R90" s="76">
        <v>0</v>
      </c>
      <c r="S90" s="76">
        <v>0</v>
      </c>
      <c r="T90" s="76">
        <v>0</v>
      </c>
      <c r="U90" s="76">
        <v>0</v>
      </c>
      <c r="V90" s="76"/>
      <c r="W90" s="76"/>
      <c r="X90" s="76"/>
      <c r="Y90" s="76"/>
      <c r="Z90" s="76" t="s">
        <v>224</v>
      </c>
      <c r="AA90" s="76"/>
      <c r="AB90" s="76"/>
      <c r="AC90" s="80" t="s">
        <v>955</v>
      </c>
      <c r="AD90" s="76" t="s">
        <v>244</v>
      </c>
      <c r="AE90" s="81" t="str">
        <f>HYPERLINK("https://twitter.com/twitpulse_in/status/954194223577948161")</f>
        <v>https://twitter.com/twitpulse_in/status/954194223577948161</v>
      </c>
      <c r="AF90" s="78">
        <v>43119.145891203705</v>
      </c>
      <c r="AG90" s="85">
        <v>43119</v>
      </c>
      <c r="AH90" s="80" t="s">
        <v>1014</v>
      </c>
      <c r="AI90" s="76"/>
      <c r="AJ90" s="76"/>
      <c r="AK90" s="76"/>
      <c r="AL90" s="76"/>
      <c r="AM90" s="76"/>
      <c r="AN90" s="76"/>
      <c r="AO90" s="76"/>
      <c r="AP90" s="76"/>
      <c r="AQ90" s="76"/>
      <c r="AR90" s="76"/>
      <c r="AS90" s="76"/>
      <c r="AT90" s="76"/>
      <c r="AU90" s="76"/>
      <c r="AV90" s="81" t="str">
        <f>HYPERLINK("https://pbs.twimg.com/profile_images/1003750515606421506/9nTZsVzQ_normal.jpg")</f>
        <v>https://pbs.twimg.com/profile_images/1003750515606421506/9nTZsVzQ_normal.jpg</v>
      </c>
      <c r="AW90" s="80" t="s">
        <v>1140</v>
      </c>
      <c r="AX90" s="80" t="s">
        <v>1140</v>
      </c>
      <c r="AY90" s="76"/>
      <c r="AZ90" s="80" t="s">
        <v>252</v>
      </c>
      <c r="BA90" s="80" t="s">
        <v>252</v>
      </c>
      <c r="BB90" s="80" t="s">
        <v>252</v>
      </c>
      <c r="BC90" s="80" t="s">
        <v>1140</v>
      </c>
      <c r="BD90" s="76">
        <v>3900808721</v>
      </c>
      <c r="BE90" s="76"/>
      <c r="BF90" s="76"/>
      <c r="BG90" s="76"/>
      <c r="BH90" s="76"/>
      <c r="BI90" s="76"/>
      <c r="BJ90" s="76">
        <v>2</v>
      </c>
      <c r="BK90" s="75" t="str">
        <f>REPLACE(INDEX(GroupVertices[Group],MATCH("~"&amp;Edges[[#This Row],[Vertex 1]],GroupVertices[Vertex],0)),1,1,"")</f>
        <v>1</v>
      </c>
      <c r="BL90" s="75" t="str">
        <f>REPLACE(INDEX(GroupVertices[Group],MATCH("~"&amp;Edges[[#This Row],[Vertex 2]],GroupVertices[Vertex],0)),1,1,"")</f>
        <v>1</v>
      </c>
    </row>
    <row r="91" spans="1:64" ht="15">
      <c r="A91" s="61" t="s">
        <v>613</v>
      </c>
      <c r="B91" s="61" t="s">
        <v>693</v>
      </c>
      <c r="C91" s="62"/>
      <c r="D91" s="63"/>
      <c r="E91" s="64"/>
      <c r="F91" s="65"/>
      <c r="G91" s="62"/>
      <c r="H91" s="66"/>
      <c r="I91" s="67"/>
      <c r="J91" s="67"/>
      <c r="K91" s="31" t="s">
        <v>65</v>
      </c>
      <c r="L91" s="74">
        <v>91</v>
      </c>
      <c r="M91" s="74"/>
      <c r="N91" s="69"/>
      <c r="O91" s="76" t="s">
        <v>227</v>
      </c>
      <c r="P91" s="78">
        <v>42154.22828703704</v>
      </c>
      <c r="Q91" s="76" t="s">
        <v>786</v>
      </c>
      <c r="R91" s="76">
        <v>5</v>
      </c>
      <c r="S91" s="76">
        <v>5</v>
      </c>
      <c r="T91" s="76">
        <v>0</v>
      </c>
      <c r="U91" s="76">
        <v>0</v>
      </c>
      <c r="V91" s="76"/>
      <c r="W91" s="80" t="s">
        <v>506</v>
      </c>
      <c r="X91" s="76" t="s">
        <v>862</v>
      </c>
      <c r="Y91" s="76" t="s">
        <v>877</v>
      </c>
      <c r="Z91" s="76" t="s">
        <v>907</v>
      </c>
      <c r="AA91" s="76" t="s">
        <v>930</v>
      </c>
      <c r="AB91" s="76" t="s">
        <v>237</v>
      </c>
      <c r="AC91" s="80" t="s">
        <v>956</v>
      </c>
      <c r="AD91" s="76" t="s">
        <v>244</v>
      </c>
      <c r="AE91" s="81" t="str">
        <f>HYPERLINK("https://twitter.com/cssnectar/status/604519790783258624")</f>
        <v>https://twitter.com/cssnectar/status/604519790783258624</v>
      </c>
      <c r="AF91" s="78">
        <v>42154.22828703704</v>
      </c>
      <c r="AG91" s="85">
        <v>42154</v>
      </c>
      <c r="AH91" s="80" t="s">
        <v>1015</v>
      </c>
      <c r="AI91" s="76" t="b">
        <v>0</v>
      </c>
      <c r="AJ91" s="76"/>
      <c r="AK91" s="76"/>
      <c r="AL91" s="76"/>
      <c r="AM91" s="76"/>
      <c r="AN91" s="76"/>
      <c r="AO91" s="76"/>
      <c r="AP91" s="76"/>
      <c r="AQ91" s="76" t="s">
        <v>1071</v>
      </c>
      <c r="AR91" s="76"/>
      <c r="AS91" s="76"/>
      <c r="AT91" s="76"/>
      <c r="AU91" s="76"/>
      <c r="AV91" s="81" t="str">
        <f>HYPERLINK("https://pbs.twimg.com/media/CGOvi_XUQAE9Cvb.jpg")</f>
        <v>https://pbs.twimg.com/media/CGOvi_XUQAE9Cvb.jpg</v>
      </c>
      <c r="AW91" s="80" t="s">
        <v>1141</v>
      </c>
      <c r="AX91" s="80" t="s">
        <v>1141</v>
      </c>
      <c r="AY91" s="76"/>
      <c r="AZ91" s="80" t="s">
        <v>252</v>
      </c>
      <c r="BA91" s="80" t="s">
        <v>252</v>
      </c>
      <c r="BB91" s="80" t="s">
        <v>252</v>
      </c>
      <c r="BC91" s="80" t="s">
        <v>1141</v>
      </c>
      <c r="BD91" s="76">
        <v>2833476896</v>
      </c>
      <c r="BE91" s="76"/>
      <c r="BF91" s="76"/>
      <c r="BG91" s="76"/>
      <c r="BH91" s="76"/>
      <c r="BI91" s="76"/>
      <c r="BJ91" s="76">
        <v>1</v>
      </c>
      <c r="BK91" s="75" t="str">
        <f>REPLACE(INDEX(GroupVertices[Group],MATCH("~"&amp;Edges[[#This Row],[Vertex 1]],GroupVertices[Vertex],0)),1,1,"")</f>
        <v>15</v>
      </c>
      <c r="BL91" s="75" t="str">
        <f>REPLACE(INDEX(GroupVertices[Group],MATCH("~"&amp;Edges[[#This Row],[Vertex 2]],GroupVertices[Vertex],0)),1,1,"")</f>
        <v>15</v>
      </c>
    </row>
    <row r="92" spans="1:64" ht="15">
      <c r="A92" s="61" t="s">
        <v>613</v>
      </c>
      <c r="B92" s="61" t="s">
        <v>224</v>
      </c>
      <c r="C92" s="62"/>
      <c r="D92" s="63"/>
      <c r="E92" s="64"/>
      <c r="F92" s="65"/>
      <c r="G92" s="62"/>
      <c r="H92" s="66"/>
      <c r="I92" s="67"/>
      <c r="J92" s="67"/>
      <c r="K92" s="31" t="s">
        <v>65</v>
      </c>
      <c r="L92" s="74">
        <v>92</v>
      </c>
      <c r="M92" s="74"/>
      <c r="N92" s="69"/>
      <c r="O92" s="76" t="s">
        <v>227</v>
      </c>
      <c r="P92" s="78">
        <v>42526.21944444445</v>
      </c>
      <c r="Q92" s="76" t="s">
        <v>787</v>
      </c>
      <c r="R92" s="76">
        <v>0</v>
      </c>
      <c r="S92" s="76">
        <v>2</v>
      </c>
      <c r="T92" s="76">
        <v>0</v>
      </c>
      <c r="U92" s="76">
        <v>0</v>
      </c>
      <c r="V92" s="76"/>
      <c r="W92" s="80" t="s">
        <v>506</v>
      </c>
      <c r="X92" s="76" t="s">
        <v>863</v>
      </c>
      <c r="Y92" s="76" t="s">
        <v>877</v>
      </c>
      <c r="Z92" s="76" t="s">
        <v>224</v>
      </c>
      <c r="AA92" s="76" t="s">
        <v>931</v>
      </c>
      <c r="AB92" s="76" t="s">
        <v>237</v>
      </c>
      <c r="AC92" s="80" t="s">
        <v>956</v>
      </c>
      <c r="AD92" s="76" t="s">
        <v>244</v>
      </c>
      <c r="AE92" s="81" t="str">
        <f>HYPERLINK("https://twitter.com/cssnectar/status/739324873751691264")</f>
        <v>https://twitter.com/cssnectar/status/739324873751691264</v>
      </c>
      <c r="AF92" s="78">
        <v>42526.21944444445</v>
      </c>
      <c r="AG92" s="85">
        <v>42526</v>
      </c>
      <c r="AH92" s="80" t="s">
        <v>410</v>
      </c>
      <c r="AI92" s="76" t="b">
        <v>0</v>
      </c>
      <c r="AJ92" s="76"/>
      <c r="AK92" s="76"/>
      <c r="AL92" s="76"/>
      <c r="AM92" s="76"/>
      <c r="AN92" s="76"/>
      <c r="AO92" s="76"/>
      <c r="AP92" s="76"/>
      <c r="AQ92" s="76" t="s">
        <v>1072</v>
      </c>
      <c r="AR92" s="76"/>
      <c r="AS92" s="76"/>
      <c r="AT92" s="76"/>
      <c r="AU92" s="76"/>
      <c r="AV92" s="81" t="str">
        <f>HYPERLINK("https://pbs.twimg.com/media/CkKcDbAUoAAXMVL.jpg")</f>
        <v>https://pbs.twimg.com/media/CkKcDbAUoAAXMVL.jpg</v>
      </c>
      <c r="AW92" s="80" t="s">
        <v>1142</v>
      </c>
      <c r="AX92" s="80" t="s">
        <v>1142</v>
      </c>
      <c r="AY92" s="76"/>
      <c r="AZ92" s="80" t="s">
        <v>252</v>
      </c>
      <c r="BA92" s="80" t="s">
        <v>252</v>
      </c>
      <c r="BB92" s="80" t="s">
        <v>252</v>
      </c>
      <c r="BC92" s="80" t="s">
        <v>1142</v>
      </c>
      <c r="BD92" s="76">
        <v>2833476896</v>
      </c>
      <c r="BE92" s="76"/>
      <c r="BF92" s="76"/>
      <c r="BG92" s="76"/>
      <c r="BH92" s="76"/>
      <c r="BI92" s="76"/>
      <c r="BJ92" s="76">
        <v>4</v>
      </c>
      <c r="BK92" s="75" t="str">
        <f>REPLACE(INDEX(GroupVertices[Group],MATCH("~"&amp;Edges[[#This Row],[Vertex 1]],GroupVertices[Vertex],0)),1,1,"")</f>
        <v>15</v>
      </c>
      <c r="BL92" s="75" t="str">
        <f>REPLACE(INDEX(GroupVertices[Group],MATCH("~"&amp;Edges[[#This Row],[Vertex 2]],GroupVertices[Vertex],0)),1,1,"")</f>
        <v>1</v>
      </c>
    </row>
    <row r="93" spans="1:64" ht="15">
      <c r="A93" s="61" t="s">
        <v>614</v>
      </c>
      <c r="B93" s="61" t="s">
        <v>224</v>
      </c>
      <c r="C93" s="62"/>
      <c r="D93" s="63"/>
      <c r="E93" s="64"/>
      <c r="F93" s="65"/>
      <c r="G93" s="62"/>
      <c r="H93" s="66"/>
      <c r="I93" s="67"/>
      <c r="J93" s="67"/>
      <c r="K93" s="31" t="s">
        <v>65</v>
      </c>
      <c r="L93" s="74">
        <v>93</v>
      </c>
      <c r="M93" s="74"/>
      <c r="N93" s="69"/>
      <c r="O93" s="76" t="s">
        <v>227</v>
      </c>
      <c r="P93" s="78">
        <v>42956.8022337963</v>
      </c>
      <c r="Q93" s="76" t="s">
        <v>788</v>
      </c>
      <c r="R93" s="76">
        <v>0</v>
      </c>
      <c r="S93" s="76">
        <v>0</v>
      </c>
      <c r="T93" s="76">
        <v>0</v>
      </c>
      <c r="U93" s="76">
        <v>0</v>
      </c>
      <c r="V93" s="76"/>
      <c r="W93" s="76"/>
      <c r="X93" s="76" t="s">
        <v>864</v>
      </c>
      <c r="Y93" s="76" t="s">
        <v>879</v>
      </c>
      <c r="Z93" s="76" t="s">
        <v>224</v>
      </c>
      <c r="AA93" s="76"/>
      <c r="AB93" s="76"/>
      <c r="AC93" s="80" t="s">
        <v>951</v>
      </c>
      <c r="AD93" s="76" t="s">
        <v>244</v>
      </c>
      <c r="AE93" s="81" t="str">
        <f>HYPERLINK("https://twitter.com/kalungigroup/status/895362849614290946")</f>
        <v>https://twitter.com/kalungigroup/status/895362849614290946</v>
      </c>
      <c r="AF93" s="78">
        <v>42956.8022337963</v>
      </c>
      <c r="AG93" s="85">
        <v>42956</v>
      </c>
      <c r="AH93" s="80" t="s">
        <v>1016</v>
      </c>
      <c r="AI93" s="76" t="b">
        <v>0</v>
      </c>
      <c r="AJ93" s="76"/>
      <c r="AK93" s="76"/>
      <c r="AL93" s="76"/>
      <c r="AM93" s="76"/>
      <c r="AN93" s="76"/>
      <c r="AO93" s="76"/>
      <c r="AP93" s="76"/>
      <c r="AQ93" s="76"/>
      <c r="AR93" s="76"/>
      <c r="AS93" s="76"/>
      <c r="AT93" s="76"/>
      <c r="AU93" s="76"/>
      <c r="AV93" s="81" t="str">
        <f>HYPERLINK("https://pbs.twimg.com/profile_images/1284171186533007361/WKaMzZml_normal.jpg")</f>
        <v>https://pbs.twimg.com/profile_images/1284171186533007361/WKaMzZml_normal.jpg</v>
      </c>
      <c r="AW93" s="80" t="s">
        <v>1143</v>
      </c>
      <c r="AX93" s="80" t="s">
        <v>1143</v>
      </c>
      <c r="AY93" s="80" t="s">
        <v>251</v>
      </c>
      <c r="AZ93" s="80" t="s">
        <v>252</v>
      </c>
      <c r="BA93" s="80" t="s">
        <v>252</v>
      </c>
      <c r="BB93" s="80" t="s">
        <v>252</v>
      </c>
      <c r="BC93" s="80" t="s">
        <v>1143</v>
      </c>
      <c r="BD93" s="76">
        <v>2899903684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row>
    <row r="94" spans="1:64" ht="15">
      <c r="A94" s="61" t="s">
        <v>615</v>
      </c>
      <c r="B94" s="61" t="s">
        <v>615</v>
      </c>
      <c r="C94" s="62"/>
      <c r="D94" s="63"/>
      <c r="E94" s="64"/>
      <c r="F94" s="65"/>
      <c r="G94" s="62"/>
      <c r="H94" s="66"/>
      <c r="I94" s="67"/>
      <c r="J94" s="67"/>
      <c r="K94" s="31" t="s">
        <v>65</v>
      </c>
      <c r="L94" s="74">
        <v>94</v>
      </c>
      <c r="M94" s="74"/>
      <c r="N94" s="69"/>
      <c r="O94" s="76" t="s">
        <v>227</v>
      </c>
      <c r="P94" s="78">
        <v>43020.52777777778</v>
      </c>
      <c r="Q94" s="76" t="s">
        <v>789</v>
      </c>
      <c r="R94" s="76">
        <v>0</v>
      </c>
      <c r="S94" s="76">
        <v>0</v>
      </c>
      <c r="T94" s="76">
        <v>0</v>
      </c>
      <c r="U94" s="76">
        <v>0</v>
      </c>
      <c r="V94" s="76"/>
      <c r="W94" s="80" t="s">
        <v>840</v>
      </c>
      <c r="X94" s="81" t="str">
        <f>HYPERLINK("https://goo.gl/ozkQCA")</f>
        <v>https://goo.gl/ozkQCA</v>
      </c>
      <c r="Y94" s="76" t="s">
        <v>400</v>
      </c>
      <c r="Z94" s="76" t="s">
        <v>908</v>
      </c>
      <c r="AA94" s="76" t="s">
        <v>932</v>
      </c>
      <c r="AB94" s="76" t="s">
        <v>237</v>
      </c>
      <c r="AC94" s="80" t="s">
        <v>957</v>
      </c>
      <c r="AD94" s="76" t="s">
        <v>244</v>
      </c>
      <c r="AE94" s="81" t="str">
        <f>HYPERLINK("https://twitter.com/goodfirms/status/918456215386038272")</f>
        <v>https://twitter.com/goodfirms/status/918456215386038272</v>
      </c>
      <c r="AF94" s="78">
        <v>43020.52777777778</v>
      </c>
      <c r="AG94" s="85">
        <v>43020</v>
      </c>
      <c r="AH94" s="80" t="s">
        <v>1017</v>
      </c>
      <c r="AI94" s="76" t="b">
        <v>0</v>
      </c>
      <c r="AJ94" s="76"/>
      <c r="AK94" s="76"/>
      <c r="AL94" s="76"/>
      <c r="AM94" s="76"/>
      <c r="AN94" s="76"/>
      <c r="AO94" s="76"/>
      <c r="AP94" s="76"/>
      <c r="AQ94" s="76" t="s">
        <v>1073</v>
      </c>
      <c r="AR94" s="76"/>
      <c r="AS94" s="76"/>
      <c r="AT94" s="76"/>
      <c r="AU94" s="76"/>
      <c r="AV94" s="81" t="str">
        <f>HYPERLINK("https://pbs.twimg.com/media/DL727WvVoAAFkjO.jpg")</f>
        <v>https://pbs.twimg.com/media/DL727WvVoAAFkjO.jpg</v>
      </c>
      <c r="AW94" s="80" t="s">
        <v>1144</v>
      </c>
      <c r="AX94" s="80" t="s">
        <v>1144</v>
      </c>
      <c r="AY94" s="76"/>
      <c r="AZ94" s="80" t="s">
        <v>252</v>
      </c>
      <c r="BA94" s="80" t="s">
        <v>252</v>
      </c>
      <c r="BB94" s="80" t="s">
        <v>252</v>
      </c>
      <c r="BC94" s="80" t="s">
        <v>1144</v>
      </c>
      <c r="BD94" s="76">
        <v>3300294446</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row>
    <row r="95" spans="1:64" ht="15">
      <c r="A95" s="61" t="s">
        <v>615</v>
      </c>
      <c r="B95" s="61" t="s">
        <v>224</v>
      </c>
      <c r="C95" s="62"/>
      <c r="D95" s="63"/>
      <c r="E95" s="64"/>
      <c r="F95" s="65"/>
      <c r="G95" s="62"/>
      <c r="H95" s="66"/>
      <c r="I95" s="67"/>
      <c r="J95" s="67"/>
      <c r="K95" s="31" t="s">
        <v>65</v>
      </c>
      <c r="L95" s="74">
        <v>95</v>
      </c>
      <c r="M95" s="74"/>
      <c r="N95" s="69"/>
      <c r="O95" s="76" t="s">
        <v>227</v>
      </c>
      <c r="P95" s="78">
        <v>43020.52777777778</v>
      </c>
      <c r="Q95" s="76" t="s">
        <v>789</v>
      </c>
      <c r="R95" s="76">
        <v>0</v>
      </c>
      <c r="S95" s="76">
        <v>0</v>
      </c>
      <c r="T95" s="76">
        <v>0</v>
      </c>
      <c r="U95" s="76">
        <v>0</v>
      </c>
      <c r="V95" s="76"/>
      <c r="W95" s="80" t="s">
        <v>840</v>
      </c>
      <c r="X95" s="81" t="str">
        <f>HYPERLINK("https://goo.gl/ozkQCA")</f>
        <v>https://goo.gl/ozkQCA</v>
      </c>
      <c r="Y95" s="76" t="s">
        <v>400</v>
      </c>
      <c r="Z95" s="76" t="s">
        <v>908</v>
      </c>
      <c r="AA95" s="76" t="s">
        <v>932</v>
      </c>
      <c r="AB95" s="76" t="s">
        <v>237</v>
      </c>
      <c r="AC95" s="80" t="s">
        <v>957</v>
      </c>
      <c r="AD95" s="76" t="s">
        <v>244</v>
      </c>
      <c r="AE95" s="81" t="str">
        <f>HYPERLINK("https://twitter.com/goodfirms/status/918456215386038272")</f>
        <v>https://twitter.com/goodfirms/status/918456215386038272</v>
      </c>
      <c r="AF95" s="78">
        <v>43020.52777777778</v>
      </c>
      <c r="AG95" s="85">
        <v>43020</v>
      </c>
      <c r="AH95" s="80" t="s">
        <v>1017</v>
      </c>
      <c r="AI95" s="76" t="b">
        <v>0</v>
      </c>
      <c r="AJ95" s="76"/>
      <c r="AK95" s="76"/>
      <c r="AL95" s="76"/>
      <c r="AM95" s="76"/>
      <c r="AN95" s="76"/>
      <c r="AO95" s="76"/>
      <c r="AP95" s="76"/>
      <c r="AQ95" s="76" t="s">
        <v>1073</v>
      </c>
      <c r="AR95" s="76"/>
      <c r="AS95" s="76"/>
      <c r="AT95" s="76"/>
      <c r="AU95" s="76"/>
      <c r="AV95" s="81" t="str">
        <f>HYPERLINK("https://pbs.twimg.com/media/DL727WvVoAAFkjO.jpg")</f>
        <v>https://pbs.twimg.com/media/DL727WvVoAAFkjO.jpg</v>
      </c>
      <c r="AW95" s="80" t="s">
        <v>1144</v>
      </c>
      <c r="AX95" s="80" t="s">
        <v>1144</v>
      </c>
      <c r="AY95" s="76"/>
      <c r="AZ95" s="80" t="s">
        <v>252</v>
      </c>
      <c r="BA95" s="80" t="s">
        <v>252</v>
      </c>
      <c r="BB95" s="80" t="s">
        <v>252</v>
      </c>
      <c r="BC95" s="80" t="s">
        <v>1144</v>
      </c>
      <c r="BD95" s="76">
        <v>3300294446</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row>
    <row r="96" spans="1:64" ht="15">
      <c r="A96" s="61" t="s">
        <v>616</v>
      </c>
      <c r="B96" s="61" t="s">
        <v>694</v>
      </c>
      <c r="C96" s="62"/>
      <c r="D96" s="63"/>
      <c r="E96" s="64"/>
      <c r="F96" s="65"/>
      <c r="G96" s="62"/>
      <c r="H96" s="66"/>
      <c r="I96" s="67"/>
      <c r="J96" s="67"/>
      <c r="K96" s="31" t="s">
        <v>65</v>
      </c>
      <c r="L96" s="74">
        <v>96</v>
      </c>
      <c r="M96" s="74"/>
      <c r="N96" s="69"/>
      <c r="O96" s="76" t="s">
        <v>227</v>
      </c>
      <c r="P96" s="78">
        <v>41241.457291666666</v>
      </c>
      <c r="Q96" s="76" t="s">
        <v>790</v>
      </c>
      <c r="R96" s="76">
        <v>0</v>
      </c>
      <c r="S96" s="76">
        <v>0</v>
      </c>
      <c r="T96" s="76">
        <v>0</v>
      </c>
      <c r="U96" s="76">
        <v>0</v>
      </c>
      <c r="V96" s="76"/>
      <c r="W96" s="80" t="s">
        <v>841</v>
      </c>
      <c r="X96" s="81" t="str">
        <f>HYPERLINK("http://bitly.com/QsHZJ1")</f>
        <v>http://bitly.com/QsHZJ1</v>
      </c>
      <c r="Y96" s="76" t="s">
        <v>880</v>
      </c>
      <c r="Z96" s="76" t="s">
        <v>909</v>
      </c>
      <c r="AA96" s="76"/>
      <c r="AB96" s="76"/>
      <c r="AC96" s="80" t="s">
        <v>947</v>
      </c>
      <c r="AD96" s="76" t="s">
        <v>244</v>
      </c>
      <c r="AE96" s="81" t="str">
        <f>HYPERLINK("https://twitter.com/defindia/status/273742657543606272")</f>
        <v>https://twitter.com/defindia/status/273742657543606272</v>
      </c>
      <c r="AF96" s="78">
        <v>41241.457291666666</v>
      </c>
      <c r="AG96" s="85">
        <v>41241</v>
      </c>
      <c r="AH96" s="80" t="s">
        <v>1018</v>
      </c>
      <c r="AI96" s="76" t="b">
        <v>0</v>
      </c>
      <c r="AJ96" s="76"/>
      <c r="AK96" s="76"/>
      <c r="AL96" s="76"/>
      <c r="AM96" s="76"/>
      <c r="AN96" s="76"/>
      <c r="AO96" s="76"/>
      <c r="AP96" s="76"/>
      <c r="AQ96" s="76"/>
      <c r="AR96" s="76"/>
      <c r="AS96" s="76"/>
      <c r="AT96" s="76"/>
      <c r="AU96" s="76"/>
      <c r="AV96" s="81" t="str">
        <f>HYPERLINK("https://pbs.twimg.com/profile_images/889352010339713028/-jdopwhx_normal.jpg")</f>
        <v>https://pbs.twimg.com/profile_images/889352010339713028/-jdopwhx_normal.jpg</v>
      </c>
      <c r="AW96" s="80" t="s">
        <v>1145</v>
      </c>
      <c r="AX96" s="80" t="s">
        <v>1145</v>
      </c>
      <c r="AY96" s="80" t="s">
        <v>251</v>
      </c>
      <c r="AZ96" s="80" t="s">
        <v>252</v>
      </c>
      <c r="BA96" s="80" t="s">
        <v>252</v>
      </c>
      <c r="BB96" s="80" t="s">
        <v>252</v>
      </c>
      <c r="BC96" s="80" t="s">
        <v>1145</v>
      </c>
      <c r="BD96" s="76">
        <v>123227807</v>
      </c>
      <c r="BE96" s="76"/>
      <c r="BF96" s="76"/>
      <c r="BG96" s="76"/>
      <c r="BH96" s="76"/>
      <c r="BI96" s="76"/>
      <c r="BJ96" s="76">
        <v>1</v>
      </c>
      <c r="BK96" s="75" t="str">
        <f>REPLACE(INDEX(GroupVertices[Group],MATCH("~"&amp;Edges[[#This Row],[Vertex 1]],GroupVertices[Vertex],0)),1,1,"")</f>
        <v>14</v>
      </c>
      <c r="BL96" s="75" t="str">
        <f>REPLACE(INDEX(GroupVertices[Group],MATCH("~"&amp;Edges[[#This Row],[Vertex 2]],GroupVertices[Vertex],0)),1,1,"")</f>
        <v>14</v>
      </c>
    </row>
    <row r="97" spans="1:64" ht="15">
      <c r="A97" s="61" t="s">
        <v>616</v>
      </c>
      <c r="B97" s="61" t="s">
        <v>224</v>
      </c>
      <c r="C97" s="62"/>
      <c r="D97" s="63"/>
      <c r="E97" s="64"/>
      <c r="F97" s="65"/>
      <c r="G97" s="62"/>
      <c r="H97" s="66"/>
      <c r="I97" s="67"/>
      <c r="J97" s="67"/>
      <c r="K97" s="31" t="s">
        <v>65</v>
      </c>
      <c r="L97" s="74">
        <v>97</v>
      </c>
      <c r="M97" s="74"/>
      <c r="N97" s="69"/>
      <c r="O97" s="76" t="s">
        <v>227</v>
      </c>
      <c r="P97" s="78">
        <v>41241.457291666666</v>
      </c>
      <c r="Q97" s="76" t="s">
        <v>790</v>
      </c>
      <c r="R97" s="76">
        <v>0</v>
      </c>
      <c r="S97" s="76">
        <v>0</v>
      </c>
      <c r="T97" s="76">
        <v>0</v>
      </c>
      <c r="U97" s="76">
        <v>0</v>
      </c>
      <c r="V97" s="76"/>
      <c r="W97" s="80" t="s">
        <v>841</v>
      </c>
      <c r="X97" s="81" t="str">
        <f>HYPERLINK("http://bitly.com/QsHZJ1")</f>
        <v>http://bitly.com/QsHZJ1</v>
      </c>
      <c r="Y97" s="76" t="s">
        <v>880</v>
      </c>
      <c r="Z97" s="76" t="s">
        <v>909</v>
      </c>
      <c r="AA97" s="76"/>
      <c r="AB97" s="76"/>
      <c r="AC97" s="80" t="s">
        <v>947</v>
      </c>
      <c r="AD97" s="76" t="s">
        <v>244</v>
      </c>
      <c r="AE97" s="81" t="str">
        <f>HYPERLINK("https://twitter.com/defindia/status/273742657543606272")</f>
        <v>https://twitter.com/defindia/status/273742657543606272</v>
      </c>
      <c r="AF97" s="78">
        <v>41241.457291666666</v>
      </c>
      <c r="AG97" s="85">
        <v>41241</v>
      </c>
      <c r="AH97" s="80" t="s">
        <v>1018</v>
      </c>
      <c r="AI97" s="76" t="b">
        <v>0</v>
      </c>
      <c r="AJ97" s="76"/>
      <c r="AK97" s="76"/>
      <c r="AL97" s="76"/>
      <c r="AM97" s="76"/>
      <c r="AN97" s="76"/>
      <c r="AO97" s="76"/>
      <c r="AP97" s="76"/>
      <c r="AQ97" s="76"/>
      <c r="AR97" s="76"/>
      <c r="AS97" s="76"/>
      <c r="AT97" s="76"/>
      <c r="AU97" s="76"/>
      <c r="AV97" s="81" t="str">
        <f>HYPERLINK("https://pbs.twimg.com/profile_images/889352010339713028/-jdopwhx_normal.jpg")</f>
        <v>https://pbs.twimg.com/profile_images/889352010339713028/-jdopwhx_normal.jpg</v>
      </c>
      <c r="AW97" s="80" t="s">
        <v>1145</v>
      </c>
      <c r="AX97" s="80" t="s">
        <v>1145</v>
      </c>
      <c r="AY97" s="80" t="s">
        <v>251</v>
      </c>
      <c r="AZ97" s="80" t="s">
        <v>252</v>
      </c>
      <c r="BA97" s="80" t="s">
        <v>252</v>
      </c>
      <c r="BB97" s="80" t="s">
        <v>252</v>
      </c>
      <c r="BC97" s="80" t="s">
        <v>1145</v>
      </c>
      <c r="BD97" s="76">
        <v>123227807</v>
      </c>
      <c r="BE97" s="76"/>
      <c r="BF97" s="76"/>
      <c r="BG97" s="76"/>
      <c r="BH97" s="76"/>
      <c r="BI97" s="76"/>
      <c r="BJ97" s="76">
        <v>1</v>
      </c>
      <c r="BK97" s="75" t="str">
        <f>REPLACE(INDEX(GroupVertices[Group],MATCH("~"&amp;Edges[[#This Row],[Vertex 1]],GroupVertices[Vertex],0)),1,1,"")</f>
        <v>14</v>
      </c>
      <c r="BL97" s="75" t="str">
        <f>REPLACE(INDEX(GroupVertices[Group],MATCH("~"&amp;Edges[[#This Row],[Vertex 2]],GroupVertices[Vertex],0)),1,1,"")</f>
        <v>1</v>
      </c>
    </row>
    <row r="98" spans="1:64" ht="15">
      <c r="A98" s="61" t="s">
        <v>617</v>
      </c>
      <c r="B98" s="61" t="s">
        <v>682</v>
      </c>
      <c r="C98" s="62"/>
      <c r="D98" s="63"/>
      <c r="E98" s="64"/>
      <c r="F98" s="65"/>
      <c r="G98" s="62"/>
      <c r="H98" s="66"/>
      <c r="I98" s="67"/>
      <c r="J98" s="67"/>
      <c r="K98" s="31" t="s">
        <v>65</v>
      </c>
      <c r="L98" s="74">
        <v>98</v>
      </c>
      <c r="M98" s="74"/>
      <c r="N98" s="69"/>
      <c r="O98" s="76" t="s">
        <v>227</v>
      </c>
      <c r="P98" s="78">
        <v>43180.79222222222</v>
      </c>
      <c r="Q98" s="76" t="s">
        <v>791</v>
      </c>
      <c r="R98" s="76">
        <v>0</v>
      </c>
      <c r="S98" s="76">
        <v>2</v>
      </c>
      <c r="T98" s="76">
        <v>0</v>
      </c>
      <c r="U98" s="76">
        <v>0</v>
      </c>
      <c r="V98" s="76"/>
      <c r="W98" s="80" t="s">
        <v>842</v>
      </c>
      <c r="X98" s="81" t="str">
        <f>HYPERLINK("http://customerthink.com/will-you-become-one-with-growth-hacker-marketing/")</f>
        <v>http://customerthink.com/will-you-become-one-with-growth-hacker-marketing/</v>
      </c>
      <c r="Y98" s="76" t="s">
        <v>871</v>
      </c>
      <c r="Z98" s="76" t="s">
        <v>901</v>
      </c>
      <c r="AA98" s="76"/>
      <c r="AB98" s="76"/>
      <c r="AC98" s="80" t="s">
        <v>947</v>
      </c>
      <c r="AD98" s="76" t="s">
        <v>244</v>
      </c>
      <c r="AE98" s="81" t="str">
        <f>HYPERLINK("https://twitter.com/nodebb/status/976534106795401216")</f>
        <v>https://twitter.com/nodebb/status/976534106795401216</v>
      </c>
      <c r="AF98" s="78">
        <v>43180.79222222222</v>
      </c>
      <c r="AG98" s="85">
        <v>43180</v>
      </c>
      <c r="AH98" s="80" t="s">
        <v>1019</v>
      </c>
      <c r="AI98" s="76" t="b">
        <v>0</v>
      </c>
      <c r="AJ98" s="76"/>
      <c r="AK98" s="76"/>
      <c r="AL98" s="76"/>
      <c r="AM98" s="76"/>
      <c r="AN98" s="76"/>
      <c r="AO98" s="76"/>
      <c r="AP98" s="76"/>
      <c r="AQ98" s="76"/>
      <c r="AR98" s="76"/>
      <c r="AS98" s="76"/>
      <c r="AT98" s="76"/>
      <c r="AU98" s="76"/>
      <c r="AV98" s="81" t="str">
        <f>HYPERLINK("https://pbs.twimg.com/profile_images/1316788614630707201/sw-NxJ_U_normal.png")</f>
        <v>https://pbs.twimg.com/profile_images/1316788614630707201/sw-NxJ_U_normal.png</v>
      </c>
      <c r="AW98" s="80" t="s">
        <v>1146</v>
      </c>
      <c r="AX98" s="80" t="s">
        <v>1146</v>
      </c>
      <c r="AY98" s="76"/>
      <c r="AZ98" s="80" t="s">
        <v>252</v>
      </c>
      <c r="BA98" s="80" t="s">
        <v>252</v>
      </c>
      <c r="BB98" s="80" t="s">
        <v>252</v>
      </c>
      <c r="BC98" s="80" t="s">
        <v>1146</v>
      </c>
      <c r="BD98" s="76">
        <v>1465184376</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row>
    <row r="99" spans="1:64" ht="15">
      <c r="A99" s="61" t="s">
        <v>617</v>
      </c>
      <c r="B99" s="61" t="s">
        <v>224</v>
      </c>
      <c r="C99" s="62"/>
      <c r="D99" s="63"/>
      <c r="E99" s="64"/>
      <c r="F99" s="65"/>
      <c r="G99" s="62"/>
      <c r="H99" s="66"/>
      <c r="I99" s="67"/>
      <c r="J99" s="67"/>
      <c r="K99" s="31" t="s">
        <v>65</v>
      </c>
      <c r="L99" s="74">
        <v>99</v>
      </c>
      <c r="M99" s="74"/>
      <c r="N99" s="69"/>
      <c r="O99" s="76" t="s">
        <v>227</v>
      </c>
      <c r="P99" s="78">
        <v>43180.79222222222</v>
      </c>
      <c r="Q99" s="76" t="s">
        <v>791</v>
      </c>
      <c r="R99" s="76">
        <v>0</v>
      </c>
      <c r="S99" s="76">
        <v>2</v>
      </c>
      <c r="T99" s="76">
        <v>0</v>
      </c>
      <c r="U99" s="76">
        <v>0</v>
      </c>
      <c r="V99" s="76"/>
      <c r="W99" s="80" t="s">
        <v>842</v>
      </c>
      <c r="X99" s="81" t="str">
        <f>HYPERLINK("http://customerthink.com/will-you-become-one-with-growth-hacker-marketing/")</f>
        <v>http://customerthink.com/will-you-become-one-with-growth-hacker-marketing/</v>
      </c>
      <c r="Y99" s="76" t="s">
        <v>871</v>
      </c>
      <c r="Z99" s="76" t="s">
        <v>901</v>
      </c>
      <c r="AA99" s="76"/>
      <c r="AB99" s="76"/>
      <c r="AC99" s="80" t="s">
        <v>947</v>
      </c>
      <c r="AD99" s="76" t="s">
        <v>244</v>
      </c>
      <c r="AE99" s="81" t="str">
        <f>HYPERLINK("https://twitter.com/nodebb/status/976534106795401216")</f>
        <v>https://twitter.com/nodebb/status/976534106795401216</v>
      </c>
      <c r="AF99" s="78">
        <v>43180.79222222222</v>
      </c>
      <c r="AG99" s="85">
        <v>43180</v>
      </c>
      <c r="AH99" s="80" t="s">
        <v>1019</v>
      </c>
      <c r="AI99" s="76" t="b">
        <v>0</v>
      </c>
      <c r="AJ99" s="76"/>
      <c r="AK99" s="76"/>
      <c r="AL99" s="76"/>
      <c r="AM99" s="76"/>
      <c r="AN99" s="76"/>
      <c r="AO99" s="76"/>
      <c r="AP99" s="76"/>
      <c r="AQ99" s="76"/>
      <c r="AR99" s="76"/>
      <c r="AS99" s="76"/>
      <c r="AT99" s="76"/>
      <c r="AU99" s="76"/>
      <c r="AV99" s="81" t="str">
        <f>HYPERLINK("https://pbs.twimg.com/profile_images/1316788614630707201/sw-NxJ_U_normal.png")</f>
        <v>https://pbs.twimg.com/profile_images/1316788614630707201/sw-NxJ_U_normal.png</v>
      </c>
      <c r="AW99" s="80" t="s">
        <v>1146</v>
      </c>
      <c r="AX99" s="80" t="s">
        <v>1146</v>
      </c>
      <c r="AY99" s="76"/>
      <c r="AZ99" s="80" t="s">
        <v>252</v>
      </c>
      <c r="BA99" s="80" t="s">
        <v>252</v>
      </c>
      <c r="BB99" s="80" t="s">
        <v>252</v>
      </c>
      <c r="BC99" s="80" t="s">
        <v>1146</v>
      </c>
      <c r="BD99" s="76">
        <v>1465184376</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row>
    <row r="100" spans="1:64" ht="15">
      <c r="A100" s="61" t="s">
        <v>618</v>
      </c>
      <c r="B100" s="61" t="s">
        <v>695</v>
      </c>
      <c r="C100" s="62"/>
      <c r="D100" s="63"/>
      <c r="E100" s="64"/>
      <c r="F100" s="65"/>
      <c r="G100" s="62"/>
      <c r="H100" s="66"/>
      <c r="I100" s="67"/>
      <c r="J100" s="67"/>
      <c r="K100" s="31" t="s">
        <v>65</v>
      </c>
      <c r="L100" s="74">
        <v>100</v>
      </c>
      <c r="M100" s="74"/>
      <c r="N100" s="69"/>
      <c r="O100" s="76" t="s">
        <v>227</v>
      </c>
      <c r="P100" s="78">
        <v>42956.652280092596</v>
      </c>
      <c r="Q100" s="76" t="s">
        <v>792</v>
      </c>
      <c r="R100" s="76">
        <v>0</v>
      </c>
      <c r="S100" s="76">
        <v>0</v>
      </c>
      <c r="T100" s="76">
        <v>0</v>
      </c>
      <c r="U100" s="76">
        <v>0</v>
      </c>
      <c r="V100" s="76"/>
      <c r="W100" s="76"/>
      <c r="X100" s="76"/>
      <c r="Y100" s="76"/>
      <c r="Z100" s="76" t="s">
        <v>910</v>
      </c>
      <c r="AA100" s="76"/>
      <c r="AB100" s="76"/>
      <c r="AC100" s="80" t="s">
        <v>953</v>
      </c>
      <c r="AD100" s="76" t="s">
        <v>244</v>
      </c>
      <c r="AE100" s="81" t="str">
        <f>HYPERLINK("https://twitter.com/wiergeezy/status/895308510719823874")</f>
        <v>https://twitter.com/wiergeezy/status/895308510719823874</v>
      </c>
      <c r="AF100" s="78">
        <v>42956.652280092596</v>
      </c>
      <c r="AG100" s="85">
        <v>42956</v>
      </c>
      <c r="AH100" s="80" t="s">
        <v>1020</v>
      </c>
      <c r="AI100" s="76"/>
      <c r="AJ100" s="76"/>
      <c r="AK100" s="76"/>
      <c r="AL100" s="76"/>
      <c r="AM100" s="76"/>
      <c r="AN100" s="76"/>
      <c r="AO100" s="76"/>
      <c r="AP100" s="76"/>
      <c r="AQ100" s="76"/>
      <c r="AR100" s="76"/>
      <c r="AS100" s="76"/>
      <c r="AT100" s="76"/>
      <c r="AU100" s="76"/>
      <c r="AV100" s="81" t="str">
        <f>HYPERLINK("https://pbs.twimg.com/profile_images/1716218904102473728/hm74tMme_normal.jpg")</f>
        <v>https://pbs.twimg.com/profile_images/1716218904102473728/hm74tMme_normal.jpg</v>
      </c>
      <c r="AW100" s="80" t="s">
        <v>1147</v>
      </c>
      <c r="AX100" s="80" t="s">
        <v>1147</v>
      </c>
      <c r="AY100" s="80" t="s">
        <v>251</v>
      </c>
      <c r="AZ100" s="80" t="s">
        <v>252</v>
      </c>
      <c r="BA100" s="80" t="s">
        <v>252</v>
      </c>
      <c r="BB100" s="80" t="s">
        <v>252</v>
      </c>
      <c r="BC100" s="80" t="s">
        <v>1147</v>
      </c>
      <c r="BD100" s="76">
        <v>3379407430</v>
      </c>
      <c r="BE100" s="76"/>
      <c r="BF100" s="76"/>
      <c r="BG100" s="76"/>
      <c r="BH100" s="76"/>
      <c r="BI100" s="76"/>
      <c r="BJ100" s="76">
        <v>1</v>
      </c>
      <c r="BK100" s="75" t="str">
        <f>REPLACE(INDEX(GroupVertices[Group],MATCH("~"&amp;Edges[[#This Row],[Vertex 1]],GroupVertices[Vertex],0)),1,1,"")</f>
        <v>13</v>
      </c>
      <c r="BL100" s="75" t="str">
        <f>REPLACE(INDEX(GroupVertices[Group],MATCH("~"&amp;Edges[[#This Row],[Vertex 2]],GroupVertices[Vertex],0)),1,1,"")</f>
        <v>13</v>
      </c>
    </row>
    <row r="101" spans="1:64" ht="15">
      <c r="A101" s="61" t="s">
        <v>618</v>
      </c>
      <c r="B101" s="61" t="s">
        <v>224</v>
      </c>
      <c r="C101" s="62"/>
      <c r="D101" s="63"/>
      <c r="E101" s="64"/>
      <c r="F101" s="65"/>
      <c r="G101" s="62"/>
      <c r="H101" s="66"/>
      <c r="I101" s="67"/>
      <c r="J101" s="67"/>
      <c r="K101" s="31" t="s">
        <v>65</v>
      </c>
      <c r="L101" s="74">
        <v>101</v>
      </c>
      <c r="M101" s="74"/>
      <c r="N101" s="69"/>
      <c r="O101" s="76" t="s">
        <v>227</v>
      </c>
      <c r="P101" s="78">
        <v>42956.652280092596</v>
      </c>
      <c r="Q101" s="76" t="s">
        <v>792</v>
      </c>
      <c r="R101" s="76">
        <v>0</v>
      </c>
      <c r="S101" s="76">
        <v>0</v>
      </c>
      <c r="T101" s="76">
        <v>0</v>
      </c>
      <c r="U101" s="76">
        <v>0</v>
      </c>
      <c r="V101" s="76"/>
      <c r="W101" s="76"/>
      <c r="X101" s="76"/>
      <c r="Y101" s="76"/>
      <c r="Z101" s="76" t="s">
        <v>910</v>
      </c>
      <c r="AA101" s="76"/>
      <c r="AB101" s="76"/>
      <c r="AC101" s="80" t="s">
        <v>953</v>
      </c>
      <c r="AD101" s="76" t="s">
        <v>244</v>
      </c>
      <c r="AE101" s="81" t="str">
        <f>HYPERLINK("https://twitter.com/wiergeezy/status/895308510719823874")</f>
        <v>https://twitter.com/wiergeezy/status/895308510719823874</v>
      </c>
      <c r="AF101" s="78">
        <v>42956.652280092596</v>
      </c>
      <c r="AG101" s="85">
        <v>42956</v>
      </c>
      <c r="AH101" s="80" t="s">
        <v>1020</v>
      </c>
      <c r="AI101" s="76"/>
      <c r="AJ101" s="76"/>
      <c r="AK101" s="76"/>
      <c r="AL101" s="76"/>
      <c r="AM101" s="76"/>
      <c r="AN101" s="76"/>
      <c r="AO101" s="76"/>
      <c r="AP101" s="76"/>
      <c r="AQ101" s="76"/>
      <c r="AR101" s="76"/>
      <c r="AS101" s="76"/>
      <c r="AT101" s="76"/>
      <c r="AU101" s="76"/>
      <c r="AV101" s="81" t="str">
        <f>HYPERLINK("https://pbs.twimg.com/profile_images/1716218904102473728/hm74tMme_normal.jpg")</f>
        <v>https://pbs.twimg.com/profile_images/1716218904102473728/hm74tMme_normal.jpg</v>
      </c>
      <c r="AW101" s="80" t="s">
        <v>1147</v>
      </c>
      <c r="AX101" s="80" t="s">
        <v>1147</v>
      </c>
      <c r="AY101" s="80" t="s">
        <v>251</v>
      </c>
      <c r="AZ101" s="80" t="s">
        <v>252</v>
      </c>
      <c r="BA101" s="80" t="s">
        <v>252</v>
      </c>
      <c r="BB101" s="80" t="s">
        <v>252</v>
      </c>
      <c r="BC101" s="80" t="s">
        <v>1147</v>
      </c>
      <c r="BD101" s="76">
        <v>3379407430</v>
      </c>
      <c r="BE101" s="76"/>
      <c r="BF101" s="76"/>
      <c r="BG101" s="76"/>
      <c r="BH101" s="76"/>
      <c r="BI101" s="76"/>
      <c r="BJ101" s="76">
        <v>1</v>
      </c>
      <c r="BK101" s="75" t="str">
        <f>REPLACE(INDEX(GroupVertices[Group],MATCH("~"&amp;Edges[[#This Row],[Vertex 1]],GroupVertices[Vertex],0)),1,1,"")</f>
        <v>13</v>
      </c>
      <c r="BL101" s="75" t="str">
        <f>REPLACE(INDEX(GroupVertices[Group],MATCH("~"&amp;Edges[[#This Row],[Vertex 2]],GroupVertices[Vertex],0)),1,1,"")</f>
        <v>1</v>
      </c>
    </row>
    <row r="102" spans="1:64" ht="15">
      <c r="A102" s="61" t="s">
        <v>619</v>
      </c>
      <c r="B102" s="61" t="s">
        <v>224</v>
      </c>
      <c r="C102" s="62"/>
      <c r="D102" s="63"/>
      <c r="E102" s="64"/>
      <c r="F102" s="65"/>
      <c r="G102" s="62"/>
      <c r="H102" s="66"/>
      <c r="I102" s="67"/>
      <c r="J102" s="67"/>
      <c r="K102" s="31" t="s">
        <v>65</v>
      </c>
      <c r="L102" s="74">
        <v>102</v>
      </c>
      <c r="M102" s="74"/>
      <c r="N102" s="69"/>
      <c r="O102" s="76" t="s">
        <v>227</v>
      </c>
      <c r="P102" s="78">
        <v>42964.983668981484</v>
      </c>
      <c r="Q102" s="76" t="s">
        <v>793</v>
      </c>
      <c r="R102" s="76">
        <v>0</v>
      </c>
      <c r="S102" s="76">
        <v>0</v>
      </c>
      <c r="T102" s="76">
        <v>0</v>
      </c>
      <c r="U102" s="76">
        <v>0</v>
      </c>
      <c r="V102" s="76"/>
      <c r="W102" s="76"/>
      <c r="X102" s="76"/>
      <c r="Y102" s="76"/>
      <c r="Z102" s="76" t="s">
        <v>224</v>
      </c>
      <c r="AA102" s="76"/>
      <c r="AB102" s="76"/>
      <c r="AC102" s="80" t="s">
        <v>947</v>
      </c>
      <c r="AD102" s="76" t="s">
        <v>244</v>
      </c>
      <c r="AE102" s="81" t="str">
        <f>HYPERLINK("https://twitter.com/shanebruwer/status/898327703157317633")</f>
        <v>https://twitter.com/shanebruwer/status/898327703157317633</v>
      </c>
      <c r="AF102" s="78">
        <v>42964.983668981484</v>
      </c>
      <c r="AG102" s="85">
        <v>42964</v>
      </c>
      <c r="AH102" s="80" t="s">
        <v>1021</v>
      </c>
      <c r="AI102" s="76"/>
      <c r="AJ102" s="76"/>
      <c r="AK102" s="76"/>
      <c r="AL102" s="76"/>
      <c r="AM102" s="76"/>
      <c r="AN102" s="76"/>
      <c r="AO102" s="76"/>
      <c r="AP102" s="76"/>
      <c r="AQ102" s="76"/>
      <c r="AR102" s="76"/>
      <c r="AS102" s="76"/>
      <c r="AT102" s="76"/>
      <c r="AU102" s="76"/>
      <c r="AV102" s="81" t="str">
        <f>HYPERLINK("https://pbs.twimg.com/profile_images/811184680871591936/8de1HSMQ_normal.jpg")</f>
        <v>https://pbs.twimg.com/profile_images/811184680871591936/8de1HSMQ_normal.jpg</v>
      </c>
      <c r="AW102" s="80" t="s">
        <v>1148</v>
      </c>
      <c r="AX102" s="80" t="s">
        <v>1148</v>
      </c>
      <c r="AY102" s="80" t="s">
        <v>251</v>
      </c>
      <c r="AZ102" s="80" t="s">
        <v>252</v>
      </c>
      <c r="BA102" s="80" t="s">
        <v>252</v>
      </c>
      <c r="BB102" s="80" t="s">
        <v>252</v>
      </c>
      <c r="BC102" s="80" t="s">
        <v>1148</v>
      </c>
      <c r="BD102" s="80" t="s">
        <v>1232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row>
    <row r="103" spans="1:64" ht="15">
      <c r="A103" s="61" t="s">
        <v>620</v>
      </c>
      <c r="B103" s="61" t="s">
        <v>224</v>
      </c>
      <c r="C103" s="62"/>
      <c r="D103" s="63"/>
      <c r="E103" s="64"/>
      <c r="F103" s="65"/>
      <c r="G103" s="62"/>
      <c r="H103" s="66"/>
      <c r="I103" s="67"/>
      <c r="J103" s="67"/>
      <c r="K103" s="31" t="s">
        <v>65</v>
      </c>
      <c r="L103" s="74">
        <v>103</v>
      </c>
      <c r="M103" s="74"/>
      <c r="N103" s="69"/>
      <c r="O103" s="76" t="s">
        <v>227</v>
      </c>
      <c r="P103" s="78">
        <v>42955.665358796294</v>
      </c>
      <c r="Q103" s="76" t="s">
        <v>794</v>
      </c>
      <c r="R103" s="76">
        <v>0</v>
      </c>
      <c r="S103" s="76">
        <v>0</v>
      </c>
      <c r="T103" s="76">
        <v>0</v>
      </c>
      <c r="U103" s="76">
        <v>0</v>
      </c>
      <c r="V103" s="76"/>
      <c r="W103" s="76"/>
      <c r="X103" s="81" t="str">
        <f>HYPERLINK("https://www.mynetcomms.com")</f>
        <v>https://www.mynetcomms.com</v>
      </c>
      <c r="Y103" s="76" t="s">
        <v>881</v>
      </c>
      <c r="Z103" s="76" t="s">
        <v>224</v>
      </c>
      <c r="AA103" s="76"/>
      <c r="AB103" s="76"/>
      <c r="AC103" s="80" t="s">
        <v>958</v>
      </c>
      <c r="AD103" s="76" t="s">
        <v>244</v>
      </c>
      <c r="AE103" s="81" t="str">
        <f>HYPERLINK("https://twitter.com/net_comms/status/894950859796234240")</f>
        <v>https://twitter.com/net_comms/status/894950859796234240</v>
      </c>
      <c r="AF103" s="78">
        <v>42955.665358796294</v>
      </c>
      <c r="AG103" s="85">
        <v>42955</v>
      </c>
      <c r="AH103" s="80" t="s">
        <v>1022</v>
      </c>
      <c r="AI103" s="76" t="b">
        <v>0</v>
      </c>
      <c r="AJ103" s="76"/>
      <c r="AK103" s="76"/>
      <c r="AL103" s="76"/>
      <c r="AM103" s="76"/>
      <c r="AN103" s="76"/>
      <c r="AO103" s="76"/>
      <c r="AP103" s="76"/>
      <c r="AQ103" s="76"/>
      <c r="AR103" s="76"/>
      <c r="AS103" s="76"/>
      <c r="AT103" s="76"/>
      <c r="AU103" s="76"/>
      <c r="AV103" s="81" t="str">
        <f>HYPERLINK("https://pbs.twimg.com/profile_images/748620904767315972/p-YTrHc4_normal.jpg")</f>
        <v>https://pbs.twimg.com/profile_images/748620904767315972/p-YTrHc4_normal.jpg</v>
      </c>
      <c r="AW103" s="80" t="s">
        <v>1149</v>
      </c>
      <c r="AX103" s="80" t="s">
        <v>1149</v>
      </c>
      <c r="AY103" s="80" t="s">
        <v>251</v>
      </c>
      <c r="AZ103" s="80" t="s">
        <v>252</v>
      </c>
      <c r="BA103" s="80" t="s">
        <v>252</v>
      </c>
      <c r="BB103" s="80" t="s">
        <v>252</v>
      </c>
      <c r="BC103" s="80" t="s">
        <v>1149</v>
      </c>
      <c r="BD103" s="80" t="s">
        <v>1233</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row>
    <row r="104" spans="1:64" ht="15">
      <c r="A104" s="61" t="s">
        <v>621</v>
      </c>
      <c r="B104" s="61" t="s">
        <v>696</v>
      </c>
      <c r="C104" s="62"/>
      <c r="D104" s="63"/>
      <c r="E104" s="64"/>
      <c r="F104" s="65"/>
      <c r="G104" s="62"/>
      <c r="H104" s="66"/>
      <c r="I104" s="67"/>
      <c r="J104" s="67"/>
      <c r="K104" s="31" t="s">
        <v>65</v>
      </c>
      <c r="L104" s="74">
        <v>104</v>
      </c>
      <c r="M104" s="74"/>
      <c r="N104" s="69"/>
      <c r="O104" s="76" t="s">
        <v>227</v>
      </c>
      <c r="P104" s="78">
        <v>42958.3590625</v>
      </c>
      <c r="Q104" s="76" t="s">
        <v>795</v>
      </c>
      <c r="R104" s="76">
        <v>1</v>
      </c>
      <c r="S104" s="76">
        <v>1</v>
      </c>
      <c r="T104" s="76">
        <v>0</v>
      </c>
      <c r="U104" s="76">
        <v>0</v>
      </c>
      <c r="V104" s="76"/>
      <c r="W104" s="80" t="s">
        <v>843</v>
      </c>
      <c r="X104" s="76"/>
      <c r="Y104" s="76"/>
      <c r="Z104" s="76" t="s">
        <v>911</v>
      </c>
      <c r="AA104" s="76"/>
      <c r="AB104" s="76"/>
      <c r="AC104" s="80" t="s">
        <v>947</v>
      </c>
      <c r="AD104" s="76" t="s">
        <v>244</v>
      </c>
      <c r="AE104" s="81" t="str">
        <f>HYPERLINK("https://twitter.com/1stchoicerec/status/895927026963623937")</f>
        <v>https://twitter.com/1stchoicerec/status/895927026963623937</v>
      </c>
      <c r="AF104" s="78">
        <v>42958.3590625</v>
      </c>
      <c r="AG104" s="85">
        <v>42958</v>
      </c>
      <c r="AH104" s="80" t="s">
        <v>1023</v>
      </c>
      <c r="AI104" s="76"/>
      <c r="AJ104" s="76"/>
      <c r="AK104" s="76"/>
      <c r="AL104" s="76"/>
      <c r="AM104" s="76"/>
      <c r="AN104" s="76"/>
      <c r="AO104" s="76"/>
      <c r="AP104" s="76"/>
      <c r="AQ104" s="76"/>
      <c r="AR104" s="76"/>
      <c r="AS104" s="76"/>
      <c r="AT104" s="76"/>
      <c r="AU104" s="76"/>
      <c r="AV104" s="81" t="str">
        <f>HYPERLINK("https://pbs.twimg.com/profile_images/1583030578785488897/2jdHclLv_normal.jpg")</f>
        <v>https://pbs.twimg.com/profile_images/1583030578785488897/2jdHclLv_normal.jpg</v>
      </c>
      <c r="AW104" s="80" t="s">
        <v>1150</v>
      </c>
      <c r="AX104" s="80" t="s">
        <v>1150</v>
      </c>
      <c r="AY104" s="76"/>
      <c r="AZ104" s="80" t="s">
        <v>252</v>
      </c>
      <c r="BA104" s="80" t="s">
        <v>252</v>
      </c>
      <c r="BB104" s="80" t="s">
        <v>252</v>
      </c>
      <c r="BC104" s="80" t="s">
        <v>1150</v>
      </c>
      <c r="BD104" s="76">
        <v>614218528</v>
      </c>
      <c r="BE104" s="76"/>
      <c r="BF104" s="76"/>
      <c r="BG104" s="76"/>
      <c r="BH104" s="76"/>
      <c r="BI104" s="76"/>
      <c r="BJ104" s="76">
        <v>1</v>
      </c>
      <c r="BK104" s="75" t="str">
        <f>REPLACE(INDEX(GroupVertices[Group],MATCH("~"&amp;Edges[[#This Row],[Vertex 1]],GroupVertices[Vertex],0)),1,1,"")</f>
        <v>8</v>
      </c>
      <c r="BL104" s="75" t="str">
        <f>REPLACE(INDEX(GroupVertices[Group],MATCH("~"&amp;Edges[[#This Row],[Vertex 2]],GroupVertices[Vertex],0)),1,1,"")</f>
        <v>8</v>
      </c>
    </row>
    <row r="105" spans="1:64" ht="15">
      <c r="A105" s="61" t="s">
        <v>621</v>
      </c>
      <c r="B105" s="61" t="s">
        <v>697</v>
      </c>
      <c r="C105" s="62"/>
      <c r="D105" s="63"/>
      <c r="E105" s="64"/>
      <c r="F105" s="65"/>
      <c r="G105" s="62"/>
      <c r="H105" s="66"/>
      <c r="I105" s="67"/>
      <c r="J105" s="67"/>
      <c r="K105" s="31" t="s">
        <v>65</v>
      </c>
      <c r="L105" s="74">
        <v>105</v>
      </c>
      <c r="M105" s="74"/>
      <c r="N105" s="69"/>
      <c r="O105" s="76" t="s">
        <v>227</v>
      </c>
      <c r="P105" s="78">
        <v>42958.3590625</v>
      </c>
      <c r="Q105" s="76" t="s">
        <v>795</v>
      </c>
      <c r="R105" s="76">
        <v>1</v>
      </c>
      <c r="S105" s="76">
        <v>1</v>
      </c>
      <c r="T105" s="76">
        <v>0</v>
      </c>
      <c r="U105" s="76">
        <v>0</v>
      </c>
      <c r="V105" s="76"/>
      <c r="W105" s="80" t="s">
        <v>843</v>
      </c>
      <c r="X105" s="76"/>
      <c r="Y105" s="76"/>
      <c r="Z105" s="76" t="s">
        <v>911</v>
      </c>
      <c r="AA105" s="76"/>
      <c r="AB105" s="76"/>
      <c r="AC105" s="80" t="s">
        <v>947</v>
      </c>
      <c r="AD105" s="76" t="s">
        <v>244</v>
      </c>
      <c r="AE105" s="81" t="str">
        <f>HYPERLINK("https://twitter.com/1stchoicerec/status/895927026963623937")</f>
        <v>https://twitter.com/1stchoicerec/status/895927026963623937</v>
      </c>
      <c r="AF105" s="78">
        <v>42958.3590625</v>
      </c>
      <c r="AG105" s="85">
        <v>42958</v>
      </c>
      <c r="AH105" s="80" t="s">
        <v>1023</v>
      </c>
      <c r="AI105" s="76"/>
      <c r="AJ105" s="76"/>
      <c r="AK105" s="76"/>
      <c r="AL105" s="76"/>
      <c r="AM105" s="76"/>
      <c r="AN105" s="76"/>
      <c r="AO105" s="76"/>
      <c r="AP105" s="76"/>
      <c r="AQ105" s="76"/>
      <c r="AR105" s="76"/>
      <c r="AS105" s="76"/>
      <c r="AT105" s="76"/>
      <c r="AU105" s="76"/>
      <c r="AV105" s="81" t="str">
        <f>HYPERLINK("https://pbs.twimg.com/profile_images/1583030578785488897/2jdHclLv_normal.jpg")</f>
        <v>https://pbs.twimg.com/profile_images/1583030578785488897/2jdHclLv_normal.jpg</v>
      </c>
      <c r="AW105" s="80" t="s">
        <v>1150</v>
      </c>
      <c r="AX105" s="80" t="s">
        <v>1150</v>
      </c>
      <c r="AY105" s="76"/>
      <c r="AZ105" s="80" t="s">
        <v>252</v>
      </c>
      <c r="BA105" s="80" t="s">
        <v>252</v>
      </c>
      <c r="BB105" s="80" t="s">
        <v>252</v>
      </c>
      <c r="BC105" s="80" t="s">
        <v>1150</v>
      </c>
      <c r="BD105" s="76">
        <v>614218528</v>
      </c>
      <c r="BE105" s="76"/>
      <c r="BF105" s="76"/>
      <c r="BG105" s="76"/>
      <c r="BH105" s="76"/>
      <c r="BI105" s="76"/>
      <c r="BJ105" s="76">
        <v>1</v>
      </c>
      <c r="BK105" s="75" t="str">
        <f>REPLACE(INDEX(GroupVertices[Group],MATCH("~"&amp;Edges[[#This Row],[Vertex 1]],GroupVertices[Vertex],0)),1,1,"")</f>
        <v>8</v>
      </c>
      <c r="BL105" s="75" t="str">
        <f>REPLACE(INDEX(GroupVertices[Group],MATCH("~"&amp;Edges[[#This Row],[Vertex 2]],GroupVertices[Vertex],0)),1,1,"")</f>
        <v>8</v>
      </c>
    </row>
    <row r="106" spans="1:64" ht="15">
      <c r="A106" s="61" t="s">
        <v>621</v>
      </c>
      <c r="B106" s="61" t="s">
        <v>224</v>
      </c>
      <c r="C106" s="62"/>
      <c r="D106" s="63"/>
      <c r="E106" s="64"/>
      <c r="F106" s="65"/>
      <c r="G106" s="62"/>
      <c r="H106" s="66"/>
      <c r="I106" s="67"/>
      <c r="J106" s="67"/>
      <c r="K106" s="31" t="s">
        <v>65</v>
      </c>
      <c r="L106" s="74">
        <v>106</v>
      </c>
      <c r="M106" s="74"/>
      <c r="N106" s="69"/>
      <c r="O106" s="76" t="s">
        <v>227</v>
      </c>
      <c r="P106" s="78">
        <v>42958.3590625</v>
      </c>
      <c r="Q106" s="76" t="s">
        <v>795</v>
      </c>
      <c r="R106" s="76">
        <v>1</v>
      </c>
      <c r="S106" s="76">
        <v>1</v>
      </c>
      <c r="T106" s="76">
        <v>0</v>
      </c>
      <c r="U106" s="76">
        <v>0</v>
      </c>
      <c r="V106" s="76"/>
      <c r="W106" s="80" t="s">
        <v>843</v>
      </c>
      <c r="X106" s="76"/>
      <c r="Y106" s="76"/>
      <c r="Z106" s="76" t="s">
        <v>911</v>
      </c>
      <c r="AA106" s="76"/>
      <c r="AB106" s="76"/>
      <c r="AC106" s="80" t="s">
        <v>947</v>
      </c>
      <c r="AD106" s="76" t="s">
        <v>244</v>
      </c>
      <c r="AE106" s="81" t="str">
        <f>HYPERLINK("https://twitter.com/1stchoicerec/status/895927026963623937")</f>
        <v>https://twitter.com/1stchoicerec/status/895927026963623937</v>
      </c>
      <c r="AF106" s="78">
        <v>42958.3590625</v>
      </c>
      <c r="AG106" s="85">
        <v>42958</v>
      </c>
      <c r="AH106" s="80" t="s">
        <v>1023</v>
      </c>
      <c r="AI106" s="76"/>
      <c r="AJ106" s="76"/>
      <c r="AK106" s="76"/>
      <c r="AL106" s="76"/>
      <c r="AM106" s="76"/>
      <c r="AN106" s="76"/>
      <c r="AO106" s="76"/>
      <c r="AP106" s="76"/>
      <c r="AQ106" s="76"/>
      <c r="AR106" s="76"/>
      <c r="AS106" s="76"/>
      <c r="AT106" s="76"/>
      <c r="AU106" s="76"/>
      <c r="AV106" s="81" t="str">
        <f>HYPERLINK("https://pbs.twimg.com/profile_images/1583030578785488897/2jdHclLv_normal.jpg")</f>
        <v>https://pbs.twimg.com/profile_images/1583030578785488897/2jdHclLv_normal.jpg</v>
      </c>
      <c r="AW106" s="80" t="s">
        <v>1150</v>
      </c>
      <c r="AX106" s="80" t="s">
        <v>1150</v>
      </c>
      <c r="AY106" s="76"/>
      <c r="AZ106" s="80" t="s">
        <v>252</v>
      </c>
      <c r="BA106" s="80" t="s">
        <v>252</v>
      </c>
      <c r="BB106" s="80" t="s">
        <v>252</v>
      </c>
      <c r="BC106" s="80" t="s">
        <v>1150</v>
      </c>
      <c r="BD106" s="76">
        <v>614218528</v>
      </c>
      <c r="BE106" s="76"/>
      <c r="BF106" s="76"/>
      <c r="BG106" s="76"/>
      <c r="BH106" s="76"/>
      <c r="BI106" s="76"/>
      <c r="BJ106" s="76">
        <v>1</v>
      </c>
      <c r="BK106" s="75" t="str">
        <f>REPLACE(INDEX(GroupVertices[Group],MATCH("~"&amp;Edges[[#This Row],[Vertex 1]],GroupVertices[Vertex],0)),1,1,"")</f>
        <v>8</v>
      </c>
      <c r="BL106" s="75" t="str">
        <f>REPLACE(INDEX(GroupVertices[Group],MATCH("~"&amp;Edges[[#This Row],[Vertex 2]],GroupVertices[Vertex],0)),1,1,"")</f>
        <v>1</v>
      </c>
    </row>
    <row r="107" spans="1:64" ht="15">
      <c r="A107" s="61" t="s">
        <v>622</v>
      </c>
      <c r="B107" s="61" t="s">
        <v>224</v>
      </c>
      <c r="C107" s="62"/>
      <c r="D107" s="63"/>
      <c r="E107" s="64"/>
      <c r="F107" s="65"/>
      <c r="G107" s="62"/>
      <c r="H107" s="66"/>
      <c r="I107" s="67"/>
      <c r="J107" s="67"/>
      <c r="K107" s="31" t="s">
        <v>65</v>
      </c>
      <c r="L107" s="74">
        <v>107</v>
      </c>
      <c r="M107" s="74"/>
      <c r="N107" s="69"/>
      <c r="O107" s="76" t="s">
        <v>227</v>
      </c>
      <c r="P107" s="78">
        <v>42880.759108796294</v>
      </c>
      <c r="Q107" s="76" t="s">
        <v>796</v>
      </c>
      <c r="R107" s="76">
        <v>0</v>
      </c>
      <c r="S107" s="76">
        <v>0</v>
      </c>
      <c r="T107" s="76">
        <v>0</v>
      </c>
      <c r="U107" s="76">
        <v>0</v>
      </c>
      <c r="V107" s="76"/>
      <c r="W107" s="76"/>
      <c r="X107" s="76"/>
      <c r="Y107" s="76"/>
      <c r="Z107" s="76" t="s">
        <v>224</v>
      </c>
      <c r="AA107" s="76"/>
      <c r="AB107" s="76"/>
      <c r="AC107" s="80" t="s">
        <v>959</v>
      </c>
      <c r="AD107" s="76" t="s">
        <v>244</v>
      </c>
      <c r="AE107" s="81" t="str">
        <f>HYPERLINK("https://twitter.com/laura_logic/status/867805745831653376")</f>
        <v>https://twitter.com/laura_logic/status/867805745831653376</v>
      </c>
      <c r="AF107" s="78">
        <v>42880.759108796294</v>
      </c>
      <c r="AG107" s="85">
        <v>42880</v>
      </c>
      <c r="AH107" s="80" t="s">
        <v>1024</v>
      </c>
      <c r="AI107" s="76"/>
      <c r="AJ107" s="76"/>
      <c r="AK107" s="76"/>
      <c r="AL107" s="76"/>
      <c r="AM107" s="76"/>
      <c r="AN107" s="76"/>
      <c r="AO107" s="76"/>
      <c r="AP107" s="76"/>
      <c r="AQ107" s="76"/>
      <c r="AR107" s="76"/>
      <c r="AS107" s="76"/>
      <c r="AT107" s="76"/>
      <c r="AU107" s="76"/>
      <c r="AV107" s="81" t="str">
        <f>HYPERLINK("https://pbs.twimg.com/profile_images/859122178880679936/Pjt1p7l7_normal.jpg")</f>
        <v>https://pbs.twimg.com/profile_images/859122178880679936/Pjt1p7l7_normal.jpg</v>
      </c>
      <c r="AW107" s="80" t="s">
        <v>1151</v>
      </c>
      <c r="AX107" s="80" t="s">
        <v>1151</v>
      </c>
      <c r="AY107" s="80" t="s">
        <v>251</v>
      </c>
      <c r="AZ107" s="80" t="s">
        <v>252</v>
      </c>
      <c r="BA107" s="80" t="s">
        <v>252</v>
      </c>
      <c r="BB107" s="80" t="s">
        <v>252</v>
      </c>
      <c r="BC107" s="80" t="s">
        <v>1151</v>
      </c>
      <c r="BD107" s="80" t="s">
        <v>1234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row>
    <row r="108" spans="1:64" ht="15">
      <c r="A108" s="61" t="s">
        <v>623</v>
      </c>
      <c r="B108" s="61" t="s">
        <v>224</v>
      </c>
      <c r="C108" s="62"/>
      <c r="D108" s="63"/>
      <c r="E108" s="64"/>
      <c r="F108" s="65"/>
      <c r="G108" s="62"/>
      <c r="H108" s="66"/>
      <c r="I108" s="67"/>
      <c r="J108" s="67"/>
      <c r="K108" s="31" t="s">
        <v>65</v>
      </c>
      <c r="L108" s="74">
        <v>108</v>
      </c>
      <c r="M108" s="74"/>
      <c r="N108" s="69"/>
      <c r="O108" s="76" t="s">
        <v>228</v>
      </c>
      <c r="P108" s="78">
        <v>44357.18619212963</v>
      </c>
      <c r="Q108" s="76" t="s">
        <v>797</v>
      </c>
      <c r="R108" s="76">
        <v>0</v>
      </c>
      <c r="S108" s="76">
        <v>0</v>
      </c>
      <c r="T108" s="76">
        <v>0</v>
      </c>
      <c r="U108" s="76">
        <v>0</v>
      </c>
      <c r="V108" s="76"/>
      <c r="W108" s="80" t="s">
        <v>844</v>
      </c>
      <c r="X108" s="76"/>
      <c r="Y108" s="76"/>
      <c r="Z108" s="76" t="s">
        <v>224</v>
      </c>
      <c r="AA108" s="76"/>
      <c r="AB108" s="76"/>
      <c r="AC108" s="80" t="s">
        <v>240</v>
      </c>
      <c r="AD108" s="76" t="s">
        <v>245</v>
      </c>
      <c r="AE108" s="81" t="str">
        <f>HYPERLINK("https://twitter.com/azahar_shaik/status/1402845005987778563")</f>
        <v>https://twitter.com/azahar_shaik/status/1402845005987778563</v>
      </c>
      <c r="AF108" s="78">
        <v>44357.18619212963</v>
      </c>
      <c r="AG108" s="85">
        <v>44357</v>
      </c>
      <c r="AH108" s="80" t="s">
        <v>1025</v>
      </c>
      <c r="AI108" s="76"/>
      <c r="AJ108" s="76"/>
      <c r="AK108" s="76"/>
      <c r="AL108" s="76"/>
      <c r="AM108" s="76"/>
      <c r="AN108" s="76"/>
      <c r="AO108" s="76"/>
      <c r="AP108" s="76"/>
      <c r="AQ108" s="76"/>
      <c r="AR108" s="76"/>
      <c r="AS108" s="76"/>
      <c r="AT108" s="76"/>
      <c r="AU108" s="76"/>
      <c r="AV108" s="81" t="str">
        <f>HYPERLINK("https://pbs.twimg.com/profile_images/1720078767241175040/9oePXJmw_normal.jpg")</f>
        <v>https://pbs.twimg.com/profile_images/1720078767241175040/9oePXJmw_normal.jpg</v>
      </c>
      <c r="AW108" s="80" t="s">
        <v>1152</v>
      </c>
      <c r="AX108" s="80" t="s">
        <v>1186</v>
      </c>
      <c r="AY108" s="80" t="s">
        <v>251</v>
      </c>
      <c r="AZ108" s="80" t="s">
        <v>1186</v>
      </c>
      <c r="BA108" s="80" t="s">
        <v>252</v>
      </c>
      <c r="BB108" s="80" t="s">
        <v>252</v>
      </c>
      <c r="BC108" s="80" t="s">
        <v>1186</v>
      </c>
      <c r="BD108" s="76">
        <v>2151120626</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row>
    <row r="109" spans="1:64" ht="15">
      <c r="A109" s="61" t="s">
        <v>624</v>
      </c>
      <c r="B109" s="61" t="s">
        <v>224</v>
      </c>
      <c r="C109" s="62"/>
      <c r="D109" s="63"/>
      <c r="E109" s="64"/>
      <c r="F109" s="65"/>
      <c r="G109" s="62"/>
      <c r="H109" s="66"/>
      <c r="I109" s="67"/>
      <c r="J109" s="67"/>
      <c r="K109" s="31" t="s">
        <v>65</v>
      </c>
      <c r="L109" s="74">
        <v>109</v>
      </c>
      <c r="M109" s="74"/>
      <c r="N109" s="69"/>
      <c r="O109" s="76" t="s">
        <v>227</v>
      </c>
      <c r="P109" s="78">
        <v>42953.45511574074</v>
      </c>
      <c r="Q109" s="76" t="s">
        <v>798</v>
      </c>
      <c r="R109" s="76">
        <v>0</v>
      </c>
      <c r="S109" s="76">
        <v>0</v>
      </c>
      <c r="T109" s="76">
        <v>0</v>
      </c>
      <c r="U109" s="76">
        <v>0</v>
      </c>
      <c r="V109" s="76"/>
      <c r="W109" s="76"/>
      <c r="X109" s="81" t="str">
        <f>HYPERLINK("http://goo.gl/nV4liR")</f>
        <v>http://goo.gl/nV4liR</v>
      </c>
      <c r="Y109" s="76" t="s">
        <v>400</v>
      </c>
      <c r="Z109" s="76" t="s">
        <v>224</v>
      </c>
      <c r="AA109" s="76"/>
      <c r="AB109" s="76"/>
      <c r="AC109" s="80" t="s">
        <v>950</v>
      </c>
      <c r="AD109" s="76" t="s">
        <v>244</v>
      </c>
      <c r="AE109" s="81" t="str">
        <f>HYPERLINK("https://twitter.com/peopleperhour/status/894149896693002242")</f>
        <v>https://twitter.com/peopleperhour/status/894149896693002242</v>
      </c>
      <c r="AF109" s="78">
        <v>42953.45511574074</v>
      </c>
      <c r="AG109" s="85">
        <v>42953</v>
      </c>
      <c r="AH109" s="80" t="s">
        <v>1026</v>
      </c>
      <c r="AI109" s="76" t="b">
        <v>0</v>
      </c>
      <c r="AJ109" s="76"/>
      <c r="AK109" s="76"/>
      <c r="AL109" s="76"/>
      <c r="AM109" s="76"/>
      <c r="AN109" s="76"/>
      <c r="AO109" s="76"/>
      <c r="AP109" s="76"/>
      <c r="AQ109" s="76"/>
      <c r="AR109" s="76"/>
      <c r="AS109" s="76"/>
      <c r="AT109" s="76"/>
      <c r="AU109" s="76"/>
      <c r="AV109" s="81" t="str">
        <f>HYPERLINK("https://pbs.twimg.com/profile_images/1039867729090633728/_kLkBl4l_normal.jpg")</f>
        <v>https://pbs.twimg.com/profile_images/1039867729090633728/_kLkBl4l_normal.jpg</v>
      </c>
      <c r="AW109" s="80" t="s">
        <v>1153</v>
      </c>
      <c r="AX109" s="80" t="s">
        <v>1153</v>
      </c>
      <c r="AY109" s="80" t="s">
        <v>251</v>
      </c>
      <c r="AZ109" s="80" t="s">
        <v>252</v>
      </c>
      <c r="BA109" s="80" t="s">
        <v>252</v>
      </c>
      <c r="BB109" s="80" t="s">
        <v>252</v>
      </c>
      <c r="BC109" s="80" t="s">
        <v>1153</v>
      </c>
      <c r="BD109" s="76">
        <v>44859671</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row>
    <row r="110" spans="1:64" ht="15">
      <c r="A110" s="61" t="s">
        <v>625</v>
      </c>
      <c r="B110" s="61" t="s">
        <v>224</v>
      </c>
      <c r="C110" s="62"/>
      <c r="D110" s="63"/>
      <c r="E110" s="64"/>
      <c r="F110" s="65"/>
      <c r="G110" s="62"/>
      <c r="H110" s="66"/>
      <c r="I110" s="67"/>
      <c r="J110" s="67"/>
      <c r="K110" s="31" t="s">
        <v>65</v>
      </c>
      <c r="L110" s="74">
        <v>110</v>
      </c>
      <c r="M110" s="74"/>
      <c r="N110" s="69"/>
      <c r="O110" s="76" t="s">
        <v>227</v>
      </c>
      <c r="P110" s="78">
        <v>42965.30613425926</v>
      </c>
      <c r="Q110" s="76" t="s">
        <v>799</v>
      </c>
      <c r="R110" s="76">
        <v>0</v>
      </c>
      <c r="S110" s="76">
        <v>0</v>
      </c>
      <c r="T110" s="76">
        <v>0</v>
      </c>
      <c r="U110" s="76">
        <v>0</v>
      </c>
      <c r="V110" s="76"/>
      <c r="W110" s="76"/>
      <c r="X110" s="81" t="str">
        <f>HYPERLINK("https://www.awwwards.com/sites/onbrand-17-beyond")</f>
        <v>https://www.awwwards.com/sites/onbrand-17-beyond</v>
      </c>
      <c r="Y110" s="76" t="s">
        <v>882</v>
      </c>
      <c r="Z110" s="76" t="s">
        <v>224</v>
      </c>
      <c r="AA110" s="76"/>
      <c r="AB110" s="76"/>
      <c r="AC110" s="80" t="s">
        <v>947</v>
      </c>
      <c r="AD110" s="76" t="s">
        <v>244</v>
      </c>
      <c r="AE110" s="81" t="str">
        <f>HYPERLINK("https://twitter.com/iistefka/status/898444560598147072")</f>
        <v>https://twitter.com/iistefka/status/898444560598147072</v>
      </c>
      <c r="AF110" s="78">
        <v>42965.30613425926</v>
      </c>
      <c r="AG110" s="85">
        <v>42965</v>
      </c>
      <c r="AH110" s="80" t="s">
        <v>1027</v>
      </c>
      <c r="AI110" s="76" t="b">
        <v>0</v>
      </c>
      <c r="AJ110" s="76"/>
      <c r="AK110" s="76"/>
      <c r="AL110" s="76"/>
      <c r="AM110" s="76"/>
      <c r="AN110" s="76"/>
      <c r="AO110" s="76"/>
      <c r="AP110" s="76"/>
      <c r="AQ110" s="76"/>
      <c r="AR110" s="76"/>
      <c r="AS110" s="76"/>
      <c r="AT110" s="76"/>
      <c r="AU110" s="76"/>
      <c r="AV110" s="81" t="str">
        <f>HYPERLINK("https://pbs.twimg.com/profile_images/1432721216239022084/Hjg-QIdM_normal.jpg")</f>
        <v>https://pbs.twimg.com/profile_images/1432721216239022084/Hjg-QIdM_normal.jpg</v>
      </c>
      <c r="AW110" s="80" t="s">
        <v>1154</v>
      </c>
      <c r="AX110" s="80" t="s">
        <v>1154</v>
      </c>
      <c r="AY110" s="80" t="s">
        <v>251</v>
      </c>
      <c r="AZ110" s="80" t="s">
        <v>252</v>
      </c>
      <c r="BA110" s="80" t="s">
        <v>252</v>
      </c>
      <c r="BB110" s="80" t="s">
        <v>252</v>
      </c>
      <c r="BC110" s="80" t="s">
        <v>1154</v>
      </c>
      <c r="BD110" s="76">
        <v>3401908216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row>
    <row r="111" spans="1:64" ht="15">
      <c r="A111" s="61" t="s">
        <v>626</v>
      </c>
      <c r="B111" s="61" t="s">
        <v>224</v>
      </c>
      <c r="C111" s="62"/>
      <c r="D111" s="63"/>
      <c r="E111" s="64"/>
      <c r="F111" s="65"/>
      <c r="G111" s="62"/>
      <c r="H111" s="66"/>
      <c r="I111" s="67"/>
      <c r="J111" s="67"/>
      <c r="K111" s="31" t="s">
        <v>65</v>
      </c>
      <c r="L111" s="74">
        <v>111</v>
      </c>
      <c r="M111" s="74"/>
      <c r="N111" s="69"/>
      <c r="O111" s="76" t="s">
        <v>227</v>
      </c>
      <c r="P111" s="78">
        <v>42968.27091435185</v>
      </c>
      <c r="Q111" s="76" t="s">
        <v>800</v>
      </c>
      <c r="R111" s="76">
        <v>0</v>
      </c>
      <c r="S111" s="76">
        <v>0</v>
      </c>
      <c r="T111" s="76">
        <v>0</v>
      </c>
      <c r="U111" s="76">
        <v>0</v>
      </c>
      <c r="V111" s="76"/>
      <c r="W111" s="80" t="s">
        <v>845</v>
      </c>
      <c r="X111" s="81" t="str">
        <f>HYPERLINK("http://willow.link/grounded/")</f>
        <v>http://willow.link/grounded/</v>
      </c>
      <c r="Y111" s="76" t="s">
        <v>883</v>
      </c>
      <c r="Z111" s="76" t="s">
        <v>224</v>
      </c>
      <c r="AA111" s="76" t="s">
        <v>933</v>
      </c>
      <c r="AB111" s="76" t="s">
        <v>237</v>
      </c>
      <c r="AC111" s="80" t="s">
        <v>960</v>
      </c>
      <c r="AD111" s="76" t="s">
        <v>244</v>
      </c>
      <c r="AE111" s="81" t="str">
        <f>HYPERLINK("https://twitter.com/willowassist/status/899518961217351680")</f>
        <v>https://twitter.com/willowassist/status/899518961217351680</v>
      </c>
      <c r="AF111" s="78">
        <v>42968.27091435185</v>
      </c>
      <c r="AG111" s="85">
        <v>42968</v>
      </c>
      <c r="AH111" s="80" t="s">
        <v>1028</v>
      </c>
      <c r="AI111" s="76" t="b">
        <v>0</v>
      </c>
      <c r="AJ111" s="76"/>
      <c r="AK111" s="76"/>
      <c r="AL111" s="76"/>
      <c r="AM111" s="76"/>
      <c r="AN111" s="76"/>
      <c r="AO111" s="76"/>
      <c r="AP111" s="76"/>
      <c r="AQ111" s="76" t="s">
        <v>1074</v>
      </c>
      <c r="AR111" s="76"/>
      <c r="AS111" s="76"/>
      <c r="AT111" s="76"/>
      <c r="AU111" s="76"/>
      <c r="AV111" s="81" t="str">
        <f>HYPERLINK("https://pbs.twimg.com/media/DHu7ukAXcAAuWO3.jpg")</f>
        <v>https://pbs.twimg.com/media/DHu7ukAXcAAuWO3.jpg</v>
      </c>
      <c r="AW111" s="80" t="s">
        <v>1155</v>
      </c>
      <c r="AX111" s="80" t="s">
        <v>1155</v>
      </c>
      <c r="AY111" s="76"/>
      <c r="AZ111" s="80" t="s">
        <v>252</v>
      </c>
      <c r="BA111" s="80" t="s">
        <v>252</v>
      </c>
      <c r="BB111" s="80" t="s">
        <v>252</v>
      </c>
      <c r="BC111" s="80" t="s">
        <v>1155</v>
      </c>
      <c r="BD111" s="76">
        <v>3007133678</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row>
    <row r="112" spans="1:64" ht="15">
      <c r="A112" s="61" t="s">
        <v>627</v>
      </c>
      <c r="B112" s="61" t="s">
        <v>224</v>
      </c>
      <c r="C112" s="62"/>
      <c r="D112" s="63"/>
      <c r="E112" s="64"/>
      <c r="F112" s="65"/>
      <c r="G112" s="62"/>
      <c r="H112" s="66"/>
      <c r="I112" s="67"/>
      <c r="J112" s="67"/>
      <c r="K112" s="31" t="s">
        <v>65</v>
      </c>
      <c r="L112" s="74">
        <v>112</v>
      </c>
      <c r="M112" s="74"/>
      <c r="N112" s="69"/>
      <c r="O112" s="76" t="s">
        <v>227</v>
      </c>
      <c r="P112" s="78">
        <v>43076.45625</v>
      </c>
      <c r="Q112" s="76" t="s">
        <v>801</v>
      </c>
      <c r="R112" s="76">
        <v>0</v>
      </c>
      <c r="S112" s="76">
        <v>1</v>
      </c>
      <c r="T112" s="76">
        <v>0</v>
      </c>
      <c r="U112" s="76">
        <v>0</v>
      </c>
      <c r="V112" s="76"/>
      <c r="W112" s="80" t="s">
        <v>846</v>
      </c>
      <c r="X112" s="81" t="str">
        <f>HYPERLINK("http://goo.gl/r2JwDD")</f>
        <v>http://goo.gl/r2JwDD</v>
      </c>
      <c r="Y112" s="76" t="s">
        <v>400</v>
      </c>
      <c r="Z112" s="76" t="s">
        <v>224</v>
      </c>
      <c r="AA112" s="76" t="s">
        <v>934</v>
      </c>
      <c r="AB112" s="76" t="s">
        <v>237</v>
      </c>
      <c r="AC112" s="80" t="s">
        <v>947</v>
      </c>
      <c r="AD112" s="76" t="s">
        <v>244</v>
      </c>
      <c r="AE112" s="81" t="str">
        <f>HYPERLINK("https://twitter.com/suryakotianu/status/938724013945131009")</f>
        <v>https://twitter.com/suryakotianu/status/938724013945131009</v>
      </c>
      <c r="AF112" s="78">
        <v>43076.45625</v>
      </c>
      <c r="AG112" s="85">
        <v>43076</v>
      </c>
      <c r="AH112" s="80" t="s">
        <v>405</v>
      </c>
      <c r="AI112" s="76" t="b">
        <v>0</v>
      </c>
      <c r="AJ112" s="76"/>
      <c r="AK112" s="76"/>
      <c r="AL112" s="76"/>
      <c r="AM112" s="76"/>
      <c r="AN112" s="76"/>
      <c r="AO112" s="76"/>
      <c r="AP112" s="76"/>
      <c r="AQ112" s="76" t="s">
        <v>1075</v>
      </c>
      <c r="AR112" s="76"/>
      <c r="AS112" s="76"/>
      <c r="AT112" s="76"/>
      <c r="AU112" s="76"/>
      <c r="AV112" s="81" t="str">
        <f>HYPERLINK("https://pbs.twimg.com/media/DQcEfsqU8AEDHU2.jpg")</f>
        <v>https://pbs.twimg.com/media/DQcEfsqU8AEDHU2.jpg</v>
      </c>
      <c r="AW112" s="80" t="s">
        <v>1156</v>
      </c>
      <c r="AX112" s="80" t="s">
        <v>1156</v>
      </c>
      <c r="AY112" s="76"/>
      <c r="AZ112" s="80" t="s">
        <v>252</v>
      </c>
      <c r="BA112" s="80" t="s">
        <v>252</v>
      </c>
      <c r="BB112" s="80" t="s">
        <v>252</v>
      </c>
      <c r="BC112" s="80" t="s">
        <v>1156</v>
      </c>
      <c r="BD112" s="80" t="s">
        <v>1235</v>
      </c>
      <c r="BE112" s="76"/>
      <c r="BF112" s="76"/>
      <c r="BG112" s="76"/>
      <c r="BH112" s="76"/>
      <c r="BI112" s="76"/>
      <c r="BJ112" s="76">
        <v>7</v>
      </c>
      <c r="BK112" s="75" t="str">
        <f>REPLACE(INDEX(GroupVertices[Group],MATCH("~"&amp;Edges[[#This Row],[Vertex 1]],GroupVertices[Vertex],0)),1,1,"")</f>
        <v>1</v>
      </c>
      <c r="BL112" s="75" t="str">
        <f>REPLACE(INDEX(GroupVertices[Group],MATCH("~"&amp;Edges[[#This Row],[Vertex 2]],GroupVertices[Vertex],0)),1,1,"")</f>
        <v>1</v>
      </c>
    </row>
    <row r="113" spans="1:64" ht="15">
      <c r="A113" s="61" t="s">
        <v>628</v>
      </c>
      <c r="B113" s="61" t="s">
        <v>627</v>
      </c>
      <c r="C113" s="62"/>
      <c r="D113" s="63"/>
      <c r="E113" s="64"/>
      <c r="F113" s="65"/>
      <c r="G113" s="62"/>
      <c r="H113" s="66"/>
      <c r="I113" s="67"/>
      <c r="J113" s="67"/>
      <c r="K113" s="31" t="s">
        <v>65</v>
      </c>
      <c r="L113" s="74">
        <v>113</v>
      </c>
      <c r="M113" s="74"/>
      <c r="N113" s="69"/>
      <c r="O113" s="76" t="s">
        <v>229</v>
      </c>
      <c r="P113" s="78">
        <v>43076.32100694445</v>
      </c>
      <c r="Q113" s="76" t="s">
        <v>802</v>
      </c>
      <c r="R113" s="76">
        <v>0</v>
      </c>
      <c r="S113" s="76">
        <v>0</v>
      </c>
      <c r="T113" s="76">
        <v>0</v>
      </c>
      <c r="U113" s="76">
        <v>0</v>
      </c>
      <c r="V113" s="76"/>
      <c r="W113" s="80" t="s">
        <v>831</v>
      </c>
      <c r="X113" s="76" t="s">
        <v>859</v>
      </c>
      <c r="Y113" s="76" t="s">
        <v>577</v>
      </c>
      <c r="Z113" s="76" t="s">
        <v>224</v>
      </c>
      <c r="AA113" s="76" t="s">
        <v>935</v>
      </c>
      <c r="AB113" s="76" t="s">
        <v>237</v>
      </c>
      <c r="AC113" s="80" t="s">
        <v>243</v>
      </c>
      <c r="AD113" s="76" t="s">
        <v>244</v>
      </c>
      <c r="AE113" s="81" t="str">
        <f>HYPERLINK("https://twitter.com/mehkaadams/status/938675005411545090")</f>
        <v>https://twitter.com/mehkaadams/status/938675005411545090</v>
      </c>
      <c r="AF113" s="78">
        <v>43076.32100694445</v>
      </c>
      <c r="AG113" s="85">
        <v>43076</v>
      </c>
      <c r="AH113" s="80" t="s">
        <v>1029</v>
      </c>
      <c r="AI113" s="76" t="b">
        <v>0</v>
      </c>
      <c r="AJ113" s="76"/>
      <c r="AK113" s="76"/>
      <c r="AL113" s="76"/>
      <c r="AM113" s="76"/>
      <c r="AN113" s="76"/>
      <c r="AO113" s="76"/>
      <c r="AP113" s="76"/>
      <c r="AQ113" s="76" t="s">
        <v>1069</v>
      </c>
      <c r="AR113" s="76"/>
      <c r="AS113" s="76"/>
      <c r="AT113" s="76"/>
      <c r="AU113" s="76"/>
      <c r="AV113" s="81" t="str">
        <f>HYPERLINK("https://pbs.twimg.com/media/DQbRJ0UUQAYtAx5.jpg")</f>
        <v>https://pbs.twimg.com/media/DQbRJ0UUQAYtAx5.jpg</v>
      </c>
      <c r="AW113" s="80" t="s">
        <v>1158</v>
      </c>
      <c r="AX113" s="80" t="s">
        <v>1158</v>
      </c>
      <c r="AY113" s="76"/>
      <c r="AZ113" s="80" t="s">
        <v>252</v>
      </c>
      <c r="BA113" s="80" t="s">
        <v>1157</v>
      </c>
      <c r="BB113" s="80" t="s">
        <v>252</v>
      </c>
      <c r="BC113" s="80" t="s">
        <v>1157</v>
      </c>
      <c r="BD113" s="80" t="s">
        <v>1236</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row>
    <row r="114" spans="1:64" ht="15">
      <c r="A114" s="61" t="s">
        <v>628</v>
      </c>
      <c r="B114" s="61" t="s">
        <v>224</v>
      </c>
      <c r="C114" s="62"/>
      <c r="D114" s="63"/>
      <c r="E114" s="64"/>
      <c r="F114" s="65"/>
      <c r="G114" s="62"/>
      <c r="H114" s="66"/>
      <c r="I114" s="67"/>
      <c r="J114" s="67"/>
      <c r="K114" s="31" t="s">
        <v>65</v>
      </c>
      <c r="L114" s="74">
        <v>114</v>
      </c>
      <c r="M114" s="74"/>
      <c r="N114" s="69"/>
      <c r="O114" s="76" t="s">
        <v>231</v>
      </c>
      <c r="P114" s="78">
        <v>43076.32100694445</v>
      </c>
      <c r="Q114" s="76" t="s">
        <v>802</v>
      </c>
      <c r="R114" s="76">
        <v>0</v>
      </c>
      <c r="S114" s="76">
        <v>0</v>
      </c>
      <c r="T114" s="76">
        <v>0</v>
      </c>
      <c r="U114" s="76">
        <v>0</v>
      </c>
      <c r="V114" s="76"/>
      <c r="W114" s="80" t="s">
        <v>831</v>
      </c>
      <c r="X114" s="76" t="s">
        <v>859</v>
      </c>
      <c r="Y114" s="76" t="s">
        <v>577</v>
      </c>
      <c r="Z114" s="76" t="s">
        <v>224</v>
      </c>
      <c r="AA114" s="76" t="s">
        <v>935</v>
      </c>
      <c r="AB114" s="76" t="s">
        <v>237</v>
      </c>
      <c r="AC114" s="80" t="s">
        <v>243</v>
      </c>
      <c r="AD114" s="76" t="s">
        <v>244</v>
      </c>
      <c r="AE114" s="81" t="str">
        <f>HYPERLINK("https://twitter.com/mehkaadams/status/938675005411545090")</f>
        <v>https://twitter.com/mehkaadams/status/938675005411545090</v>
      </c>
      <c r="AF114" s="78">
        <v>43076.32100694445</v>
      </c>
      <c r="AG114" s="85">
        <v>43076</v>
      </c>
      <c r="AH114" s="80" t="s">
        <v>1029</v>
      </c>
      <c r="AI114" s="76" t="b">
        <v>0</v>
      </c>
      <c r="AJ114" s="76"/>
      <c r="AK114" s="76"/>
      <c r="AL114" s="76"/>
      <c r="AM114" s="76"/>
      <c r="AN114" s="76"/>
      <c r="AO114" s="76"/>
      <c r="AP114" s="76"/>
      <c r="AQ114" s="76" t="s">
        <v>1069</v>
      </c>
      <c r="AR114" s="76"/>
      <c r="AS114" s="76"/>
      <c r="AT114" s="76"/>
      <c r="AU114" s="76"/>
      <c r="AV114" s="81" t="str">
        <f>HYPERLINK("https://pbs.twimg.com/media/DQbRJ0UUQAYtAx5.jpg")</f>
        <v>https://pbs.twimg.com/media/DQbRJ0UUQAYtAx5.jpg</v>
      </c>
      <c r="AW114" s="80" t="s">
        <v>1158</v>
      </c>
      <c r="AX114" s="80" t="s">
        <v>1158</v>
      </c>
      <c r="AY114" s="76"/>
      <c r="AZ114" s="80" t="s">
        <v>252</v>
      </c>
      <c r="BA114" s="80" t="s">
        <v>1157</v>
      </c>
      <c r="BB114" s="80" t="s">
        <v>252</v>
      </c>
      <c r="BC114" s="80" t="s">
        <v>1157</v>
      </c>
      <c r="BD114" s="80" t="s">
        <v>1236</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row>
    <row r="115" spans="1:64" ht="15">
      <c r="A115" s="61" t="s">
        <v>629</v>
      </c>
      <c r="B115" s="61" t="s">
        <v>698</v>
      </c>
      <c r="C115" s="62"/>
      <c r="D115" s="63"/>
      <c r="E115" s="64"/>
      <c r="F115" s="65"/>
      <c r="G115" s="62"/>
      <c r="H115" s="66"/>
      <c r="I115" s="67"/>
      <c r="J115" s="67"/>
      <c r="K115" s="31" t="s">
        <v>65</v>
      </c>
      <c r="L115" s="74">
        <v>115</v>
      </c>
      <c r="M115" s="74"/>
      <c r="N115" s="69"/>
      <c r="O115" s="76" t="s">
        <v>227</v>
      </c>
      <c r="P115" s="78">
        <v>42956.388865740744</v>
      </c>
      <c r="Q115" s="76" t="s">
        <v>803</v>
      </c>
      <c r="R115" s="76">
        <v>0</v>
      </c>
      <c r="S115" s="76">
        <v>0</v>
      </c>
      <c r="T115" s="76">
        <v>0</v>
      </c>
      <c r="U115" s="76">
        <v>0</v>
      </c>
      <c r="V115" s="76"/>
      <c r="W115" s="76"/>
      <c r="X115" s="76"/>
      <c r="Y115" s="76"/>
      <c r="Z115" s="76" t="s">
        <v>912</v>
      </c>
      <c r="AA115" s="76"/>
      <c r="AB115" s="76"/>
      <c r="AC115" s="80" t="s">
        <v>952</v>
      </c>
      <c r="AD115" s="76" t="s">
        <v>244</v>
      </c>
      <c r="AE115" s="81" t="str">
        <f>HYPERLINK("https://twitter.com/carolinebombart/status/895213051988893697")</f>
        <v>https://twitter.com/carolinebombart/status/895213051988893697</v>
      </c>
      <c r="AF115" s="78">
        <v>42956.388865740744</v>
      </c>
      <c r="AG115" s="85">
        <v>42956</v>
      </c>
      <c r="AH115" s="80" t="s">
        <v>1030</v>
      </c>
      <c r="AI115" s="76"/>
      <c r="AJ115" s="76"/>
      <c r="AK115" s="76"/>
      <c r="AL115" s="76"/>
      <c r="AM115" s="76"/>
      <c r="AN115" s="76"/>
      <c r="AO115" s="76"/>
      <c r="AP115" s="76"/>
      <c r="AQ115" s="76"/>
      <c r="AR115" s="76"/>
      <c r="AS115" s="76"/>
      <c r="AT115" s="76"/>
      <c r="AU115" s="76"/>
      <c r="AV115" s="81" t="str">
        <f>HYPERLINK("https://pbs.twimg.com/profile_images/1403968836030898176/7he6PSky_normal.jpg")</f>
        <v>https://pbs.twimg.com/profile_images/1403968836030898176/7he6PSky_normal.jpg</v>
      </c>
      <c r="AW115" s="80" t="s">
        <v>1159</v>
      </c>
      <c r="AX115" s="80" t="s">
        <v>1159</v>
      </c>
      <c r="AY115" s="80" t="s">
        <v>1221</v>
      </c>
      <c r="AZ115" s="80" t="s">
        <v>252</v>
      </c>
      <c r="BA115" s="80" t="s">
        <v>252</v>
      </c>
      <c r="BB115" s="80" t="s">
        <v>252</v>
      </c>
      <c r="BC115" s="80" t="s">
        <v>1159</v>
      </c>
      <c r="BD115" s="76">
        <v>245542127</v>
      </c>
      <c r="BE115" s="76"/>
      <c r="BF115" s="76"/>
      <c r="BG115" s="76"/>
      <c r="BH115" s="76"/>
      <c r="BI115" s="76"/>
      <c r="BJ115" s="76">
        <v>1</v>
      </c>
      <c r="BK115" s="75" t="str">
        <f>REPLACE(INDEX(GroupVertices[Group],MATCH("~"&amp;Edges[[#This Row],[Vertex 1]],GroupVertices[Vertex],0)),1,1,"")</f>
        <v>12</v>
      </c>
      <c r="BL115" s="75" t="str">
        <f>REPLACE(INDEX(GroupVertices[Group],MATCH("~"&amp;Edges[[#This Row],[Vertex 2]],GroupVertices[Vertex],0)),1,1,"")</f>
        <v>12</v>
      </c>
    </row>
    <row r="116" spans="1:64" ht="15">
      <c r="A116" s="61" t="s">
        <v>629</v>
      </c>
      <c r="B116" s="61" t="s">
        <v>224</v>
      </c>
      <c r="C116" s="62"/>
      <c r="D116" s="63"/>
      <c r="E116" s="64"/>
      <c r="F116" s="65"/>
      <c r="G116" s="62"/>
      <c r="H116" s="66"/>
      <c r="I116" s="67"/>
      <c r="J116" s="67"/>
      <c r="K116" s="31" t="s">
        <v>65</v>
      </c>
      <c r="L116" s="74">
        <v>116</v>
      </c>
      <c r="M116" s="74"/>
      <c r="N116" s="69"/>
      <c r="O116" s="76" t="s">
        <v>227</v>
      </c>
      <c r="P116" s="78">
        <v>42956.388865740744</v>
      </c>
      <c r="Q116" s="76" t="s">
        <v>803</v>
      </c>
      <c r="R116" s="76">
        <v>0</v>
      </c>
      <c r="S116" s="76">
        <v>0</v>
      </c>
      <c r="T116" s="76">
        <v>0</v>
      </c>
      <c r="U116" s="76">
        <v>0</v>
      </c>
      <c r="V116" s="76"/>
      <c r="W116" s="76"/>
      <c r="X116" s="76"/>
      <c r="Y116" s="76"/>
      <c r="Z116" s="76" t="s">
        <v>912</v>
      </c>
      <c r="AA116" s="76"/>
      <c r="AB116" s="76"/>
      <c r="AC116" s="80" t="s">
        <v>952</v>
      </c>
      <c r="AD116" s="76" t="s">
        <v>244</v>
      </c>
      <c r="AE116" s="81" t="str">
        <f>HYPERLINK("https://twitter.com/carolinebombart/status/895213051988893697")</f>
        <v>https://twitter.com/carolinebombart/status/895213051988893697</v>
      </c>
      <c r="AF116" s="78">
        <v>42956.388865740744</v>
      </c>
      <c r="AG116" s="85">
        <v>42956</v>
      </c>
      <c r="AH116" s="80" t="s">
        <v>1030</v>
      </c>
      <c r="AI116" s="76"/>
      <c r="AJ116" s="76"/>
      <c r="AK116" s="76"/>
      <c r="AL116" s="76"/>
      <c r="AM116" s="76"/>
      <c r="AN116" s="76"/>
      <c r="AO116" s="76"/>
      <c r="AP116" s="76"/>
      <c r="AQ116" s="76"/>
      <c r="AR116" s="76"/>
      <c r="AS116" s="76"/>
      <c r="AT116" s="76"/>
      <c r="AU116" s="76"/>
      <c r="AV116" s="81" t="str">
        <f>HYPERLINK("https://pbs.twimg.com/profile_images/1403968836030898176/7he6PSky_normal.jpg")</f>
        <v>https://pbs.twimg.com/profile_images/1403968836030898176/7he6PSky_normal.jpg</v>
      </c>
      <c r="AW116" s="80" t="s">
        <v>1159</v>
      </c>
      <c r="AX116" s="80" t="s">
        <v>1159</v>
      </c>
      <c r="AY116" s="80" t="s">
        <v>1221</v>
      </c>
      <c r="AZ116" s="80" t="s">
        <v>252</v>
      </c>
      <c r="BA116" s="80" t="s">
        <v>252</v>
      </c>
      <c r="BB116" s="80" t="s">
        <v>252</v>
      </c>
      <c r="BC116" s="80" t="s">
        <v>1159</v>
      </c>
      <c r="BD116" s="76">
        <v>245542127</v>
      </c>
      <c r="BE116" s="76"/>
      <c r="BF116" s="76"/>
      <c r="BG116" s="76"/>
      <c r="BH116" s="76"/>
      <c r="BI116" s="76"/>
      <c r="BJ116" s="76">
        <v>1</v>
      </c>
      <c r="BK116" s="75" t="str">
        <f>REPLACE(INDEX(GroupVertices[Group],MATCH("~"&amp;Edges[[#This Row],[Vertex 1]],GroupVertices[Vertex],0)),1,1,"")</f>
        <v>12</v>
      </c>
      <c r="BL116" s="75" t="str">
        <f>REPLACE(INDEX(GroupVertices[Group],MATCH("~"&amp;Edges[[#This Row],[Vertex 2]],GroupVertices[Vertex],0)),1,1,"")</f>
        <v>1</v>
      </c>
    </row>
    <row r="117" spans="1:64" ht="15">
      <c r="A117" s="61" t="s">
        <v>630</v>
      </c>
      <c r="B117" s="61" t="s">
        <v>224</v>
      </c>
      <c r="C117" s="62"/>
      <c r="D117" s="63"/>
      <c r="E117" s="64"/>
      <c r="F117" s="65"/>
      <c r="G117" s="62"/>
      <c r="H117" s="66"/>
      <c r="I117" s="67"/>
      <c r="J117" s="67"/>
      <c r="K117" s="31" t="s">
        <v>65</v>
      </c>
      <c r="L117" s="74">
        <v>117</v>
      </c>
      <c r="M117" s="74"/>
      <c r="N117" s="69"/>
      <c r="O117" s="76" t="s">
        <v>227</v>
      </c>
      <c r="P117" s="78">
        <v>42102.61883101852</v>
      </c>
      <c r="Q117" s="76" t="s">
        <v>804</v>
      </c>
      <c r="R117" s="76">
        <v>0</v>
      </c>
      <c r="S117" s="76">
        <v>0</v>
      </c>
      <c r="T117" s="76">
        <v>0</v>
      </c>
      <c r="U117" s="76">
        <v>0</v>
      </c>
      <c r="V117" s="76"/>
      <c r="W117" s="80" t="s">
        <v>847</v>
      </c>
      <c r="X117" s="81" t="str">
        <f>HYPERLINK("http://www.example.com/")</f>
        <v>http://www.example.com/</v>
      </c>
      <c r="Y117" s="76" t="s">
        <v>884</v>
      </c>
      <c r="Z117" s="76" t="s">
        <v>224</v>
      </c>
      <c r="AA117" s="76"/>
      <c r="AB117" s="76"/>
      <c r="AC117" s="80" t="s">
        <v>947</v>
      </c>
      <c r="AD117" s="76" t="s">
        <v>244</v>
      </c>
      <c r="AE117" s="81" t="str">
        <f>HYPERLINK("https://twitter.com/mfcnovo/status/585817150859911168")</f>
        <v>https://twitter.com/mfcnovo/status/585817150859911168</v>
      </c>
      <c r="AF117" s="78">
        <v>42102.61883101852</v>
      </c>
      <c r="AG117" s="85">
        <v>42102</v>
      </c>
      <c r="AH117" s="80" t="s">
        <v>1031</v>
      </c>
      <c r="AI117" s="76" t="b">
        <v>0</v>
      </c>
      <c r="AJ117" s="76"/>
      <c r="AK117" s="76"/>
      <c r="AL117" s="76"/>
      <c r="AM117" s="76"/>
      <c r="AN117" s="76"/>
      <c r="AO117" s="76"/>
      <c r="AP117" s="76"/>
      <c r="AQ117" s="76"/>
      <c r="AR117" s="76"/>
      <c r="AS117" s="76"/>
      <c r="AT117" s="76"/>
      <c r="AU117" s="76"/>
      <c r="AV117" s="81" t="str">
        <f>HYPERLINK("https://pbs.twimg.com/profile_images/1627632587911954432/GIai539q_normal.jpg")</f>
        <v>https://pbs.twimg.com/profile_images/1627632587911954432/GIai539q_normal.jpg</v>
      </c>
      <c r="AW117" s="80" t="s">
        <v>1160</v>
      </c>
      <c r="AX117" s="80" t="s">
        <v>1160</v>
      </c>
      <c r="AY117" s="76"/>
      <c r="AZ117" s="80" t="s">
        <v>252</v>
      </c>
      <c r="BA117" s="80" t="s">
        <v>252</v>
      </c>
      <c r="BB117" s="80" t="s">
        <v>252</v>
      </c>
      <c r="BC117" s="80" t="s">
        <v>1160</v>
      </c>
      <c r="BD117" s="76">
        <v>89759989</v>
      </c>
      <c r="BE117" s="76"/>
      <c r="BF117" s="76"/>
      <c r="BG117" s="76"/>
      <c r="BH117" s="76"/>
      <c r="BI117" s="76"/>
      <c r="BJ117" s="76">
        <v>2</v>
      </c>
      <c r="BK117" s="75" t="str">
        <f>REPLACE(INDEX(GroupVertices[Group],MATCH("~"&amp;Edges[[#This Row],[Vertex 1]],GroupVertices[Vertex],0)),1,1,"")</f>
        <v>1</v>
      </c>
      <c r="BL117" s="75" t="str">
        <f>REPLACE(INDEX(GroupVertices[Group],MATCH("~"&amp;Edges[[#This Row],[Vertex 2]],GroupVertices[Vertex],0)),1,1,"")</f>
        <v>1</v>
      </c>
    </row>
    <row r="118" spans="1:64" ht="15">
      <c r="A118" s="61" t="s">
        <v>631</v>
      </c>
      <c r="B118" s="61" t="s">
        <v>224</v>
      </c>
      <c r="C118" s="62"/>
      <c r="D118" s="63"/>
      <c r="E118" s="64"/>
      <c r="F118" s="65"/>
      <c r="G118" s="62"/>
      <c r="H118" s="66"/>
      <c r="I118" s="67"/>
      <c r="J118" s="67"/>
      <c r="K118" s="31" t="s">
        <v>65</v>
      </c>
      <c r="L118" s="74">
        <v>118</v>
      </c>
      <c r="M118" s="74"/>
      <c r="N118" s="69"/>
      <c r="O118" s="76" t="s">
        <v>227</v>
      </c>
      <c r="P118" s="78">
        <v>42956.32761574074</v>
      </c>
      <c r="Q118" s="76" t="s">
        <v>805</v>
      </c>
      <c r="R118" s="76">
        <v>0</v>
      </c>
      <c r="S118" s="76">
        <v>0</v>
      </c>
      <c r="T118" s="76">
        <v>0</v>
      </c>
      <c r="U118" s="76">
        <v>0</v>
      </c>
      <c r="V118" s="76"/>
      <c r="W118" s="76"/>
      <c r="X118" s="81" t="str">
        <f>HYPERLINK("http://smarturl.it/mh9e52")</f>
        <v>http://smarturl.it/mh9e52</v>
      </c>
      <c r="Y118" s="76" t="s">
        <v>885</v>
      </c>
      <c r="Z118" s="76" t="s">
        <v>224</v>
      </c>
      <c r="AA118" s="76"/>
      <c r="AB118" s="76"/>
      <c r="AC118" s="80" t="s">
        <v>951</v>
      </c>
      <c r="AD118" s="76" t="s">
        <v>244</v>
      </c>
      <c r="AE118" s="81" t="str">
        <f>HYPERLINK("https://twitter.com/tsm_b2b/status/895190857711857664")</f>
        <v>https://twitter.com/tsm_b2b/status/895190857711857664</v>
      </c>
      <c r="AF118" s="78">
        <v>42956.32761574074</v>
      </c>
      <c r="AG118" s="85">
        <v>42956</v>
      </c>
      <c r="AH118" s="80" t="s">
        <v>1032</v>
      </c>
      <c r="AI118" s="76" t="b">
        <v>0</v>
      </c>
      <c r="AJ118" s="76"/>
      <c r="AK118" s="76"/>
      <c r="AL118" s="76"/>
      <c r="AM118" s="76"/>
      <c r="AN118" s="76"/>
      <c r="AO118" s="76"/>
      <c r="AP118" s="76"/>
      <c r="AQ118" s="76"/>
      <c r="AR118" s="76"/>
      <c r="AS118" s="76"/>
      <c r="AT118" s="76"/>
      <c r="AU118" s="76"/>
      <c r="AV118" s="81" t="str">
        <f>HYPERLINK("https://pbs.twimg.com/profile_images/668861680198160385/2RDdhaG2_normal.png")</f>
        <v>https://pbs.twimg.com/profile_images/668861680198160385/2RDdhaG2_normal.png</v>
      </c>
      <c r="AW118" s="80" t="s">
        <v>1161</v>
      </c>
      <c r="AX118" s="80" t="s">
        <v>1161</v>
      </c>
      <c r="AY118" s="80" t="s">
        <v>251</v>
      </c>
      <c r="AZ118" s="80" t="s">
        <v>252</v>
      </c>
      <c r="BA118" s="80" t="s">
        <v>252</v>
      </c>
      <c r="BB118" s="80" t="s">
        <v>252</v>
      </c>
      <c r="BC118" s="80" t="s">
        <v>1161</v>
      </c>
      <c r="BD118" s="76">
        <v>441970965</v>
      </c>
      <c r="BE118" s="76"/>
      <c r="BF118" s="76"/>
      <c r="BG118" s="76"/>
      <c r="BH118" s="76"/>
      <c r="BI118" s="76"/>
      <c r="BJ118" s="76">
        <v>1</v>
      </c>
      <c r="BK118" s="75" t="str">
        <f>REPLACE(INDEX(GroupVertices[Group],MATCH("~"&amp;Edges[[#This Row],[Vertex 1]],GroupVertices[Vertex],0)),1,1,"")</f>
        <v>1</v>
      </c>
      <c r="BL118" s="75" t="str">
        <f>REPLACE(INDEX(GroupVertices[Group],MATCH("~"&amp;Edges[[#This Row],[Vertex 2]],GroupVertices[Vertex],0)),1,1,"")</f>
        <v>1</v>
      </c>
    </row>
    <row r="119" spans="1:64" ht="15">
      <c r="A119" s="61" t="s">
        <v>632</v>
      </c>
      <c r="B119" s="61" t="s">
        <v>699</v>
      </c>
      <c r="C119" s="62"/>
      <c r="D119" s="63"/>
      <c r="E119" s="64"/>
      <c r="F119" s="65"/>
      <c r="G119" s="62"/>
      <c r="H119" s="66"/>
      <c r="I119" s="67"/>
      <c r="J119" s="67"/>
      <c r="K119" s="31" t="s">
        <v>65</v>
      </c>
      <c r="L119" s="74">
        <v>119</v>
      </c>
      <c r="M119" s="74"/>
      <c r="N119" s="69"/>
      <c r="O119" s="76" t="s">
        <v>227</v>
      </c>
      <c r="P119" s="78">
        <v>42877.84070601852</v>
      </c>
      <c r="Q119" s="76" t="s">
        <v>806</v>
      </c>
      <c r="R119" s="76">
        <v>0</v>
      </c>
      <c r="S119" s="76">
        <v>0</v>
      </c>
      <c r="T119" s="76">
        <v>0</v>
      </c>
      <c r="U119" s="76">
        <v>0</v>
      </c>
      <c r="V119" s="76"/>
      <c r="W119" s="76"/>
      <c r="X119" s="76"/>
      <c r="Y119" s="76"/>
      <c r="Z119" s="76" t="s">
        <v>913</v>
      </c>
      <c r="AA119" s="76"/>
      <c r="AB119" s="76"/>
      <c r="AC119" s="80" t="s">
        <v>952</v>
      </c>
      <c r="AD119" s="76" t="s">
        <v>244</v>
      </c>
      <c r="AE119" s="81" t="str">
        <f>HYPERLINK("https://twitter.com/brainleafit/status/866748152975634432")</f>
        <v>https://twitter.com/brainleafit/status/866748152975634432</v>
      </c>
      <c r="AF119" s="78">
        <v>42877.84070601852</v>
      </c>
      <c r="AG119" s="85">
        <v>42877</v>
      </c>
      <c r="AH119" s="80" t="s">
        <v>249</v>
      </c>
      <c r="AI119" s="76"/>
      <c r="AJ119" s="76"/>
      <c r="AK119" s="76"/>
      <c r="AL119" s="76"/>
      <c r="AM119" s="76"/>
      <c r="AN119" s="76"/>
      <c r="AO119" s="76"/>
      <c r="AP119" s="76"/>
      <c r="AQ119" s="76"/>
      <c r="AR119" s="76"/>
      <c r="AS119" s="76"/>
      <c r="AT119" s="76"/>
      <c r="AU119" s="76"/>
      <c r="AV119" s="81" t="str">
        <f>HYPERLINK("https://pbs.twimg.com/profile_images/479293326550503424/YE_vYBAz_normal.png")</f>
        <v>https://pbs.twimg.com/profile_images/479293326550503424/YE_vYBAz_normal.png</v>
      </c>
      <c r="AW119" s="80" t="s">
        <v>1162</v>
      </c>
      <c r="AX119" s="80" t="s">
        <v>1162</v>
      </c>
      <c r="AY119" s="76"/>
      <c r="AZ119" s="80" t="s">
        <v>252</v>
      </c>
      <c r="BA119" s="80" t="s">
        <v>252</v>
      </c>
      <c r="BB119" s="80" t="s">
        <v>252</v>
      </c>
      <c r="BC119" s="80" t="s">
        <v>1162</v>
      </c>
      <c r="BD119" s="76">
        <v>2574963420</v>
      </c>
      <c r="BE119" s="76"/>
      <c r="BF119" s="76"/>
      <c r="BG119" s="76"/>
      <c r="BH119" s="76"/>
      <c r="BI119" s="76"/>
      <c r="BJ119" s="76">
        <v>1</v>
      </c>
      <c r="BK119" s="75" t="str">
        <f>REPLACE(INDEX(GroupVertices[Group],MATCH("~"&amp;Edges[[#This Row],[Vertex 1]],GroupVertices[Vertex],0)),1,1,"")</f>
        <v>7</v>
      </c>
      <c r="BL119" s="75" t="str">
        <f>REPLACE(INDEX(GroupVertices[Group],MATCH("~"&amp;Edges[[#This Row],[Vertex 2]],GroupVertices[Vertex],0)),1,1,"")</f>
        <v>7</v>
      </c>
    </row>
    <row r="120" spans="1:64" ht="15">
      <c r="A120" s="61" t="s">
        <v>632</v>
      </c>
      <c r="B120" s="61" t="s">
        <v>700</v>
      </c>
      <c r="C120" s="62"/>
      <c r="D120" s="63"/>
      <c r="E120" s="64"/>
      <c r="F120" s="65"/>
      <c r="G120" s="62"/>
      <c r="H120" s="66"/>
      <c r="I120" s="67"/>
      <c r="J120" s="67"/>
      <c r="K120" s="31" t="s">
        <v>65</v>
      </c>
      <c r="L120" s="74">
        <v>120</v>
      </c>
      <c r="M120" s="74"/>
      <c r="N120" s="69"/>
      <c r="O120" s="76" t="s">
        <v>227</v>
      </c>
      <c r="P120" s="78">
        <v>42877.83513888889</v>
      </c>
      <c r="Q120" s="76" t="s">
        <v>807</v>
      </c>
      <c r="R120" s="76">
        <v>0</v>
      </c>
      <c r="S120" s="76">
        <v>0</v>
      </c>
      <c r="T120" s="76">
        <v>0</v>
      </c>
      <c r="U120" s="76">
        <v>0</v>
      </c>
      <c r="V120" s="76"/>
      <c r="W120" s="80" t="s">
        <v>839</v>
      </c>
      <c r="X120" s="76"/>
      <c r="Y120" s="76"/>
      <c r="Z120" s="76" t="s">
        <v>914</v>
      </c>
      <c r="AA120" s="76"/>
      <c r="AB120" s="76"/>
      <c r="AC120" s="80" t="s">
        <v>952</v>
      </c>
      <c r="AD120" s="76" t="s">
        <v>244</v>
      </c>
      <c r="AE120" s="81" t="str">
        <f>HYPERLINK("https://twitter.com/brainleafit/status/866746134160699394")</f>
        <v>https://twitter.com/brainleafit/status/866746134160699394</v>
      </c>
      <c r="AF120" s="78">
        <v>42877.83513888889</v>
      </c>
      <c r="AG120" s="85">
        <v>42877</v>
      </c>
      <c r="AH120" s="80" t="s">
        <v>1033</v>
      </c>
      <c r="AI120" s="76"/>
      <c r="AJ120" s="76"/>
      <c r="AK120" s="76"/>
      <c r="AL120" s="76"/>
      <c r="AM120" s="76"/>
      <c r="AN120" s="76"/>
      <c r="AO120" s="76"/>
      <c r="AP120" s="76"/>
      <c r="AQ120" s="76"/>
      <c r="AR120" s="76"/>
      <c r="AS120" s="76"/>
      <c r="AT120" s="76"/>
      <c r="AU120" s="76"/>
      <c r="AV120" s="81" t="str">
        <f>HYPERLINK("https://pbs.twimg.com/profile_images/479293326550503424/YE_vYBAz_normal.png")</f>
        <v>https://pbs.twimg.com/profile_images/479293326550503424/YE_vYBAz_normal.png</v>
      </c>
      <c r="AW120" s="80" t="s">
        <v>1163</v>
      </c>
      <c r="AX120" s="80" t="s">
        <v>1163</v>
      </c>
      <c r="AY120" s="76"/>
      <c r="AZ120" s="80" t="s">
        <v>252</v>
      </c>
      <c r="BA120" s="80" t="s">
        <v>252</v>
      </c>
      <c r="BB120" s="80" t="s">
        <v>252</v>
      </c>
      <c r="BC120" s="80" t="s">
        <v>1163</v>
      </c>
      <c r="BD120" s="76">
        <v>2574963420</v>
      </c>
      <c r="BE120" s="76"/>
      <c r="BF120" s="76"/>
      <c r="BG120" s="76"/>
      <c r="BH120" s="76"/>
      <c r="BI120" s="76"/>
      <c r="BJ120" s="76">
        <v>1</v>
      </c>
      <c r="BK120" s="75" t="str">
        <f>REPLACE(INDEX(GroupVertices[Group],MATCH("~"&amp;Edges[[#This Row],[Vertex 1]],GroupVertices[Vertex],0)),1,1,"")</f>
        <v>7</v>
      </c>
      <c r="BL120" s="75" t="str">
        <f>REPLACE(INDEX(GroupVertices[Group],MATCH("~"&amp;Edges[[#This Row],[Vertex 2]],GroupVertices[Vertex],0)),1,1,"")</f>
        <v>7</v>
      </c>
    </row>
    <row r="121" spans="1:64" ht="15">
      <c r="A121" s="61" t="s">
        <v>632</v>
      </c>
      <c r="B121" s="61" t="s">
        <v>701</v>
      </c>
      <c r="C121" s="62"/>
      <c r="D121" s="63"/>
      <c r="E121" s="64"/>
      <c r="F121" s="65"/>
      <c r="G121" s="62"/>
      <c r="H121" s="66"/>
      <c r="I121" s="67"/>
      <c r="J121" s="67"/>
      <c r="K121" s="31" t="s">
        <v>65</v>
      </c>
      <c r="L121" s="74">
        <v>121</v>
      </c>
      <c r="M121" s="74"/>
      <c r="N121" s="69"/>
      <c r="O121" s="76" t="s">
        <v>227</v>
      </c>
      <c r="P121" s="78">
        <v>42877.84070601852</v>
      </c>
      <c r="Q121" s="76" t="s">
        <v>806</v>
      </c>
      <c r="R121" s="76">
        <v>0</v>
      </c>
      <c r="S121" s="76">
        <v>0</v>
      </c>
      <c r="T121" s="76">
        <v>0</v>
      </c>
      <c r="U121" s="76">
        <v>0</v>
      </c>
      <c r="V121" s="76"/>
      <c r="W121" s="76"/>
      <c r="X121" s="76"/>
      <c r="Y121" s="76"/>
      <c r="Z121" s="76" t="s">
        <v>913</v>
      </c>
      <c r="AA121" s="76"/>
      <c r="AB121" s="76"/>
      <c r="AC121" s="80" t="s">
        <v>952</v>
      </c>
      <c r="AD121" s="76" t="s">
        <v>244</v>
      </c>
      <c r="AE121" s="81" t="str">
        <f>HYPERLINK("https://twitter.com/brainleafit/status/866748152975634432")</f>
        <v>https://twitter.com/brainleafit/status/866748152975634432</v>
      </c>
      <c r="AF121" s="78">
        <v>42877.84070601852</v>
      </c>
      <c r="AG121" s="85">
        <v>42877</v>
      </c>
      <c r="AH121" s="80" t="s">
        <v>249</v>
      </c>
      <c r="AI121" s="76"/>
      <c r="AJ121" s="76"/>
      <c r="AK121" s="76"/>
      <c r="AL121" s="76"/>
      <c r="AM121" s="76"/>
      <c r="AN121" s="76"/>
      <c r="AO121" s="76"/>
      <c r="AP121" s="76"/>
      <c r="AQ121" s="76"/>
      <c r="AR121" s="76"/>
      <c r="AS121" s="76"/>
      <c r="AT121" s="76"/>
      <c r="AU121" s="76"/>
      <c r="AV121" s="81" t="str">
        <f>HYPERLINK("https://pbs.twimg.com/profile_images/479293326550503424/YE_vYBAz_normal.png")</f>
        <v>https://pbs.twimg.com/profile_images/479293326550503424/YE_vYBAz_normal.png</v>
      </c>
      <c r="AW121" s="80" t="s">
        <v>1162</v>
      </c>
      <c r="AX121" s="80" t="s">
        <v>1162</v>
      </c>
      <c r="AY121" s="76"/>
      <c r="AZ121" s="80" t="s">
        <v>252</v>
      </c>
      <c r="BA121" s="80" t="s">
        <v>252</v>
      </c>
      <c r="BB121" s="80" t="s">
        <v>252</v>
      </c>
      <c r="BC121" s="80" t="s">
        <v>1162</v>
      </c>
      <c r="BD121" s="76">
        <v>2574963420</v>
      </c>
      <c r="BE121" s="76"/>
      <c r="BF121" s="76"/>
      <c r="BG121" s="76"/>
      <c r="BH121" s="76"/>
      <c r="BI121" s="76"/>
      <c r="BJ121" s="76">
        <v>2</v>
      </c>
      <c r="BK121" s="75" t="str">
        <f>REPLACE(INDEX(GroupVertices[Group],MATCH("~"&amp;Edges[[#This Row],[Vertex 1]],GroupVertices[Vertex],0)),1,1,"")</f>
        <v>7</v>
      </c>
      <c r="BL121" s="75" t="str">
        <f>REPLACE(INDEX(GroupVertices[Group],MATCH("~"&amp;Edges[[#This Row],[Vertex 2]],GroupVertices[Vertex],0)),1,1,"")</f>
        <v>7</v>
      </c>
    </row>
    <row r="122" spans="1:64" ht="15">
      <c r="A122" s="61" t="s">
        <v>632</v>
      </c>
      <c r="B122" s="61" t="s">
        <v>224</v>
      </c>
      <c r="C122" s="62"/>
      <c r="D122" s="63"/>
      <c r="E122" s="64"/>
      <c r="F122" s="65"/>
      <c r="G122" s="62"/>
      <c r="H122" s="66"/>
      <c r="I122" s="67"/>
      <c r="J122" s="67"/>
      <c r="K122" s="31" t="s">
        <v>65</v>
      </c>
      <c r="L122" s="74">
        <v>122</v>
      </c>
      <c r="M122" s="74"/>
      <c r="N122" s="69"/>
      <c r="O122" s="76" t="s">
        <v>227</v>
      </c>
      <c r="P122" s="78">
        <v>42877.84070601852</v>
      </c>
      <c r="Q122" s="76" t="s">
        <v>806</v>
      </c>
      <c r="R122" s="76">
        <v>0</v>
      </c>
      <c r="S122" s="76">
        <v>0</v>
      </c>
      <c r="T122" s="76">
        <v>0</v>
      </c>
      <c r="U122" s="76">
        <v>0</v>
      </c>
      <c r="V122" s="76"/>
      <c r="W122" s="76"/>
      <c r="X122" s="76"/>
      <c r="Y122" s="76"/>
      <c r="Z122" s="76" t="s">
        <v>913</v>
      </c>
      <c r="AA122" s="76"/>
      <c r="AB122" s="76"/>
      <c r="AC122" s="80" t="s">
        <v>952</v>
      </c>
      <c r="AD122" s="76" t="s">
        <v>244</v>
      </c>
      <c r="AE122" s="81" t="str">
        <f>HYPERLINK("https://twitter.com/brainleafit/status/866748152975634432")</f>
        <v>https://twitter.com/brainleafit/status/866748152975634432</v>
      </c>
      <c r="AF122" s="78">
        <v>42877.84070601852</v>
      </c>
      <c r="AG122" s="85">
        <v>42877</v>
      </c>
      <c r="AH122" s="80" t="s">
        <v>249</v>
      </c>
      <c r="AI122" s="76"/>
      <c r="AJ122" s="76"/>
      <c r="AK122" s="76"/>
      <c r="AL122" s="76"/>
      <c r="AM122" s="76"/>
      <c r="AN122" s="76"/>
      <c r="AO122" s="76"/>
      <c r="AP122" s="76"/>
      <c r="AQ122" s="76"/>
      <c r="AR122" s="76"/>
      <c r="AS122" s="76"/>
      <c r="AT122" s="76"/>
      <c r="AU122" s="76"/>
      <c r="AV122" s="81" t="str">
        <f>HYPERLINK("https://pbs.twimg.com/profile_images/479293326550503424/YE_vYBAz_normal.png")</f>
        <v>https://pbs.twimg.com/profile_images/479293326550503424/YE_vYBAz_normal.png</v>
      </c>
      <c r="AW122" s="80" t="s">
        <v>1162</v>
      </c>
      <c r="AX122" s="80" t="s">
        <v>1162</v>
      </c>
      <c r="AY122" s="76"/>
      <c r="AZ122" s="80" t="s">
        <v>252</v>
      </c>
      <c r="BA122" s="80" t="s">
        <v>252</v>
      </c>
      <c r="BB122" s="80" t="s">
        <v>252</v>
      </c>
      <c r="BC122" s="80" t="s">
        <v>1162</v>
      </c>
      <c r="BD122" s="76">
        <v>2574963420</v>
      </c>
      <c r="BE122" s="76"/>
      <c r="BF122" s="76"/>
      <c r="BG122" s="76"/>
      <c r="BH122" s="76"/>
      <c r="BI122" s="76"/>
      <c r="BJ122" s="76">
        <v>2</v>
      </c>
      <c r="BK122" s="75" t="str">
        <f>REPLACE(INDEX(GroupVertices[Group],MATCH("~"&amp;Edges[[#This Row],[Vertex 1]],GroupVertices[Vertex],0)),1,1,"")</f>
        <v>7</v>
      </c>
      <c r="BL122" s="75" t="str">
        <f>REPLACE(INDEX(GroupVertices[Group],MATCH("~"&amp;Edges[[#This Row],[Vertex 2]],GroupVertices[Vertex],0)),1,1,"")</f>
        <v>1</v>
      </c>
    </row>
    <row r="123" spans="1:64" ht="15">
      <c r="A123" s="61" t="s">
        <v>633</v>
      </c>
      <c r="B123" s="61" t="s">
        <v>702</v>
      </c>
      <c r="C123" s="62"/>
      <c r="D123" s="63"/>
      <c r="E123" s="64"/>
      <c r="F123" s="65"/>
      <c r="G123" s="62"/>
      <c r="H123" s="66"/>
      <c r="I123" s="67"/>
      <c r="J123" s="67"/>
      <c r="K123" s="31" t="s">
        <v>65</v>
      </c>
      <c r="L123" s="74">
        <v>123</v>
      </c>
      <c r="M123" s="74"/>
      <c r="N123" s="69"/>
      <c r="O123" s="76" t="s">
        <v>227</v>
      </c>
      <c r="P123" s="78">
        <v>44291.41986111111</v>
      </c>
      <c r="Q123" s="76" t="s">
        <v>808</v>
      </c>
      <c r="R123" s="76">
        <v>2</v>
      </c>
      <c r="S123" s="76">
        <v>4</v>
      </c>
      <c r="T123" s="76">
        <v>0</v>
      </c>
      <c r="U123" s="76">
        <v>0</v>
      </c>
      <c r="V123" s="76"/>
      <c r="W123" s="80" t="s">
        <v>848</v>
      </c>
      <c r="X123" s="81" t="str">
        <f>HYPERLINK("https://bit.ly/39b0qy9")</f>
        <v>https://bit.ly/39b0qy9</v>
      </c>
      <c r="Y123" s="76" t="s">
        <v>233</v>
      </c>
      <c r="Z123" s="76" t="s">
        <v>915</v>
      </c>
      <c r="AA123" s="76" t="s">
        <v>936</v>
      </c>
      <c r="AB123" s="76" t="s">
        <v>237</v>
      </c>
      <c r="AC123" s="80" t="s">
        <v>239</v>
      </c>
      <c r="AD123" s="76" t="s">
        <v>244</v>
      </c>
      <c r="AE123" s="81" t="str">
        <f>HYPERLINK("https://twitter.com/topdevelopersco/status/1379012085619728388")</f>
        <v>https://twitter.com/topdevelopersco/status/1379012085619728388</v>
      </c>
      <c r="AF123" s="78">
        <v>44291.41986111111</v>
      </c>
      <c r="AG123" s="85">
        <v>44291</v>
      </c>
      <c r="AH123" s="80" t="s">
        <v>1034</v>
      </c>
      <c r="AI123" s="76" t="b">
        <v>0</v>
      </c>
      <c r="AJ123" s="76"/>
      <c r="AK123" s="76"/>
      <c r="AL123" s="76"/>
      <c r="AM123" s="76"/>
      <c r="AN123" s="76"/>
      <c r="AO123" s="76"/>
      <c r="AP123" s="76"/>
      <c r="AQ123" s="76" t="s">
        <v>1076</v>
      </c>
      <c r="AR123" s="76"/>
      <c r="AS123" s="76"/>
      <c r="AT123" s="76"/>
      <c r="AU123" s="76"/>
      <c r="AV123" s="81" t="str">
        <f>HYPERLINK("https://pbs.twimg.com/media/EyM8LFOVoAMSFqr.png")</f>
        <v>https://pbs.twimg.com/media/EyM8LFOVoAMSFqr.png</v>
      </c>
      <c r="AW123" s="80" t="s">
        <v>1164</v>
      </c>
      <c r="AX123" s="80" t="s">
        <v>1164</v>
      </c>
      <c r="AY123" s="76"/>
      <c r="AZ123" s="80" t="s">
        <v>252</v>
      </c>
      <c r="BA123" s="80" t="s">
        <v>252</v>
      </c>
      <c r="BB123" s="80" t="s">
        <v>252</v>
      </c>
      <c r="BC123" s="80" t="s">
        <v>1164</v>
      </c>
      <c r="BD123" s="80" t="s">
        <v>1222</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row>
    <row r="124" spans="1:64" ht="15">
      <c r="A124" s="61" t="s">
        <v>633</v>
      </c>
      <c r="B124" s="61" t="s">
        <v>703</v>
      </c>
      <c r="C124" s="62"/>
      <c r="D124" s="63"/>
      <c r="E124" s="64"/>
      <c r="F124" s="65"/>
      <c r="G124" s="62"/>
      <c r="H124" s="66"/>
      <c r="I124" s="67"/>
      <c r="J124" s="67"/>
      <c r="K124" s="31" t="s">
        <v>65</v>
      </c>
      <c r="L124" s="74">
        <v>124</v>
      </c>
      <c r="M124" s="74"/>
      <c r="N124" s="69"/>
      <c r="O124" s="76" t="s">
        <v>227</v>
      </c>
      <c r="P124" s="78">
        <v>44291.41986111111</v>
      </c>
      <c r="Q124" s="76" t="s">
        <v>808</v>
      </c>
      <c r="R124" s="76">
        <v>2</v>
      </c>
      <c r="S124" s="76">
        <v>4</v>
      </c>
      <c r="T124" s="76">
        <v>0</v>
      </c>
      <c r="U124" s="76">
        <v>0</v>
      </c>
      <c r="V124" s="76"/>
      <c r="W124" s="80" t="s">
        <v>848</v>
      </c>
      <c r="X124" s="81" t="str">
        <f>HYPERLINK("https://bit.ly/39b0qy9")</f>
        <v>https://bit.ly/39b0qy9</v>
      </c>
      <c r="Y124" s="76" t="s">
        <v>233</v>
      </c>
      <c r="Z124" s="76" t="s">
        <v>915</v>
      </c>
      <c r="AA124" s="76" t="s">
        <v>936</v>
      </c>
      <c r="AB124" s="76" t="s">
        <v>237</v>
      </c>
      <c r="AC124" s="80" t="s">
        <v>239</v>
      </c>
      <c r="AD124" s="76" t="s">
        <v>244</v>
      </c>
      <c r="AE124" s="81" t="str">
        <f>HYPERLINK("https://twitter.com/topdevelopersco/status/1379012085619728388")</f>
        <v>https://twitter.com/topdevelopersco/status/1379012085619728388</v>
      </c>
      <c r="AF124" s="78">
        <v>44291.41986111111</v>
      </c>
      <c r="AG124" s="85">
        <v>44291</v>
      </c>
      <c r="AH124" s="80" t="s">
        <v>1034</v>
      </c>
      <c r="AI124" s="76" t="b">
        <v>0</v>
      </c>
      <c r="AJ124" s="76"/>
      <c r="AK124" s="76"/>
      <c r="AL124" s="76"/>
      <c r="AM124" s="76"/>
      <c r="AN124" s="76"/>
      <c r="AO124" s="76"/>
      <c r="AP124" s="76"/>
      <c r="AQ124" s="76" t="s">
        <v>1076</v>
      </c>
      <c r="AR124" s="76"/>
      <c r="AS124" s="76"/>
      <c r="AT124" s="76"/>
      <c r="AU124" s="76"/>
      <c r="AV124" s="81" t="str">
        <f>HYPERLINK("https://pbs.twimg.com/media/EyM8LFOVoAMSFqr.png")</f>
        <v>https://pbs.twimg.com/media/EyM8LFOVoAMSFqr.png</v>
      </c>
      <c r="AW124" s="80" t="s">
        <v>1164</v>
      </c>
      <c r="AX124" s="80" t="s">
        <v>1164</v>
      </c>
      <c r="AY124" s="76"/>
      <c r="AZ124" s="80" t="s">
        <v>252</v>
      </c>
      <c r="BA124" s="80" t="s">
        <v>252</v>
      </c>
      <c r="BB124" s="80" t="s">
        <v>252</v>
      </c>
      <c r="BC124" s="80" t="s">
        <v>1164</v>
      </c>
      <c r="BD124" s="80" t="s">
        <v>1222</v>
      </c>
      <c r="BE124" s="76"/>
      <c r="BF124" s="76"/>
      <c r="BG124" s="76"/>
      <c r="BH124" s="76"/>
      <c r="BI124" s="76"/>
      <c r="BJ124" s="76">
        <v>1</v>
      </c>
      <c r="BK124" s="75" t="str">
        <f>REPLACE(INDEX(GroupVertices[Group],MATCH("~"&amp;Edges[[#This Row],[Vertex 1]],GroupVertices[Vertex],0)),1,1,"")</f>
        <v>2</v>
      </c>
      <c r="BL124" s="75" t="str">
        <f>REPLACE(INDEX(GroupVertices[Group],MATCH("~"&amp;Edges[[#This Row],[Vertex 2]],GroupVertices[Vertex],0)),1,1,"")</f>
        <v>2</v>
      </c>
    </row>
    <row r="125" spans="1:64" ht="15">
      <c r="A125" s="61" t="s">
        <v>633</v>
      </c>
      <c r="B125" s="61" t="s">
        <v>704</v>
      </c>
      <c r="C125" s="62"/>
      <c r="D125" s="63"/>
      <c r="E125" s="64"/>
      <c r="F125" s="65"/>
      <c r="G125" s="62"/>
      <c r="H125" s="66"/>
      <c r="I125" s="67"/>
      <c r="J125" s="67"/>
      <c r="K125" s="31" t="s">
        <v>65</v>
      </c>
      <c r="L125" s="74">
        <v>125</v>
      </c>
      <c r="M125" s="74"/>
      <c r="N125" s="69"/>
      <c r="O125" s="76" t="s">
        <v>227</v>
      </c>
      <c r="P125" s="78">
        <v>44291.41986111111</v>
      </c>
      <c r="Q125" s="76" t="s">
        <v>808</v>
      </c>
      <c r="R125" s="76">
        <v>2</v>
      </c>
      <c r="S125" s="76">
        <v>4</v>
      </c>
      <c r="T125" s="76">
        <v>0</v>
      </c>
      <c r="U125" s="76">
        <v>0</v>
      </c>
      <c r="V125" s="76"/>
      <c r="W125" s="80" t="s">
        <v>848</v>
      </c>
      <c r="X125" s="81" t="str">
        <f>HYPERLINK("https://bit.ly/39b0qy9")</f>
        <v>https://bit.ly/39b0qy9</v>
      </c>
      <c r="Y125" s="76" t="s">
        <v>233</v>
      </c>
      <c r="Z125" s="76" t="s">
        <v>915</v>
      </c>
      <c r="AA125" s="76" t="s">
        <v>936</v>
      </c>
      <c r="AB125" s="76" t="s">
        <v>237</v>
      </c>
      <c r="AC125" s="80" t="s">
        <v>239</v>
      </c>
      <c r="AD125" s="76" t="s">
        <v>244</v>
      </c>
      <c r="AE125" s="81" t="str">
        <f>HYPERLINK("https://twitter.com/topdevelopersco/status/1379012085619728388")</f>
        <v>https://twitter.com/topdevelopersco/status/1379012085619728388</v>
      </c>
      <c r="AF125" s="78">
        <v>44291.41986111111</v>
      </c>
      <c r="AG125" s="85">
        <v>44291</v>
      </c>
      <c r="AH125" s="80" t="s">
        <v>1034</v>
      </c>
      <c r="AI125" s="76" t="b">
        <v>0</v>
      </c>
      <c r="AJ125" s="76"/>
      <c r="AK125" s="76"/>
      <c r="AL125" s="76"/>
      <c r="AM125" s="76"/>
      <c r="AN125" s="76"/>
      <c r="AO125" s="76"/>
      <c r="AP125" s="76"/>
      <c r="AQ125" s="76" t="s">
        <v>1076</v>
      </c>
      <c r="AR125" s="76"/>
      <c r="AS125" s="76"/>
      <c r="AT125" s="76"/>
      <c r="AU125" s="76"/>
      <c r="AV125" s="81" t="str">
        <f>HYPERLINK("https://pbs.twimg.com/media/EyM8LFOVoAMSFqr.png")</f>
        <v>https://pbs.twimg.com/media/EyM8LFOVoAMSFqr.png</v>
      </c>
      <c r="AW125" s="80" t="s">
        <v>1164</v>
      </c>
      <c r="AX125" s="80" t="s">
        <v>1164</v>
      </c>
      <c r="AY125" s="76"/>
      <c r="AZ125" s="80" t="s">
        <v>252</v>
      </c>
      <c r="BA125" s="80" t="s">
        <v>252</v>
      </c>
      <c r="BB125" s="80" t="s">
        <v>252</v>
      </c>
      <c r="BC125" s="80" t="s">
        <v>1164</v>
      </c>
      <c r="BD125" s="80" t="s">
        <v>1222</v>
      </c>
      <c r="BE125" s="76"/>
      <c r="BF125" s="76"/>
      <c r="BG125" s="76"/>
      <c r="BH125" s="76"/>
      <c r="BI125" s="76"/>
      <c r="BJ125" s="76">
        <v>1</v>
      </c>
      <c r="BK125" s="75" t="str">
        <f>REPLACE(INDEX(GroupVertices[Group],MATCH("~"&amp;Edges[[#This Row],[Vertex 1]],GroupVertices[Vertex],0)),1,1,"")</f>
        <v>2</v>
      </c>
      <c r="BL125" s="75" t="str">
        <f>REPLACE(INDEX(GroupVertices[Group],MATCH("~"&amp;Edges[[#This Row],[Vertex 2]],GroupVertices[Vertex],0)),1,1,"")</f>
        <v>2</v>
      </c>
    </row>
    <row r="126" spans="1:64" ht="15">
      <c r="A126" s="61" t="s">
        <v>633</v>
      </c>
      <c r="B126" s="61" t="s">
        <v>705</v>
      </c>
      <c r="C126" s="62"/>
      <c r="D126" s="63"/>
      <c r="E126" s="64"/>
      <c r="F126" s="65"/>
      <c r="G126" s="62"/>
      <c r="H126" s="66"/>
      <c r="I126" s="67"/>
      <c r="J126" s="67"/>
      <c r="K126" s="31" t="s">
        <v>65</v>
      </c>
      <c r="L126" s="74">
        <v>126</v>
      </c>
      <c r="M126" s="74"/>
      <c r="N126" s="69"/>
      <c r="O126" s="76" t="s">
        <v>227</v>
      </c>
      <c r="P126" s="78">
        <v>44291.41986111111</v>
      </c>
      <c r="Q126" s="76" t="s">
        <v>808</v>
      </c>
      <c r="R126" s="76">
        <v>2</v>
      </c>
      <c r="S126" s="76">
        <v>4</v>
      </c>
      <c r="T126" s="76">
        <v>0</v>
      </c>
      <c r="U126" s="76">
        <v>0</v>
      </c>
      <c r="V126" s="76"/>
      <c r="W126" s="80" t="s">
        <v>848</v>
      </c>
      <c r="X126" s="81" t="str">
        <f>HYPERLINK("https://bit.ly/39b0qy9")</f>
        <v>https://bit.ly/39b0qy9</v>
      </c>
      <c r="Y126" s="76" t="s">
        <v>233</v>
      </c>
      <c r="Z126" s="76" t="s">
        <v>915</v>
      </c>
      <c r="AA126" s="76" t="s">
        <v>936</v>
      </c>
      <c r="AB126" s="76" t="s">
        <v>237</v>
      </c>
      <c r="AC126" s="80" t="s">
        <v>239</v>
      </c>
      <c r="AD126" s="76" t="s">
        <v>244</v>
      </c>
      <c r="AE126" s="81" t="str">
        <f>HYPERLINK("https://twitter.com/topdevelopersco/status/1379012085619728388")</f>
        <v>https://twitter.com/topdevelopersco/status/1379012085619728388</v>
      </c>
      <c r="AF126" s="78">
        <v>44291.41986111111</v>
      </c>
      <c r="AG126" s="85">
        <v>44291</v>
      </c>
      <c r="AH126" s="80" t="s">
        <v>1034</v>
      </c>
      <c r="AI126" s="76" t="b">
        <v>0</v>
      </c>
      <c r="AJ126" s="76"/>
      <c r="AK126" s="76"/>
      <c r="AL126" s="76"/>
      <c r="AM126" s="76"/>
      <c r="AN126" s="76"/>
      <c r="AO126" s="76"/>
      <c r="AP126" s="76"/>
      <c r="AQ126" s="76" t="s">
        <v>1076</v>
      </c>
      <c r="AR126" s="76"/>
      <c r="AS126" s="76"/>
      <c r="AT126" s="76"/>
      <c r="AU126" s="76"/>
      <c r="AV126" s="81" t="str">
        <f>HYPERLINK("https://pbs.twimg.com/media/EyM8LFOVoAMSFqr.png")</f>
        <v>https://pbs.twimg.com/media/EyM8LFOVoAMSFqr.png</v>
      </c>
      <c r="AW126" s="80" t="s">
        <v>1164</v>
      </c>
      <c r="AX126" s="80" t="s">
        <v>1164</v>
      </c>
      <c r="AY126" s="76"/>
      <c r="AZ126" s="80" t="s">
        <v>252</v>
      </c>
      <c r="BA126" s="80" t="s">
        <v>252</v>
      </c>
      <c r="BB126" s="80" t="s">
        <v>252</v>
      </c>
      <c r="BC126" s="80" t="s">
        <v>1164</v>
      </c>
      <c r="BD126" s="80" t="s">
        <v>1222</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row>
    <row r="127" spans="1:64" ht="15">
      <c r="A127" s="61" t="s">
        <v>633</v>
      </c>
      <c r="B127" s="61" t="s">
        <v>706</v>
      </c>
      <c r="C127" s="62"/>
      <c r="D127" s="63"/>
      <c r="E127" s="64"/>
      <c r="F127" s="65"/>
      <c r="G127" s="62"/>
      <c r="H127" s="66"/>
      <c r="I127" s="67"/>
      <c r="J127" s="67"/>
      <c r="K127" s="31" t="s">
        <v>65</v>
      </c>
      <c r="L127" s="74">
        <v>127</v>
      </c>
      <c r="M127" s="74"/>
      <c r="N127" s="69"/>
      <c r="O127" s="76" t="s">
        <v>227</v>
      </c>
      <c r="P127" s="78">
        <v>44291.41986111111</v>
      </c>
      <c r="Q127" s="76" t="s">
        <v>808</v>
      </c>
      <c r="R127" s="76">
        <v>2</v>
      </c>
      <c r="S127" s="76">
        <v>4</v>
      </c>
      <c r="T127" s="76">
        <v>0</v>
      </c>
      <c r="U127" s="76">
        <v>0</v>
      </c>
      <c r="V127" s="76"/>
      <c r="W127" s="80" t="s">
        <v>848</v>
      </c>
      <c r="X127" s="81" t="str">
        <f>HYPERLINK("https://bit.ly/39b0qy9")</f>
        <v>https://bit.ly/39b0qy9</v>
      </c>
      <c r="Y127" s="76" t="s">
        <v>233</v>
      </c>
      <c r="Z127" s="76" t="s">
        <v>915</v>
      </c>
      <c r="AA127" s="76" t="s">
        <v>936</v>
      </c>
      <c r="AB127" s="76" t="s">
        <v>237</v>
      </c>
      <c r="AC127" s="80" t="s">
        <v>239</v>
      </c>
      <c r="AD127" s="76" t="s">
        <v>244</v>
      </c>
      <c r="AE127" s="81" t="str">
        <f>HYPERLINK("https://twitter.com/topdevelopersco/status/1379012085619728388")</f>
        <v>https://twitter.com/topdevelopersco/status/1379012085619728388</v>
      </c>
      <c r="AF127" s="78">
        <v>44291.41986111111</v>
      </c>
      <c r="AG127" s="85">
        <v>44291</v>
      </c>
      <c r="AH127" s="80" t="s">
        <v>1034</v>
      </c>
      <c r="AI127" s="76" t="b">
        <v>0</v>
      </c>
      <c r="AJ127" s="76"/>
      <c r="AK127" s="76"/>
      <c r="AL127" s="76"/>
      <c r="AM127" s="76"/>
      <c r="AN127" s="76"/>
      <c r="AO127" s="76"/>
      <c r="AP127" s="76"/>
      <c r="AQ127" s="76" t="s">
        <v>1076</v>
      </c>
      <c r="AR127" s="76"/>
      <c r="AS127" s="76"/>
      <c r="AT127" s="76"/>
      <c r="AU127" s="76"/>
      <c r="AV127" s="81" t="str">
        <f>HYPERLINK("https://pbs.twimg.com/media/EyM8LFOVoAMSFqr.png")</f>
        <v>https://pbs.twimg.com/media/EyM8LFOVoAMSFqr.png</v>
      </c>
      <c r="AW127" s="80" t="s">
        <v>1164</v>
      </c>
      <c r="AX127" s="80" t="s">
        <v>1164</v>
      </c>
      <c r="AY127" s="76"/>
      <c r="AZ127" s="80" t="s">
        <v>252</v>
      </c>
      <c r="BA127" s="80" t="s">
        <v>252</v>
      </c>
      <c r="BB127" s="80" t="s">
        <v>252</v>
      </c>
      <c r="BC127" s="80" t="s">
        <v>1164</v>
      </c>
      <c r="BD127" s="80" t="s">
        <v>1222</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row>
    <row r="128" spans="1:64" ht="15">
      <c r="A128" s="61" t="s">
        <v>633</v>
      </c>
      <c r="B128" s="61" t="s">
        <v>707</v>
      </c>
      <c r="C128" s="62"/>
      <c r="D128" s="63"/>
      <c r="E128" s="64"/>
      <c r="F128" s="65"/>
      <c r="G128" s="62"/>
      <c r="H128" s="66"/>
      <c r="I128" s="67"/>
      <c r="J128" s="67"/>
      <c r="K128" s="31" t="s">
        <v>65</v>
      </c>
      <c r="L128" s="74">
        <v>128</v>
      </c>
      <c r="M128" s="74"/>
      <c r="N128" s="69"/>
      <c r="O128" s="76" t="s">
        <v>227</v>
      </c>
      <c r="P128" s="78">
        <v>44291.41986111111</v>
      </c>
      <c r="Q128" s="76" t="s">
        <v>808</v>
      </c>
      <c r="R128" s="76">
        <v>2</v>
      </c>
      <c r="S128" s="76">
        <v>4</v>
      </c>
      <c r="T128" s="76">
        <v>0</v>
      </c>
      <c r="U128" s="76">
        <v>0</v>
      </c>
      <c r="V128" s="76"/>
      <c r="W128" s="80" t="s">
        <v>848</v>
      </c>
      <c r="X128" s="81" t="str">
        <f>HYPERLINK("https://bit.ly/39b0qy9")</f>
        <v>https://bit.ly/39b0qy9</v>
      </c>
      <c r="Y128" s="76" t="s">
        <v>233</v>
      </c>
      <c r="Z128" s="76" t="s">
        <v>915</v>
      </c>
      <c r="AA128" s="76" t="s">
        <v>936</v>
      </c>
      <c r="AB128" s="76" t="s">
        <v>237</v>
      </c>
      <c r="AC128" s="80" t="s">
        <v>239</v>
      </c>
      <c r="AD128" s="76" t="s">
        <v>244</v>
      </c>
      <c r="AE128" s="81" t="str">
        <f>HYPERLINK("https://twitter.com/topdevelopersco/status/1379012085619728388")</f>
        <v>https://twitter.com/topdevelopersco/status/1379012085619728388</v>
      </c>
      <c r="AF128" s="78">
        <v>44291.41986111111</v>
      </c>
      <c r="AG128" s="85">
        <v>44291</v>
      </c>
      <c r="AH128" s="80" t="s">
        <v>1034</v>
      </c>
      <c r="AI128" s="76" t="b">
        <v>0</v>
      </c>
      <c r="AJ128" s="76"/>
      <c r="AK128" s="76"/>
      <c r="AL128" s="76"/>
      <c r="AM128" s="76"/>
      <c r="AN128" s="76"/>
      <c r="AO128" s="76"/>
      <c r="AP128" s="76"/>
      <c r="AQ128" s="76" t="s">
        <v>1076</v>
      </c>
      <c r="AR128" s="76"/>
      <c r="AS128" s="76"/>
      <c r="AT128" s="76"/>
      <c r="AU128" s="76"/>
      <c r="AV128" s="81" t="str">
        <f>HYPERLINK("https://pbs.twimg.com/media/EyM8LFOVoAMSFqr.png")</f>
        <v>https://pbs.twimg.com/media/EyM8LFOVoAMSFqr.png</v>
      </c>
      <c r="AW128" s="80" t="s">
        <v>1164</v>
      </c>
      <c r="AX128" s="80" t="s">
        <v>1164</v>
      </c>
      <c r="AY128" s="76"/>
      <c r="AZ128" s="80" t="s">
        <v>252</v>
      </c>
      <c r="BA128" s="80" t="s">
        <v>252</v>
      </c>
      <c r="BB128" s="80" t="s">
        <v>252</v>
      </c>
      <c r="BC128" s="80" t="s">
        <v>1164</v>
      </c>
      <c r="BD128" s="80" t="s">
        <v>1222</v>
      </c>
      <c r="BE128" s="76"/>
      <c r="BF128" s="76"/>
      <c r="BG128" s="76"/>
      <c r="BH128" s="76"/>
      <c r="BI128" s="76"/>
      <c r="BJ128" s="76">
        <v>1</v>
      </c>
      <c r="BK128" s="75" t="str">
        <f>REPLACE(INDEX(GroupVertices[Group],MATCH("~"&amp;Edges[[#This Row],[Vertex 1]],GroupVertices[Vertex],0)),1,1,"")</f>
        <v>2</v>
      </c>
      <c r="BL128" s="75" t="str">
        <f>REPLACE(INDEX(GroupVertices[Group],MATCH("~"&amp;Edges[[#This Row],[Vertex 2]],GroupVertices[Vertex],0)),1,1,"")</f>
        <v>2</v>
      </c>
    </row>
    <row r="129" spans="1:64" ht="15">
      <c r="A129" s="61" t="s">
        <v>633</v>
      </c>
      <c r="B129" s="61" t="s">
        <v>708</v>
      </c>
      <c r="C129" s="62"/>
      <c r="D129" s="63"/>
      <c r="E129" s="64"/>
      <c r="F129" s="65"/>
      <c r="G129" s="62"/>
      <c r="H129" s="66"/>
      <c r="I129" s="67"/>
      <c r="J129" s="67"/>
      <c r="K129" s="31" t="s">
        <v>65</v>
      </c>
      <c r="L129" s="74">
        <v>129</v>
      </c>
      <c r="M129" s="74"/>
      <c r="N129" s="69"/>
      <c r="O129" s="76" t="s">
        <v>227</v>
      </c>
      <c r="P129" s="78">
        <v>44291.41986111111</v>
      </c>
      <c r="Q129" s="76" t="s">
        <v>808</v>
      </c>
      <c r="R129" s="76">
        <v>2</v>
      </c>
      <c r="S129" s="76">
        <v>4</v>
      </c>
      <c r="T129" s="76">
        <v>0</v>
      </c>
      <c r="U129" s="76">
        <v>0</v>
      </c>
      <c r="V129" s="76"/>
      <c r="W129" s="80" t="s">
        <v>848</v>
      </c>
      <c r="X129" s="81" t="str">
        <f>HYPERLINK("https://bit.ly/39b0qy9")</f>
        <v>https://bit.ly/39b0qy9</v>
      </c>
      <c r="Y129" s="76" t="s">
        <v>233</v>
      </c>
      <c r="Z129" s="76" t="s">
        <v>915</v>
      </c>
      <c r="AA129" s="76" t="s">
        <v>936</v>
      </c>
      <c r="AB129" s="76" t="s">
        <v>237</v>
      </c>
      <c r="AC129" s="80" t="s">
        <v>239</v>
      </c>
      <c r="AD129" s="76" t="s">
        <v>244</v>
      </c>
      <c r="AE129" s="81" t="str">
        <f>HYPERLINK("https://twitter.com/topdevelopersco/status/1379012085619728388")</f>
        <v>https://twitter.com/topdevelopersco/status/1379012085619728388</v>
      </c>
      <c r="AF129" s="78">
        <v>44291.41986111111</v>
      </c>
      <c r="AG129" s="85">
        <v>44291</v>
      </c>
      <c r="AH129" s="80" t="s">
        <v>1034</v>
      </c>
      <c r="AI129" s="76" t="b">
        <v>0</v>
      </c>
      <c r="AJ129" s="76"/>
      <c r="AK129" s="76"/>
      <c r="AL129" s="76"/>
      <c r="AM129" s="76"/>
      <c r="AN129" s="76"/>
      <c r="AO129" s="76"/>
      <c r="AP129" s="76"/>
      <c r="AQ129" s="76" t="s">
        <v>1076</v>
      </c>
      <c r="AR129" s="76"/>
      <c r="AS129" s="76"/>
      <c r="AT129" s="76"/>
      <c r="AU129" s="76"/>
      <c r="AV129" s="81" t="str">
        <f>HYPERLINK("https://pbs.twimg.com/media/EyM8LFOVoAMSFqr.png")</f>
        <v>https://pbs.twimg.com/media/EyM8LFOVoAMSFqr.png</v>
      </c>
      <c r="AW129" s="80" t="s">
        <v>1164</v>
      </c>
      <c r="AX129" s="80" t="s">
        <v>1164</v>
      </c>
      <c r="AY129" s="76"/>
      <c r="AZ129" s="80" t="s">
        <v>252</v>
      </c>
      <c r="BA129" s="80" t="s">
        <v>252</v>
      </c>
      <c r="BB129" s="80" t="s">
        <v>252</v>
      </c>
      <c r="BC129" s="80" t="s">
        <v>1164</v>
      </c>
      <c r="BD129" s="80" t="s">
        <v>1222</v>
      </c>
      <c r="BE129" s="76"/>
      <c r="BF129" s="76"/>
      <c r="BG129" s="76"/>
      <c r="BH129" s="76"/>
      <c r="BI129" s="76"/>
      <c r="BJ129" s="76">
        <v>2</v>
      </c>
      <c r="BK129" s="75" t="str">
        <f>REPLACE(INDEX(GroupVertices[Group],MATCH("~"&amp;Edges[[#This Row],[Vertex 1]],GroupVertices[Vertex],0)),1,1,"")</f>
        <v>2</v>
      </c>
      <c r="BL129" s="75" t="str">
        <f>REPLACE(INDEX(GroupVertices[Group],MATCH("~"&amp;Edges[[#This Row],[Vertex 2]],GroupVertices[Vertex],0)),1,1,"")</f>
        <v>2</v>
      </c>
    </row>
    <row r="130" spans="1:64" ht="15">
      <c r="A130" s="61" t="s">
        <v>633</v>
      </c>
      <c r="B130" s="61" t="s">
        <v>709</v>
      </c>
      <c r="C130" s="62"/>
      <c r="D130" s="63"/>
      <c r="E130" s="64"/>
      <c r="F130" s="65"/>
      <c r="G130" s="62"/>
      <c r="H130" s="66"/>
      <c r="I130" s="67"/>
      <c r="J130" s="67"/>
      <c r="K130" s="31" t="s">
        <v>65</v>
      </c>
      <c r="L130" s="74">
        <v>130</v>
      </c>
      <c r="M130" s="74"/>
      <c r="N130" s="69"/>
      <c r="O130" s="76" t="s">
        <v>227</v>
      </c>
      <c r="P130" s="78">
        <v>44291.41986111111</v>
      </c>
      <c r="Q130" s="76" t="s">
        <v>808</v>
      </c>
      <c r="R130" s="76">
        <v>2</v>
      </c>
      <c r="S130" s="76">
        <v>4</v>
      </c>
      <c r="T130" s="76">
        <v>0</v>
      </c>
      <c r="U130" s="76">
        <v>0</v>
      </c>
      <c r="V130" s="76"/>
      <c r="W130" s="80" t="s">
        <v>848</v>
      </c>
      <c r="X130" s="81" t="str">
        <f>HYPERLINK("https://bit.ly/39b0qy9")</f>
        <v>https://bit.ly/39b0qy9</v>
      </c>
      <c r="Y130" s="76" t="s">
        <v>233</v>
      </c>
      <c r="Z130" s="76" t="s">
        <v>915</v>
      </c>
      <c r="AA130" s="76" t="s">
        <v>936</v>
      </c>
      <c r="AB130" s="76" t="s">
        <v>237</v>
      </c>
      <c r="AC130" s="80" t="s">
        <v>239</v>
      </c>
      <c r="AD130" s="76" t="s">
        <v>244</v>
      </c>
      <c r="AE130" s="81" t="str">
        <f>HYPERLINK("https://twitter.com/topdevelopersco/status/1379012085619728388")</f>
        <v>https://twitter.com/topdevelopersco/status/1379012085619728388</v>
      </c>
      <c r="AF130" s="78">
        <v>44291.41986111111</v>
      </c>
      <c r="AG130" s="85">
        <v>44291</v>
      </c>
      <c r="AH130" s="80" t="s">
        <v>1034</v>
      </c>
      <c r="AI130" s="76" t="b">
        <v>0</v>
      </c>
      <c r="AJ130" s="76"/>
      <c r="AK130" s="76"/>
      <c r="AL130" s="76"/>
      <c r="AM130" s="76"/>
      <c r="AN130" s="76"/>
      <c r="AO130" s="76"/>
      <c r="AP130" s="76"/>
      <c r="AQ130" s="76" t="s">
        <v>1076</v>
      </c>
      <c r="AR130" s="76"/>
      <c r="AS130" s="76"/>
      <c r="AT130" s="76"/>
      <c r="AU130" s="76"/>
      <c r="AV130" s="81" t="str">
        <f>HYPERLINK("https://pbs.twimg.com/media/EyM8LFOVoAMSFqr.png")</f>
        <v>https://pbs.twimg.com/media/EyM8LFOVoAMSFqr.png</v>
      </c>
      <c r="AW130" s="80" t="s">
        <v>1164</v>
      </c>
      <c r="AX130" s="80" t="s">
        <v>1164</v>
      </c>
      <c r="AY130" s="76"/>
      <c r="AZ130" s="80" t="s">
        <v>252</v>
      </c>
      <c r="BA130" s="80" t="s">
        <v>252</v>
      </c>
      <c r="BB130" s="80" t="s">
        <v>252</v>
      </c>
      <c r="BC130" s="80" t="s">
        <v>1164</v>
      </c>
      <c r="BD130" s="80" t="s">
        <v>1222</v>
      </c>
      <c r="BE130" s="76"/>
      <c r="BF130" s="76"/>
      <c r="BG130" s="76"/>
      <c r="BH130" s="76"/>
      <c r="BI130" s="76"/>
      <c r="BJ130" s="76">
        <v>2</v>
      </c>
      <c r="BK130" s="75" t="str">
        <f>REPLACE(INDEX(GroupVertices[Group],MATCH("~"&amp;Edges[[#This Row],[Vertex 1]],GroupVertices[Vertex],0)),1,1,"")</f>
        <v>2</v>
      </c>
      <c r="BL130" s="75" t="str">
        <f>REPLACE(INDEX(GroupVertices[Group],MATCH("~"&amp;Edges[[#This Row],[Vertex 2]],GroupVertices[Vertex],0)),1,1,"")</f>
        <v>2</v>
      </c>
    </row>
    <row r="131" spans="1:64" ht="15">
      <c r="A131" s="61" t="s">
        <v>633</v>
      </c>
      <c r="B131" s="61" t="s">
        <v>710</v>
      </c>
      <c r="C131" s="62"/>
      <c r="D131" s="63"/>
      <c r="E131" s="64"/>
      <c r="F131" s="65"/>
      <c r="G131" s="62"/>
      <c r="H131" s="66"/>
      <c r="I131" s="67"/>
      <c r="J131" s="67"/>
      <c r="K131" s="31" t="s">
        <v>65</v>
      </c>
      <c r="L131" s="74">
        <v>131</v>
      </c>
      <c r="M131" s="74"/>
      <c r="N131" s="69"/>
      <c r="O131" s="76" t="s">
        <v>227</v>
      </c>
      <c r="P131" s="78">
        <v>44291.41986111111</v>
      </c>
      <c r="Q131" s="76" t="s">
        <v>808</v>
      </c>
      <c r="R131" s="76">
        <v>2</v>
      </c>
      <c r="S131" s="76">
        <v>4</v>
      </c>
      <c r="T131" s="76">
        <v>0</v>
      </c>
      <c r="U131" s="76">
        <v>0</v>
      </c>
      <c r="V131" s="76"/>
      <c r="W131" s="80" t="s">
        <v>848</v>
      </c>
      <c r="X131" s="81" t="str">
        <f>HYPERLINK("https://bit.ly/39b0qy9")</f>
        <v>https://bit.ly/39b0qy9</v>
      </c>
      <c r="Y131" s="76" t="s">
        <v>233</v>
      </c>
      <c r="Z131" s="76" t="s">
        <v>915</v>
      </c>
      <c r="AA131" s="76" t="s">
        <v>936</v>
      </c>
      <c r="AB131" s="76" t="s">
        <v>237</v>
      </c>
      <c r="AC131" s="80" t="s">
        <v>239</v>
      </c>
      <c r="AD131" s="76" t="s">
        <v>244</v>
      </c>
      <c r="AE131" s="81" t="str">
        <f>HYPERLINK("https://twitter.com/topdevelopersco/status/1379012085619728388")</f>
        <v>https://twitter.com/topdevelopersco/status/1379012085619728388</v>
      </c>
      <c r="AF131" s="78">
        <v>44291.41986111111</v>
      </c>
      <c r="AG131" s="85">
        <v>44291</v>
      </c>
      <c r="AH131" s="80" t="s">
        <v>1034</v>
      </c>
      <c r="AI131" s="76" t="b">
        <v>0</v>
      </c>
      <c r="AJ131" s="76"/>
      <c r="AK131" s="76"/>
      <c r="AL131" s="76"/>
      <c r="AM131" s="76"/>
      <c r="AN131" s="76"/>
      <c r="AO131" s="76"/>
      <c r="AP131" s="76"/>
      <c r="AQ131" s="76" t="s">
        <v>1076</v>
      </c>
      <c r="AR131" s="76"/>
      <c r="AS131" s="76"/>
      <c r="AT131" s="76"/>
      <c r="AU131" s="76"/>
      <c r="AV131" s="81" t="str">
        <f>HYPERLINK("https://pbs.twimg.com/media/EyM8LFOVoAMSFqr.png")</f>
        <v>https://pbs.twimg.com/media/EyM8LFOVoAMSFqr.png</v>
      </c>
      <c r="AW131" s="80" t="s">
        <v>1164</v>
      </c>
      <c r="AX131" s="80" t="s">
        <v>1164</v>
      </c>
      <c r="AY131" s="76"/>
      <c r="AZ131" s="80" t="s">
        <v>252</v>
      </c>
      <c r="BA131" s="80" t="s">
        <v>252</v>
      </c>
      <c r="BB131" s="80" t="s">
        <v>252</v>
      </c>
      <c r="BC131" s="80" t="s">
        <v>1164</v>
      </c>
      <c r="BD131" s="80" t="s">
        <v>1222</v>
      </c>
      <c r="BE131" s="76"/>
      <c r="BF131" s="76"/>
      <c r="BG131" s="76"/>
      <c r="BH131" s="76"/>
      <c r="BI131" s="76"/>
      <c r="BJ131" s="76">
        <v>2</v>
      </c>
      <c r="BK131" s="75" t="str">
        <f>REPLACE(INDEX(GroupVertices[Group],MATCH("~"&amp;Edges[[#This Row],[Vertex 1]],GroupVertices[Vertex],0)),1,1,"")</f>
        <v>2</v>
      </c>
      <c r="BL131" s="75" t="str">
        <f>REPLACE(INDEX(GroupVertices[Group],MATCH("~"&amp;Edges[[#This Row],[Vertex 2]],GroupVertices[Vertex],0)),1,1,"")</f>
        <v>2</v>
      </c>
    </row>
    <row r="132" spans="1:64" ht="15">
      <c r="A132" s="61" t="s">
        <v>633</v>
      </c>
      <c r="B132" s="61" t="s">
        <v>711</v>
      </c>
      <c r="C132" s="62"/>
      <c r="D132" s="63"/>
      <c r="E132" s="64"/>
      <c r="F132" s="65"/>
      <c r="G132" s="62"/>
      <c r="H132" s="66"/>
      <c r="I132" s="67"/>
      <c r="J132" s="67"/>
      <c r="K132" s="31" t="s">
        <v>65</v>
      </c>
      <c r="L132" s="74">
        <v>132</v>
      </c>
      <c r="M132" s="74"/>
      <c r="N132" s="69"/>
      <c r="O132" s="76" t="s">
        <v>227</v>
      </c>
      <c r="P132" s="78">
        <v>44120.521469907406</v>
      </c>
      <c r="Q132" s="76" t="s">
        <v>809</v>
      </c>
      <c r="R132" s="76">
        <v>0</v>
      </c>
      <c r="S132" s="76">
        <v>2</v>
      </c>
      <c r="T132" s="76">
        <v>0</v>
      </c>
      <c r="U132" s="76">
        <v>0</v>
      </c>
      <c r="V132" s="76"/>
      <c r="W132" s="80" t="s">
        <v>849</v>
      </c>
      <c r="X132" s="81" t="str">
        <f>HYPERLINK("https://bit.ly/2ItxUwZ")</f>
        <v>https://bit.ly/2ItxUwZ</v>
      </c>
      <c r="Y132" s="76" t="s">
        <v>233</v>
      </c>
      <c r="Z132" s="76" t="s">
        <v>916</v>
      </c>
      <c r="AA132" s="76" t="s">
        <v>937</v>
      </c>
      <c r="AB132" s="76" t="s">
        <v>237</v>
      </c>
      <c r="AC132" s="80" t="s">
        <v>239</v>
      </c>
      <c r="AD132" s="76" t="s">
        <v>244</v>
      </c>
      <c r="AE132" s="81" t="str">
        <f>HYPERLINK("https://twitter.com/topdevelopersco/status/1317080579611844611")</f>
        <v>https://twitter.com/topdevelopersco/status/1317080579611844611</v>
      </c>
      <c r="AF132" s="78">
        <v>44120.521469907406</v>
      </c>
      <c r="AG132" s="85">
        <v>44120</v>
      </c>
      <c r="AH132" s="80" t="s">
        <v>1035</v>
      </c>
      <c r="AI132" s="76" t="b">
        <v>0</v>
      </c>
      <c r="AJ132" s="76"/>
      <c r="AK132" s="76"/>
      <c r="AL132" s="76"/>
      <c r="AM132" s="76"/>
      <c r="AN132" s="76"/>
      <c r="AO132" s="76"/>
      <c r="AP132" s="76"/>
      <c r="AQ132" s="76" t="s">
        <v>1077</v>
      </c>
      <c r="AR132" s="76"/>
      <c r="AS132" s="76"/>
      <c r="AT132" s="76"/>
      <c r="AU132" s="76"/>
      <c r="AV132" s="81" t="str">
        <f>HYPERLINK("https://pbs.twimg.com/media/Ekc1zduU0AEdSKk.png")</f>
        <v>https://pbs.twimg.com/media/Ekc1zduU0AEdSKk.png</v>
      </c>
      <c r="AW132" s="80" t="s">
        <v>1165</v>
      </c>
      <c r="AX132" s="80" t="s">
        <v>1165</v>
      </c>
      <c r="AY132" s="76"/>
      <c r="AZ132" s="80" t="s">
        <v>252</v>
      </c>
      <c r="BA132" s="80" t="s">
        <v>252</v>
      </c>
      <c r="BB132" s="80" t="s">
        <v>252</v>
      </c>
      <c r="BC132" s="80" t="s">
        <v>1165</v>
      </c>
      <c r="BD132" s="80" t="s">
        <v>1222</v>
      </c>
      <c r="BE132" s="76"/>
      <c r="BF132" s="76"/>
      <c r="BG132" s="76"/>
      <c r="BH132" s="76"/>
      <c r="BI132" s="76"/>
      <c r="BJ132" s="76">
        <v>1</v>
      </c>
      <c r="BK132" s="75" t="str">
        <f>REPLACE(INDEX(GroupVertices[Group],MATCH("~"&amp;Edges[[#This Row],[Vertex 1]],GroupVertices[Vertex],0)),1,1,"")</f>
        <v>2</v>
      </c>
      <c r="BL132" s="75" t="str">
        <f>REPLACE(INDEX(GroupVertices[Group],MATCH("~"&amp;Edges[[#This Row],[Vertex 2]],GroupVertices[Vertex],0)),1,1,"")</f>
        <v>2</v>
      </c>
    </row>
    <row r="133" spans="1:64" ht="15">
      <c r="A133" s="61" t="s">
        <v>633</v>
      </c>
      <c r="B133" s="61" t="s">
        <v>712</v>
      </c>
      <c r="C133" s="62"/>
      <c r="D133" s="63"/>
      <c r="E133" s="64"/>
      <c r="F133" s="65"/>
      <c r="G133" s="62"/>
      <c r="H133" s="66"/>
      <c r="I133" s="67"/>
      <c r="J133" s="67"/>
      <c r="K133" s="31" t="s">
        <v>65</v>
      </c>
      <c r="L133" s="74">
        <v>133</v>
      </c>
      <c r="M133" s="74"/>
      <c r="N133" s="69"/>
      <c r="O133" s="76" t="s">
        <v>227</v>
      </c>
      <c r="P133" s="78">
        <v>44120.521469907406</v>
      </c>
      <c r="Q133" s="76" t="s">
        <v>809</v>
      </c>
      <c r="R133" s="76">
        <v>0</v>
      </c>
      <c r="S133" s="76">
        <v>2</v>
      </c>
      <c r="T133" s="76">
        <v>0</v>
      </c>
      <c r="U133" s="76">
        <v>0</v>
      </c>
      <c r="V133" s="76"/>
      <c r="W133" s="80" t="s">
        <v>849</v>
      </c>
      <c r="X133" s="81" t="str">
        <f>HYPERLINK("https://bit.ly/2ItxUwZ")</f>
        <v>https://bit.ly/2ItxUwZ</v>
      </c>
      <c r="Y133" s="76" t="s">
        <v>233</v>
      </c>
      <c r="Z133" s="76" t="s">
        <v>916</v>
      </c>
      <c r="AA133" s="76" t="s">
        <v>937</v>
      </c>
      <c r="AB133" s="76" t="s">
        <v>237</v>
      </c>
      <c r="AC133" s="80" t="s">
        <v>239</v>
      </c>
      <c r="AD133" s="76" t="s">
        <v>244</v>
      </c>
      <c r="AE133" s="81" t="str">
        <f>HYPERLINK("https://twitter.com/topdevelopersco/status/1317080579611844611")</f>
        <v>https://twitter.com/topdevelopersco/status/1317080579611844611</v>
      </c>
      <c r="AF133" s="78">
        <v>44120.521469907406</v>
      </c>
      <c r="AG133" s="85">
        <v>44120</v>
      </c>
      <c r="AH133" s="80" t="s">
        <v>1035</v>
      </c>
      <c r="AI133" s="76" t="b">
        <v>0</v>
      </c>
      <c r="AJ133" s="76"/>
      <c r="AK133" s="76"/>
      <c r="AL133" s="76"/>
      <c r="AM133" s="76"/>
      <c r="AN133" s="76"/>
      <c r="AO133" s="76"/>
      <c r="AP133" s="76"/>
      <c r="AQ133" s="76" t="s">
        <v>1077</v>
      </c>
      <c r="AR133" s="76"/>
      <c r="AS133" s="76"/>
      <c r="AT133" s="76"/>
      <c r="AU133" s="76"/>
      <c r="AV133" s="81" t="str">
        <f>HYPERLINK("https://pbs.twimg.com/media/Ekc1zduU0AEdSKk.png")</f>
        <v>https://pbs.twimg.com/media/Ekc1zduU0AEdSKk.png</v>
      </c>
      <c r="AW133" s="80" t="s">
        <v>1165</v>
      </c>
      <c r="AX133" s="80" t="s">
        <v>1165</v>
      </c>
      <c r="AY133" s="76"/>
      <c r="AZ133" s="80" t="s">
        <v>252</v>
      </c>
      <c r="BA133" s="80" t="s">
        <v>252</v>
      </c>
      <c r="BB133" s="80" t="s">
        <v>252</v>
      </c>
      <c r="BC133" s="80" t="s">
        <v>1165</v>
      </c>
      <c r="BD133" s="80" t="s">
        <v>1222</v>
      </c>
      <c r="BE133" s="76"/>
      <c r="BF133" s="76"/>
      <c r="BG133" s="76"/>
      <c r="BH133" s="76"/>
      <c r="BI133" s="76"/>
      <c r="BJ133" s="76">
        <v>1</v>
      </c>
      <c r="BK133" s="75" t="str">
        <f>REPLACE(INDEX(GroupVertices[Group],MATCH("~"&amp;Edges[[#This Row],[Vertex 1]],GroupVertices[Vertex],0)),1,1,"")</f>
        <v>2</v>
      </c>
      <c r="BL133" s="75" t="str">
        <f>REPLACE(INDEX(GroupVertices[Group],MATCH("~"&amp;Edges[[#This Row],[Vertex 2]],GroupVertices[Vertex],0)),1,1,"")</f>
        <v>2</v>
      </c>
    </row>
    <row r="134" spans="1:64" ht="15">
      <c r="A134" s="61" t="s">
        <v>633</v>
      </c>
      <c r="B134" s="61" t="s">
        <v>713</v>
      </c>
      <c r="C134" s="62"/>
      <c r="D134" s="63"/>
      <c r="E134" s="64"/>
      <c r="F134" s="65"/>
      <c r="G134" s="62"/>
      <c r="H134" s="66"/>
      <c r="I134" s="67"/>
      <c r="J134" s="67"/>
      <c r="K134" s="31" t="s">
        <v>65</v>
      </c>
      <c r="L134" s="74">
        <v>134</v>
      </c>
      <c r="M134" s="74"/>
      <c r="N134" s="69"/>
      <c r="O134" s="76" t="s">
        <v>227</v>
      </c>
      <c r="P134" s="78">
        <v>44120.521469907406</v>
      </c>
      <c r="Q134" s="76" t="s">
        <v>809</v>
      </c>
      <c r="R134" s="76">
        <v>0</v>
      </c>
      <c r="S134" s="76">
        <v>2</v>
      </c>
      <c r="T134" s="76">
        <v>0</v>
      </c>
      <c r="U134" s="76">
        <v>0</v>
      </c>
      <c r="V134" s="76"/>
      <c r="W134" s="80" t="s">
        <v>849</v>
      </c>
      <c r="X134" s="81" t="str">
        <f>HYPERLINK("https://bit.ly/2ItxUwZ")</f>
        <v>https://bit.ly/2ItxUwZ</v>
      </c>
      <c r="Y134" s="76" t="s">
        <v>233</v>
      </c>
      <c r="Z134" s="76" t="s">
        <v>916</v>
      </c>
      <c r="AA134" s="76" t="s">
        <v>937</v>
      </c>
      <c r="AB134" s="76" t="s">
        <v>237</v>
      </c>
      <c r="AC134" s="80" t="s">
        <v>239</v>
      </c>
      <c r="AD134" s="76" t="s">
        <v>244</v>
      </c>
      <c r="AE134" s="81" t="str">
        <f>HYPERLINK("https://twitter.com/topdevelopersco/status/1317080579611844611")</f>
        <v>https://twitter.com/topdevelopersco/status/1317080579611844611</v>
      </c>
      <c r="AF134" s="78">
        <v>44120.521469907406</v>
      </c>
      <c r="AG134" s="85">
        <v>44120</v>
      </c>
      <c r="AH134" s="80" t="s">
        <v>1035</v>
      </c>
      <c r="AI134" s="76" t="b">
        <v>0</v>
      </c>
      <c r="AJ134" s="76"/>
      <c r="AK134" s="76"/>
      <c r="AL134" s="76"/>
      <c r="AM134" s="76"/>
      <c r="AN134" s="76"/>
      <c r="AO134" s="76"/>
      <c r="AP134" s="76"/>
      <c r="AQ134" s="76" t="s">
        <v>1077</v>
      </c>
      <c r="AR134" s="76"/>
      <c r="AS134" s="76"/>
      <c r="AT134" s="76"/>
      <c r="AU134" s="76"/>
      <c r="AV134" s="81" t="str">
        <f>HYPERLINK("https://pbs.twimg.com/media/Ekc1zduU0AEdSKk.png")</f>
        <v>https://pbs.twimg.com/media/Ekc1zduU0AEdSKk.png</v>
      </c>
      <c r="AW134" s="80" t="s">
        <v>1165</v>
      </c>
      <c r="AX134" s="80" t="s">
        <v>1165</v>
      </c>
      <c r="AY134" s="76"/>
      <c r="AZ134" s="80" t="s">
        <v>252</v>
      </c>
      <c r="BA134" s="80" t="s">
        <v>252</v>
      </c>
      <c r="BB134" s="80" t="s">
        <v>252</v>
      </c>
      <c r="BC134" s="80" t="s">
        <v>1165</v>
      </c>
      <c r="BD134" s="80" t="s">
        <v>1222</v>
      </c>
      <c r="BE134" s="76"/>
      <c r="BF134" s="76"/>
      <c r="BG134" s="76"/>
      <c r="BH134" s="76"/>
      <c r="BI134" s="76"/>
      <c r="BJ134" s="76">
        <v>1</v>
      </c>
      <c r="BK134" s="75" t="str">
        <f>REPLACE(INDEX(GroupVertices[Group],MATCH("~"&amp;Edges[[#This Row],[Vertex 1]],GroupVertices[Vertex],0)),1,1,"")</f>
        <v>2</v>
      </c>
      <c r="BL134" s="75" t="str">
        <f>REPLACE(INDEX(GroupVertices[Group],MATCH("~"&amp;Edges[[#This Row],[Vertex 2]],GroupVertices[Vertex],0)),1,1,"")</f>
        <v>2</v>
      </c>
    </row>
    <row r="135" spans="1:64" ht="15">
      <c r="A135" s="61" t="s">
        <v>633</v>
      </c>
      <c r="B135" s="61" t="s">
        <v>714</v>
      </c>
      <c r="C135" s="62"/>
      <c r="D135" s="63"/>
      <c r="E135" s="64"/>
      <c r="F135" s="65"/>
      <c r="G135" s="62"/>
      <c r="H135" s="66"/>
      <c r="I135" s="67"/>
      <c r="J135" s="67"/>
      <c r="K135" s="31" t="s">
        <v>65</v>
      </c>
      <c r="L135" s="74">
        <v>135</v>
      </c>
      <c r="M135" s="74"/>
      <c r="N135" s="69"/>
      <c r="O135" s="76" t="s">
        <v>227</v>
      </c>
      <c r="P135" s="78">
        <v>44120.521469907406</v>
      </c>
      <c r="Q135" s="76" t="s">
        <v>809</v>
      </c>
      <c r="R135" s="76">
        <v>0</v>
      </c>
      <c r="S135" s="76">
        <v>2</v>
      </c>
      <c r="T135" s="76">
        <v>0</v>
      </c>
      <c r="U135" s="76">
        <v>0</v>
      </c>
      <c r="V135" s="76"/>
      <c r="W135" s="80" t="s">
        <v>849</v>
      </c>
      <c r="X135" s="81" t="str">
        <f>HYPERLINK("https://bit.ly/2ItxUwZ")</f>
        <v>https://bit.ly/2ItxUwZ</v>
      </c>
      <c r="Y135" s="76" t="s">
        <v>233</v>
      </c>
      <c r="Z135" s="76" t="s">
        <v>916</v>
      </c>
      <c r="AA135" s="76" t="s">
        <v>937</v>
      </c>
      <c r="AB135" s="76" t="s">
        <v>237</v>
      </c>
      <c r="AC135" s="80" t="s">
        <v>239</v>
      </c>
      <c r="AD135" s="76" t="s">
        <v>244</v>
      </c>
      <c r="AE135" s="81" t="str">
        <f>HYPERLINK("https://twitter.com/topdevelopersco/status/1317080579611844611")</f>
        <v>https://twitter.com/topdevelopersco/status/1317080579611844611</v>
      </c>
      <c r="AF135" s="78">
        <v>44120.521469907406</v>
      </c>
      <c r="AG135" s="85">
        <v>44120</v>
      </c>
      <c r="AH135" s="80" t="s">
        <v>1035</v>
      </c>
      <c r="AI135" s="76" t="b">
        <v>0</v>
      </c>
      <c r="AJ135" s="76"/>
      <c r="AK135" s="76"/>
      <c r="AL135" s="76"/>
      <c r="AM135" s="76"/>
      <c r="AN135" s="76"/>
      <c r="AO135" s="76"/>
      <c r="AP135" s="76"/>
      <c r="AQ135" s="76" t="s">
        <v>1077</v>
      </c>
      <c r="AR135" s="76"/>
      <c r="AS135" s="76"/>
      <c r="AT135" s="76"/>
      <c r="AU135" s="76"/>
      <c r="AV135" s="81" t="str">
        <f>HYPERLINK("https://pbs.twimg.com/media/Ekc1zduU0AEdSKk.png")</f>
        <v>https://pbs.twimg.com/media/Ekc1zduU0AEdSKk.png</v>
      </c>
      <c r="AW135" s="80" t="s">
        <v>1165</v>
      </c>
      <c r="AX135" s="80" t="s">
        <v>1165</v>
      </c>
      <c r="AY135" s="76"/>
      <c r="AZ135" s="80" t="s">
        <v>252</v>
      </c>
      <c r="BA135" s="80" t="s">
        <v>252</v>
      </c>
      <c r="BB135" s="80" t="s">
        <v>252</v>
      </c>
      <c r="BC135" s="80" t="s">
        <v>1165</v>
      </c>
      <c r="BD135" s="80" t="s">
        <v>1222</v>
      </c>
      <c r="BE135" s="76"/>
      <c r="BF135" s="76"/>
      <c r="BG135" s="76"/>
      <c r="BH135" s="76"/>
      <c r="BI135" s="76"/>
      <c r="BJ135" s="76">
        <v>1</v>
      </c>
      <c r="BK135" s="75" t="str">
        <f>REPLACE(INDEX(GroupVertices[Group],MATCH("~"&amp;Edges[[#This Row],[Vertex 1]],GroupVertices[Vertex],0)),1,1,"")</f>
        <v>2</v>
      </c>
      <c r="BL135" s="75" t="str">
        <f>REPLACE(INDEX(GroupVertices[Group],MATCH("~"&amp;Edges[[#This Row],[Vertex 2]],GroupVertices[Vertex],0)),1,1,"")</f>
        <v>2</v>
      </c>
    </row>
    <row r="136" spans="1:64" ht="15">
      <c r="A136" s="61" t="s">
        <v>633</v>
      </c>
      <c r="B136" s="61" t="s">
        <v>715</v>
      </c>
      <c r="C136" s="62"/>
      <c r="D136" s="63"/>
      <c r="E136" s="64"/>
      <c r="F136" s="65"/>
      <c r="G136" s="62"/>
      <c r="H136" s="66"/>
      <c r="I136" s="67"/>
      <c r="J136" s="67"/>
      <c r="K136" s="31" t="s">
        <v>65</v>
      </c>
      <c r="L136" s="74">
        <v>136</v>
      </c>
      <c r="M136" s="74"/>
      <c r="N136" s="69"/>
      <c r="O136" s="76" t="s">
        <v>227</v>
      </c>
      <c r="P136" s="78">
        <v>44120.521469907406</v>
      </c>
      <c r="Q136" s="76" t="s">
        <v>809</v>
      </c>
      <c r="R136" s="76">
        <v>0</v>
      </c>
      <c r="S136" s="76">
        <v>2</v>
      </c>
      <c r="T136" s="76">
        <v>0</v>
      </c>
      <c r="U136" s="76">
        <v>0</v>
      </c>
      <c r="V136" s="76"/>
      <c r="W136" s="80" t="s">
        <v>849</v>
      </c>
      <c r="X136" s="81" t="str">
        <f>HYPERLINK("https://bit.ly/2ItxUwZ")</f>
        <v>https://bit.ly/2ItxUwZ</v>
      </c>
      <c r="Y136" s="76" t="s">
        <v>233</v>
      </c>
      <c r="Z136" s="76" t="s">
        <v>916</v>
      </c>
      <c r="AA136" s="76" t="s">
        <v>937</v>
      </c>
      <c r="AB136" s="76" t="s">
        <v>237</v>
      </c>
      <c r="AC136" s="80" t="s">
        <v>239</v>
      </c>
      <c r="AD136" s="76" t="s">
        <v>244</v>
      </c>
      <c r="AE136" s="81" t="str">
        <f>HYPERLINK("https://twitter.com/topdevelopersco/status/1317080579611844611")</f>
        <v>https://twitter.com/topdevelopersco/status/1317080579611844611</v>
      </c>
      <c r="AF136" s="78">
        <v>44120.521469907406</v>
      </c>
      <c r="AG136" s="85">
        <v>44120</v>
      </c>
      <c r="AH136" s="80" t="s">
        <v>1035</v>
      </c>
      <c r="AI136" s="76" t="b">
        <v>0</v>
      </c>
      <c r="AJ136" s="76"/>
      <c r="AK136" s="76"/>
      <c r="AL136" s="76"/>
      <c r="AM136" s="76"/>
      <c r="AN136" s="76"/>
      <c r="AO136" s="76"/>
      <c r="AP136" s="76"/>
      <c r="AQ136" s="76" t="s">
        <v>1077</v>
      </c>
      <c r="AR136" s="76"/>
      <c r="AS136" s="76"/>
      <c r="AT136" s="76"/>
      <c r="AU136" s="76"/>
      <c r="AV136" s="81" t="str">
        <f>HYPERLINK("https://pbs.twimg.com/media/Ekc1zduU0AEdSKk.png")</f>
        <v>https://pbs.twimg.com/media/Ekc1zduU0AEdSKk.png</v>
      </c>
      <c r="AW136" s="80" t="s">
        <v>1165</v>
      </c>
      <c r="AX136" s="80" t="s">
        <v>1165</v>
      </c>
      <c r="AY136" s="76"/>
      <c r="AZ136" s="80" t="s">
        <v>252</v>
      </c>
      <c r="BA136" s="80" t="s">
        <v>252</v>
      </c>
      <c r="BB136" s="80" t="s">
        <v>252</v>
      </c>
      <c r="BC136" s="80" t="s">
        <v>1165</v>
      </c>
      <c r="BD136" s="80" t="s">
        <v>1222</v>
      </c>
      <c r="BE136" s="76"/>
      <c r="BF136" s="76"/>
      <c r="BG136" s="76"/>
      <c r="BH136" s="76"/>
      <c r="BI136" s="76"/>
      <c r="BJ136" s="76">
        <v>1</v>
      </c>
      <c r="BK136" s="75" t="str">
        <f>REPLACE(INDEX(GroupVertices[Group],MATCH("~"&amp;Edges[[#This Row],[Vertex 1]],GroupVertices[Vertex],0)),1,1,"")</f>
        <v>2</v>
      </c>
      <c r="BL136" s="75" t="str">
        <f>REPLACE(INDEX(GroupVertices[Group],MATCH("~"&amp;Edges[[#This Row],[Vertex 2]],GroupVertices[Vertex],0)),1,1,"")</f>
        <v>2</v>
      </c>
    </row>
    <row r="137" spans="1:64" ht="15">
      <c r="A137" s="61" t="s">
        <v>634</v>
      </c>
      <c r="B137" s="61" t="s">
        <v>716</v>
      </c>
      <c r="C137" s="62"/>
      <c r="D137" s="63"/>
      <c r="E137" s="64"/>
      <c r="F137" s="65"/>
      <c r="G137" s="62"/>
      <c r="H137" s="66"/>
      <c r="I137" s="67"/>
      <c r="J137" s="67"/>
      <c r="K137" s="31" t="s">
        <v>65</v>
      </c>
      <c r="L137" s="74">
        <v>137</v>
      </c>
      <c r="M137" s="74"/>
      <c r="N137" s="69"/>
      <c r="O137" s="76" t="s">
        <v>230</v>
      </c>
      <c r="P137" s="78">
        <v>44091.45422453704</v>
      </c>
      <c r="Q137" s="76" t="s">
        <v>810</v>
      </c>
      <c r="R137" s="76">
        <v>0</v>
      </c>
      <c r="S137" s="76">
        <v>0</v>
      </c>
      <c r="T137" s="76">
        <v>0</v>
      </c>
      <c r="U137" s="76">
        <v>0</v>
      </c>
      <c r="V137" s="76"/>
      <c r="W137" s="80" t="s">
        <v>850</v>
      </c>
      <c r="X137" s="76"/>
      <c r="Y137" s="76"/>
      <c r="Z137" s="76" t="s">
        <v>917</v>
      </c>
      <c r="AA137" s="76"/>
      <c r="AB137" s="76"/>
      <c r="AC137" s="80" t="s">
        <v>239</v>
      </c>
      <c r="AD137" s="76" t="s">
        <v>244</v>
      </c>
      <c r="AE137" s="81" t="str">
        <f>HYPERLINK("https://twitter.com/evontech/status/1306546966155853824")</f>
        <v>https://twitter.com/evontech/status/1306546966155853824</v>
      </c>
      <c r="AF137" s="78">
        <v>44091.45422453704</v>
      </c>
      <c r="AG137" s="85">
        <v>44091</v>
      </c>
      <c r="AH137" s="80" t="s">
        <v>1036</v>
      </c>
      <c r="AI137" s="76"/>
      <c r="AJ137" s="76"/>
      <c r="AK137" s="76"/>
      <c r="AL137" s="76"/>
      <c r="AM137" s="76"/>
      <c r="AN137" s="76"/>
      <c r="AO137" s="76"/>
      <c r="AP137" s="76"/>
      <c r="AQ137" s="76"/>
      <c r="AR137" s="76"/>
      <c r="AS137" s="76"/>
      <c r="AT137" s="76"/>
      <c r="AU137" s="76"/>
      <c r="AV137" s="81" t="str">
        <f>HYPERLINK("https://pbs.twimg.com/profile_images/1634150200305414144/yRbuyQ62_normal.jpg")</f>
        <v>https://pbs.twimg.com/profile_images/1634150200305414144/yRbuyQ62_normal.jpg</v>
      </c>
      <c r="AW137" s="80" t="s">
        <v>1166</v>
      </c>
      <c r="AX137" s="80" t="s">
        <v>1167</v>
      </c>
      <c r="AY137" s="80" t="s">
        <v>1222</v>
      </c>
      <c r="AZ137" s="80" t="s">
        <v>1167</v>
      </c>
      <c r="BA137" s="80" t="s">
        <v>252</v>
      </c>
      <c r="BB137" s="80" t="s">
        <v>252</v>
      </c>
      <c r="BC137" s="80" t="s">
        <v>1167</v>
      </c>
      <c r="BD137" s="76">
        <v>164178163</v>
      </c>
      <c r="BE137" s="76"/>
      <c r="BF137" s="76"/>
      <c r="BG137" s="76"/>
      <c r="BH137" s="76"/>
      <c r="BI137" s="76"/>
      <c r="BJ137" s="76">
        <v>1</v>
      </c>
      <c r="BK137" s="75" t="str">
        <f>REPLACE(INDEX(GroupVertices[Group],MATCH("~"&amp;Edges[[#This Row],[Vertex 1]],GroupVertices[Vertex],0)),1,1,"")</f>
        <v>2</v>
      </c>
      <c r="BL137" s="75" t="str">
        <f>REPLACE(INDEX(GroupVertices[Group],MATCH("~"&amp;Edges[[#This Row],[Vertex 2]],GroupVertices[Vertex],0)),1,1,"")</f>
        <v>2</v>
      </c>
    </row>
    <row r="138" spans="1:64" ht="15">
      <c r="A138" s="61" t="s">
        <v>633</v>
      </c>
      <c r="B138" s="61" t="s">
        <v>716</v>
      </c>
      <c r="C138" s="62"/>
      <c r="D138" s="63"/>
      <c r="E138" s="64"/>
      <c r="F138" s="65"/>
      <c r="G138" s="62"/>
      <c r="H138" s="66"/>
      <c r="I138" s="67"/>
      <c r="J138" s="67"/>
      <c r="K138" s="31" t="s">
        <v>65</v>
      </c>
      <c r="L138" s="74">
        <v>138</v>
      </c>
      <c r="M138" s="74"/>
      <c r="N138" s="69"/>
      <c r="O138" s="76" t="s">
        <v>227</v>
      </c>
      <c r="P138" s="78">
        <v>44091.43738425926</v>
      </c>
      <c r="Q138" s="76" t="s">
        <v>811</v>
      </c>
      <c r="R138" s="76">
        <v>5</v>
      </c>
      <c r="S138" s="76">
        <v>8</v>
      </c>
      <c r="T138" s="76">
        <v>1</v>
      </c>
      <c r="U138" s="76">
        <v>0</v>
      </c>
      <c r="V138" s="76"/>
      <c r="W138" s="80" t="s">
        <v>851</v>
      </c>
      <c r="X138" s="76" t="s">
        <v>865</v>
      </c>
      <c r="Y138" s="76" t="s">
        <v>886</v>
      </c>
      <c r="Z138" s="76" t="s">
        <v>918</v>
      </c>
      <c r="AA138" s="76" t="s">
        <v>938</v>
      </c>
      <c r="AB138" s="76" t="s">
        <v>237</v>
      </c>
      <c r="AC138" s="80" t="s">
        <v>239</v>
      </c>
      <c r="AD138" s="76" t="s">
        <v>244</v>
      </c>
      <c r="AE138" s="81" t="str">
        <f>HYPERLINK("https://twitter.com/topdevelopersco/status/1306540860897595392")</f>
        <v>https://twitter.com/topdevelopersco/status/1306540860897595392</v>
      </c>
      <c r="AF138" s="78">
        <v>44091.43738425926</v>
      </c>
      <c r="AG138" s="85">
        <v>44091</v>
      </c>
      <c r="AH138" s="80" t="s">
        <v>1037</v>
      </c>
      <c r="AI138" s="76" t="b">
        <v>0</v>
      </c>
      <c r="AJ138" s="76"/>
      <c r="AK138" s="76"/>
      <c r="AL138" s="76"/>
      <c r="AM138" s="76"/>
      <c r="AN138" s="76"/>
      <c r="AO138" s="76"/>
      <c r="AP138" s="76"/>
      <c r="AQ138" s="76" t="s">
        <v>1078</v>
      </c>
      <c r="AR138" s="76"/>
      <c r="AS138" s="76"/>
      <c r="AT138" s="76"/>
      <c r="AU138" s="76"/>
      <c r="AV138" s="81" t="str">
        <f>HYPERLINK("https://pbs.twimg.com/media/EiHCmP8VkAAnzKF.jpg")</f>
        <v>https://pbs.twimg.com/media/EiHCmP8VkAAnzKF.jpg</v>
      </c>
      <c r="AW138" s="80" t="s">
        <v>1167</v>
      </c>
      <c r="AX138" s="80" t="s">
        <v>1167</v>
      </c>
      <c r="AY138" s="76"/>
      <c r="AZ138" s="80" t="s">
        <v>252</v>
      </c>
      <c r="BA138" s="80" t="s">
        <v>252</v>
      </c>
      <c r="BB138" s="80" t="s">
        <v>252</v>
      </c>
      <c r="BC138" s="80" t="s">
        <v>1167</v>
      </c>
      <c r="BD138" s="80" t="s">
        <v>1222</v>
      </c>
      <c r="BE138" s="76"/>
      <c r="BF138" s="76"/>
      <c r="BG138" s="76"/>
      <c r="BH138" s="76"/>
      <c r="BI138" s="76"/>
      <c r="BJ138" s="76">
        <v>1</v>
      </c>
      <c r="BK138" s="75" t="str">
        <f>REPLACE(INDEX(GroupVertices[Group],MATCH("~"&amp;Edges[[#This Row],[Vertex 1]],GroupVertices[Vertex],0)),1,1,"")</f>
        <v>2</v>
      </c>
      <c r="BL138" s="75" t="str">
        <f>REPLACE(INDEX(GroupVertices[Group],MATCH("~"&amp;Edges[[#This Row],[Vertex 2]],GroupVertices[Vertex],0)),1,1,"")</f>
        <v>2</v>
      </c>
    </row>
    <row r="139" spans="1:64" ht="15">
      <c r="A139" s="61" t="s">
        <v>634</v>
      </c>
      <c r="B139" s="61" t="s">
        <v>717</v>
      </c>
      <c r="C139" s="62"/>
      <c r="D139" s="63"/>
      <c r="E139" s="64"/>
      <c r="F139" s="65"/>
      <c r="G139" s="62"/>
      <c r="H139" s="66"/>
      <c r="I139" s="67"/>
      <c r="J139" s="67"/>
      <c r="K139" s="31" t="s">
        <v>65</v>
      </c>
      <c r="L139" s="74">
        <v>139</v>
      </c>
      <c r="M139" s="74"/>
      <c r="N139" s="69"/>
      <c r="O139" s="76" t="s">
        <v>230</v>
      </c>
      <c r="P139" s="78">
        <v>44091.45422453704</v>
      </c>
      <c r="Q139" s="76" t="s">
        <v>810</v>
      </c>
      <c r="R139" s="76">
        <v>0</v>
      </c>
      <c r="S139" s="76">
        <v>0</v>
      </c>
      <c r="T139" s="76">
        <v>0</v>
      </c>
      <c r="U139" s="76">
        <v>0</v>
      </c>
      <c r="V139" s="76"/>
      <c r="W139" s="80" t="s">
        <v>850</v>
      </c>
      <c r="X139" s="76"/>
      <c r="Y139" s="76"/>
      <c r="Z139" s="76" t="s">
        <v>917</v>
      </c>
      <c r="AA139" s="76"/>
      <c r="AB139" s="76"/>
      <c r="AC139" s="80" t="s">
        <v>239</v>
      </c>
      <c r="AD139" s="76" t="s">
        <v>244</v>
      </c>
      <c r="AE139" s="81" t="str">
        <f>HYPERLINK("https://twitter.com/evontech/status/1306546966155853824")</f>
        <v>https://twitter.com/evontech/status/1306546966155853824</v>
      </c>
      <c r="AF139" s="78">
        <v>44091.45422453704</v>
      </c>
      <c r="AG139" s="85">
        <v>44091</v>
      </c>
      <c r="AH139" s="80" t="s">
        <v>1036</v>
      </c>
      <c r="AI139" s="76"/>
      <c r="AJ139" s="76"/>
      <c r="AK139" s="76"/>
      <c r="AL139" s="76"/>
      <c r="AM139" s="76"/>
      <c r="AN139" s="76"/>
      <c r="AO139" s="76"/>
      <c r="AP139" s="76"/>
      <c r="AQ139" s="76"/>
      <c r="AR139" s="76"/>
      <c r="AS139" s="76"/>
      <c r="AT139" s="76"/>
      <c r="AU139" s="76"/>
      <c r="AV139" s="81" t="str">
        <f>HYPERLINK("https://pbs.twimg.com/profile_images/1634150200305414144/yRbuyQ62_normal.jpg")</f>
        <v>https://pbs.twimg.com/profile_images/1634150200305414144/yRbuyQ62_normal.jpg</v>
      </c>
      <c r="AW139" s="80" t="s">
        <v>1166</v>
      </c>
      <c r="AX139" s="80" t="s">
        <v>1167</v>
      </c>
      <c r="AY139" s="80" t="s">
        <v>1222</v>
      </c>
      <c r="AZ139" s="80" t="s">
        <v>1167</v>
      </c>
      <c r="BA139" s="80" t="s">
        <v>252</v>
      </c>
      <c r="BB139" s="80" t="s">
        <v>252</v>
      </c>
      <c r="BC139" s="80" t="s">
        <v>1167</v>
      </c>
      <c r="BD139" s="76">
        <v>164178163</v>
      </c>
      <c r="BE139" s="76"/>
      <c r="BF139" s="76"/>
      <c r="BG139" s="76"/>
      <c r="BH139" s="76"/>
      <c r="BI139" s="76"/>
      <c r="BJ139" s="76">
        <v>1</v>
      </c>
      <c r="BK139" s="75" t="str">
        <f>REPLACE(INDEX(GroupVertices[Group],MATCH("~"&amp;Edges[[#This Row],[Vertex 1]],GroupVertices[Vertex],0)),1,1,"")</f>
        <v>2</v>
      </c>
      <c r="BL139" s="75" t="str">
        <f>REPLACE(INDEX(GroupVertices[Group],MATCH("~"&amp;Edges[[#This Row],[Vertex 2]],GroupVertices[Vertex],0)),1,1,"")</f>
        <v>2</v>
      </c>
    </row>
    <row r="140" spans="1:64" ht="15">
      <c r="A140" s="61" t="s">
        <v>633</v>
      </c>
      <c r="B140" s="61" t="s">
        <v>717</v>
      </c>
      <c r="C140" s="62"/>
      <c r="D140" s="63"/>
      <c r="E140" s="64"/>
      <c r="F140" s="65"/>
      <c r="G140" s="62"/>
      <c r="H140" s="66"/>
      <c r="I140" s="67"/>
      <c r="J140" s="67"/>
      <c r="K140" s="31" t="s">
        <v>65</v>
      </c>
      <c r="L140" s="74">
        <v>140</v>
      </c>
      <c r="M140" s="74"/>
      <c r="N140" s="69"/>
      <c r="O140" s="76" t="s">
        <v>227</v>
      </c>
      <c r="P140" s="78">
        <v>44091.43738425926</v>
      </c>
      <c r="Q140" s="76" t="s">
        <v>811</v>
      </c>
      <c r="R140" s="76">
        <v>5</v>
      </c>
      <c r="S140" s="76">
        <v>8</v>
      </c>
      <c r="T140" s="76">
        <v>1</v>
      </c>
      <c r="U140" s="76">
        <v>0</v>
      </c>
      <c r="V140" s="76"/>
      <c r="W140" s="80" t="s">
        <v>851</v>
      </c>
      <c r="X140" s="76" t="s">
        <v>865</v>
      </c>
      <c r="Y140" s="76" t="s">
        <v>886</v>
      </c>
      <c r="Z140" s="76" t="s">
        <v>918</v>
      </c>
      <c r="AA140" s="76" t="s">
        <v>938</v>
      </c>
      <c r="AB140" s="76" t="s">
        <v>237</v>
      </c>
      <c r="AC140" s="80" t="s">
        <v>239</v>
      </c>
      <c r="AD140" s="76" t="s">
        <v>244</v>
      </c>
      <c r="AE140" s="81" t="str">
        <f>HYPERLINK("https://twitter.com/topdevelopersco/status/1306540860897595392")</f>
        <v>https://twitter.com/topdevelopersco/status/1306540860897595392</v>
      </c>
      <c r="AF140" s="78">
        <v>44091.43738425926</v>
      </c>
      <c r="AG140" s="85">
        <v>44091</v>
      </c>
      <c r="AH140" s="80" t="s">
        <v>1037</v>
      </c>
      <c r="AI140" s="76" t="b">
        <v>0</v>
      </c>
      <c r="AJ140" s="76"/>
      <c r="AK140" s="76"/>
      <c r="AL140" s="76"/>
      <c r="AM140" s="76"/>
      <c r="AN140" s="76"/>
      <c r="AO140" s="76"/>
      <c r="AP140" s="76"/>
      <c r="AQ140" s="76" t="s">
        <v>1078</v>
      </c>
      <c r="AR140" s="76"/>
      <c r="AS140" s="76"/>
      <c r="AT140" s="76"/>
      <c r="AU140" s="76"/>
      <c r="AV140" s="81" t="str">
        <f>HYPERLINK("https://pbs.twimg.com/media/EiHCmP8VkAAnzKF.jpg")</f>
        <v>https://pbs.twimg.com/media/EiHCmP8VkAAnzKF.jpg</v>
      </c>
      <c r="AW140" s="80" t="s">
        <v>1167</v>
      </c>
      <c r="AX140" s="80" t="s">
        <v>1167</v>
      </c>
      <c r="AY140" s="76"/>
      <c r="AZ140" s="80" t="s">
        <v>252</v>
      </c>
      <c r="BA140" s="80" t="s">
        <v>252</v>
      </c>
      <c r="BB140" s="80" t="s">
        <v>252</v>
      </c>
      <c r="BC140" s="80" t="s">
        <v>1167</v>
      </c>
      <c r="BD140" s="80" t="s">
        <v>1222</v>
      </c>
      <c r="BE140" s="76"/>
      <c r="BF140" s="76"/>
      <c r="BG140" s="76"/>
      <c r="BH140" s="76"/>
      <c r="BI140" s="76"/>
      <c r="BJ140" s="76">
        <v>1</v>
      </c>
      <c r="BK140" s="75" t="str">
        <f>REPLACE(INDEX(GroupVertices[Group],MATCH("~"&amp;Edges[[#This Row],[Vertex 1]],GroupVertices[Vertex],0)),1,1,"")</f>
        <v>2</v>
      </c>
      <c r="BL140" s="75" t="str">
        <f>REPLACE(INDEX(GroupVertices[Group],MATCH("~"&amp;Edges[[#This Row],[Vertex 2]],GroupVertices[Vertex],0)),1,1,"")</f>
        <v>2</v>
      </c>
    </row>
    <row r="141" spans="1:64" ht="15">
      <c r="A141" s="61" t="s">
        <v>634</v>
      </c>
      <c r="B141" s="61" t="s">
        <v>634</v>
      </c>
      <c r="C141" s="62"/>
      <c r="D141" s="63"/>
      <c r="E141" s="64"/>
      <c r="F141" s="65"/>
      <c r="G141" s="62"/>
      <c r="H141" s="66"/>
      <c r="I141" s="67"/>
      <c r="J141" s="67"/>
      <c r="K141" s="31" t="s">
        <v>65</v>
      </c>
      <c r="L141" s="74">
        <v>141</v>
      </c>
      <c r="M141" s="74"/>
      <c r="N141" s="69"/>
      <c r="O141" s="76" t="s">
        <v>230</v>
      </c>
      <c r="P141" s="78">
        <v>44091.45422453704</v>
      </c>
      <c r="Q141" s="76" t="s">
        <v>810</v>
      </c>
      <c r="R141" s="76">
        <v>0</v>
      </c>
      <c r="S141" s="76">
        <v>0</v>
      </c>
      <c r="T141" s="76">
        <v>0</v>
      </c>
      <c r="U141" s="76">
        <v>0</v>
      </c>
      <c r="V141" s="76"/>
      <c r="W141" s="80" t="s">
        <v>850</v>
      </c>
      <c r="X141" s="76"/>
      <c r="Y141" s="76"/>
      <c r="Z141" s="76" t="s">
        <v>917</v>
      </c>
      <c r="AA141" s="76"/>
      <c r="AB141" s="76"/>
      <c r="AC141" s="80" t="s">
        <v>239</v>
      </c>
      <c r="AD141" s="76" t="s">
        <v>244</v>
      </c>
      <c r="AE141" s="81" t="str">
        <f>HYPERLINK("https://twitter.com/evontech/status/1306546966155853824")</f>
        <v>https://twitter.com/evontech/status/1306546966155853824</v>
      </c>
      <c r="AF141" s="78">
        <v>44091.45422453704</v>
      </c>
      <c r="AG141" s="85">
        <v>44091</v>
      </c>
      <c r="AH141" s="80" t="s">
        <v>1036</v>
      </c>
      <c r="AI141" s="76"/>
      <c r="AJ141" s="76"/>
      <c r="AK141" s="76"/>
      <c r="AL141" s="76"/>
      <c r="AM141" s="76"/>
      <c r="AN141" s="76"/>
      <c r="AO141" s="76"/>
      <c r="AP141" s="76"/>
      <c r="AQ141" s="76"/>
      <c r="AR141" s="76"/>
      <c r="AS141" s="76"/>
      <c r="AT141" s="76"/>
      <c r="AU141" s="76"/>
      <c r="AV141" s="81" t="str">
        <f>HYPERLINK("https://pbs.twimg.com/profile_images/1634150200305414144/yRbuyQ62_normal.jpg")</f>
        <v>https://pbs.twimg.com/profile_images/1634150200305414144/yRbuyQ62_normal.jpg</v>
      </c>
      <c r="AW141" s="80" t="s">
        <v>1166</v>
      </c>
      <c r="AX141" s="80" t="s">
        <v>1167</v>
      </c>
      <c r="AY141" s="80" t="s">
        <v>1222</v>
      </c>
      <c r="AZ141" s="80" t="s">
        <v>1167</v>
      </c>
      <c r="BA141" s="80" t="s">
        <v>252</v>
      </c>
      <c r="BB141" s="80" t="s">
        <v>252</v>
      </c>
      <c r="BC141" s="80" t="s">
        <v>1167</v>
      </c>
      <c r="BD141" s="76">
        <v>164178163</v>
      </c>
      <c r="BE141" s="76"/>
      <c r="BF141" s="76"/>
      <c r="BG141" s="76"/>
      <c r="BH141" s="76"/>
      <c r="BI141" s="76"/>
      <c r="BJ141" s="76">
        <v>1</v>
      </c>
      <c r="BK141" s="75" t="str">
        <f>REPLACE(INDEX(GroupVertices[Group],MATCH("~"&amp;Edges[[#This Row],[Vertex 1]],GroupVertices[Vertex],0)),1,1,"")</f>
        <v>2</v>
      </c>
      <c r="BL141" s="75" t="str">
        <f>REPLACE(INDEX(GroupVertices[Group],MATCH("~"&amp;Edges[[#This Row],[Vertex 2]],GroupVertices[Vertex],0)),1,1,"")</f>
        <v>2</v>
      </c>
    </row>
    <row r="142" spans="1:64" ht="15">
      <c r="A142" s="61" t="s">
        <v>634</v>
      </c>
      <c r="B142" s="61" t="s">
        <v>633</v>
      </c>
      <c r="C142" s="62"/>
      <c r="D142" s="63"/>
      <c r="E142" s="64"/>
      <c r="F142" s="65"/>
      <c r="G142" s="62"/>
      <c r="H142" s="66"/>
      <c r="I142" s="67"/>
      <c r="J142" s="67"/>
      <c r="K142" s="31" t="s">
        <v>66</v>
      </c>
      <c r="L142" s="74">
        <v>142</v>
      </c>
      <c r="M142" s="74"/>
      <c r="N142" s="69"/>
      <c r="O142" s="76" t="s">
        <v>230</v>
      </c>
      <c r="P142" s="78">
        <v>44091.45422453704</v>
      </c>
      <c r="Q142" s="76" t="s">
        <v>810</v>
      </c>
      <c r="R142" s="76">
        <v>0</v>
      </c>
      <c r="S142" s="76">
        <v>0</v>
      </c>
      <c r="T142" s="76">
        <v>0</v>
      </c>
      <c r="U142" s="76">
        <v>0</v>
      </c>
      <c r="V142" s="76"/>
      <c r="W142" s="80" t="s">
        <v>850</v>
      </c>
      <c r="X142" s="76"/>
      <c r="Y142" s="76"/>
      <c r="Z142" s="76" t="s">
        <v>917</v>
      </c>
      <c r="AA142" s="76"/>
      <c r="AB142" s="76"/>
      <c r="AC142" s="80" t="s">
        <v>239</v>
      </c>
      <c r="AD142" s="76" t="s">
        <v>244</v>
      </c>
      <c r="AE142" s="81" t="str">
        <f>HYPERLINK("https://twitter.com/evontech/status/1306546966155853824")</f>
        <v>https://twitter.com/evontech/status/1306546966155853824</v>
      </c>
      <c r="AF142" s="78">
        <v>44091.45422453704</v>
      </c>
      <c r="AG142" s="85">
        <v>44091</v>
      </c>
      <c r="AH142" s="80" t="s">
        <v>1036</v>
      </c>
      <c r="AI142" s="76"/>
      <c r="AJ142" s="76"/>
      <c r="AK142" s="76"/>
      <c r="AL142" s="76"/>
      <c r="AM142" s="76"/>
      <c r="AN142" s="76"/>
      <c r="AO142" s="76"/>
      <c r="AP142" s="76"/>
      <c r="AQ142" s="76"/>
      <c r="AR142" s="76"/>
      <c r="AS142" s="76"/>
      <c r="AT142" s="76"/>
      <c r="AU142" s="76"/>
      <c r="AV142" s="81" t="str">
        <f>HYPERLINK("https://pbs.twimg.com/profile_images/1634150200305414144/yRbuyQ62_normal.jpg")</f>
        <v>https://pbs.twimg.com/profile_images/1634150200305414144/yRbuyQ62_normal.jpg</v>
      </c>
      <c r="AW142" s="80" t="s">
        <v>1166</v>
      </c>
      <c r="AX142" s="80" t="s">
        <v>1167</v>
      </c>
      <c r="AY142" s="80" t="s">
        <v>1222</v>
      </c>
      <c r="AZ142" s="80" t="s">
        <v>1167</v>
      </c>
      <c r="BA142" s="80" t="s">
        <v>252</v>
      </c>
      <c r="BB142" s="80" t="s">
        <v>252</v>
      </c>
      <c r="BC142" s="80" t="s">
        <v>1167</v>
      </c>
      <c r="BD142" s="76">
        <v>164178163</v>
      </c>
      <c r="BE142" s="76"/>
      <c r="BF142" s="76"/>
      <c r="BG142" s="76"/>
      <c r="BH142" s="76"/>
      <c r="BI142" s="76"/>
      <c r="BJ142" s="76">
        <v>2</v>
      </c>
      <c r="BK142" s="75" t="str">
        <f>REPLACE(INDEX(GroupVertices[Group],MATCH("~"&amp;Edges[[#This Row],[Vertex 1]],GroupVertices[Vertex],0)),1,1,"")</f>
        <v>2</v>
      </c>
      <c r="BL142" s="75" t="str">
        <f>REPLACE(INDEX(GroupVertices[Group],MATCH("~"&amp;Edges[[#This Row],[Vertex 2]],GroupVertices[Vertex],0)),1,1,"")</f>
        <v>2</v>
      </c>
    </row>
    <row r="143" spans="1:64" ht="15">
      <c r="A143" s="61" t="s">
        <v>634</v>
      </c>
      <c r="B143" s="61" t="s">
        <v>224</v>
      </c>
      <c r="C143" s="62"/>
      <c r="D143" s="63"/>
      <c r="E143" s="64"/>
      <c r="F143" s="65"/>
      <c r="G143" s="62"/>
      <c r="H143" s="66"/>
      <c r="I143" s="67"/>
      <c r="J143" s="67"/>
      <c r="K143" s="31" t="s">
        <v>65</v>
      </c>
      <c r="L143" s="74">
        <v>143</v>
      </c>
      <c r="M143" s="74"/>
      <c r="N143" s="69"/>
      <c r="O143" s="76" t="s">
        <v>230</v>
      </c>
      <c r="P143" s="78">
        <v>44091.45422453704</v>
      </c>
      <c r="Q143" s="76" t="s">
        <v>810</v>
      </c>
      <c r="R143" s="76">
        <v>0</v>
      </c>
      <c r="S143" s="76">
        <v>0</v>
      </c>
      <c r="T143" s="76">
        <v>0</v>
      </c>
      <c r="U143" s="76">
        <v>0</v>
      </c>
      <c r="V143" s="76"/>
      <c r="W143" s="80" t="s">
        <v>850</v>
      </c>
      <c r="X143" s="76"/>
      <c r="Y143" s="76"/>
      <c r="Z143" s="76" t="s">
        <v>917</v>
      </c>
      <c r="AA143" s="76"/>
      <c r="AB143" s="76"/>
      <c r="AC143" s="80" t="s">
        <v>239</v>
      </c>
      <c r="AD143" s="76" t="s">
        <v>244</v>
      </c>
      <c r="AE143" s="81" t="str">
        <f>HYPERLINK("https://twitter.com/evontech/status/1306546966155853824")</f>
        <v>https://twitter.com/evontech/status/1306546966155853824</v>
      </c>
      <c r="AF143" s="78">
        <v>44091.45422453704</v>
      </c>
      <c r="AG143" s="85">
        <v>44091</v>
      </c>
      <c r="AH143" s="80" t="s">
        <v>1036</v>
      </c>
      <c r="AI143" s="76"/>
      <c r="AJ143" s="76"/>
      <c r="AK143" s="76"/>
      <c r="AL143" s="76"/>
      <c r="AM143" s="76"/>
      <c r="AN143" s="76"/>
      <c r="AO143" s="76"/>
      <c r="AP143" s="76"/>
      <c r="AQ143" s="76"/>
      <c r="AR143" s="76"/>
      <c r="AS143" s="76"/>
      <c r="AT143" s="76"/>
      <c r="AU143" s="76"/>
      <c r="AV143" s="81" t="str">
        <f>HYPERLINK("https://pbs.twimg.com/profile_images/1634150200305414144/yRbuyQ62_normal.jpg")</f>
        <v>https://pbs.twimg.com/profile_images/1634150200305414144/yRbuyQ62_normal.jpg</v>
      </c>
      <c r="AW143" s="80" t="s">
        <v>1166</v>
      </c>
      <c r="AX143" s="80" t="s">
        <v>1167</v>
      </c>
      <c r="AY143" s="80" t="s">
        <v>1222</v>
      </c>
      <c r="AZ143" s="80" t="s">
        <v>1167</v>
      </c>
      <c r="BA143" s="80" t="s">
        <v>252</v>
      </c>
      <c r="BB143" s="80" t="s">
        <v>252</v>
      </c>
      <c r="BC143" s="80" t="s">
        <v>1167</v>
      </c>
      <c r="BD143" s="76">
        <v>164178163</v>
      </c>
      <c r="BE143" s="76"/>
      <c r="BF143" s="76"/>
      <c r="BG143" s="76"/>
      <c r="BH143" s="76"/>
      <c r="BI143" s="76"/>
      <c r="BJ143" s="76">
        <v>1</v>
      </c>
      <c r="BK143" s="75" t="str">
        <f>REPLACE(INDEX(GroupVertices[Group],MATCH("~"&amp;Edges[[#This Row],[Vertex 1]],GroupVertices[Vertex],0)),1,1,"")</f>
        <v>2</v>
      </c>
      <c r="BL143" s="75" t="str">
        <f>REPLACE(INDEX(GroupVertices[Group],MATCH("~"&amp;Edges[[#This Row],[Vertex 2]],GroupVertices[Vertex],0)),1,1,"")</f>
        <v>1</v>
      </c>
    </row>
    <row r="144" spans="1:64" ht="15">
      <c r="A144" s="61" t="s">
        <v>634</v>
      </c>
      <c r="B144" s="61" t="s">
        <v>718</v>
      </c>
      <c r="C144" s="62"/>
      <c r="D144" s="63"/>
      <c r="E144" s="64"/>
      <c r="F144" s="65"/>
      <c r="G144" s="62"/>
      <c r="H144" s="66"/>
      <c r="I144" s="67"/>
      <c r="J144" s="67"/>
      <c r="K144" s="31" t="s">
        <v>65</v>
      </c>
      <c r="L144" s="74">
        <v>144</v>
      </c>
      <c r="M144" s="74"/>
      <c r="N144" s="69"/>
      <c r="O144" s="76" t="s">
        <v>230</v>
      </c>
      <c r="P144" s="78">
        <v>44091.45422453704</v>
      </c>
      <c r="Q144" s="76" t="s">
        <v>810</v>
      </c>
      <c r="R144" s="76">
        <v>0</v>
      </c>
      <c r="S144" s="76">
        <v>0</v>
      </c>
      <c r="T144" s="76">
        <v>0</v>
      </c>
      <c r="U144" s="76">
        <v>0</v>
      </c>
      <c r="V144" s="76"/>
      <c r="W144" s="80" t="s">
        <v>850</v>
      </c>
      <c r="X144" s="76"/>
      <c r="Y144" s="76"/>
      <c r="Z144" s="76" t="s">
        <v>917</v>
      </c>
      <c r="AA144" s="76"/>
      <c r="AB144" s="76"/>
      <c r="AC144" s="80" t="s">
        <v>239</v>
      </c>
      <c r="AD144" s="76" t="s">
        <v>244</v>
      </c>
      <c r="AE144" s="81" t="str">
        <f>HYPERLINK("https://twitter.com/evontech/status/1306546966155853824")</f>
        <v>https://twitter.com/evontech/status/1306546966155853824</v>
      </c>
      <c r="AF144" s="78">
        <v>44091.45422453704</v>
      </c>
      <c r="AG144" s="85">
        <v>44091</v>
      </c>
      <c r="AH144" s="80" t="s">
        <v>1036</v>
      </c>
      <c r="AI144" s="76"/>
      <c r="AJ144" s="76"/>
      <c r="AK144" s="76"/>
      <c r="AL144" s="76"/>
      <c r="AM144" s="76"/>
      <c r="AN144" s="76"/>
      <c r="AO144" s="76"/>
      <c r="AP144" s="76"/>
      <c r="AQ144" s="76"/>
      <c r="AR144" s="76"/>
      <c r="AS144" s="76"/>
      <c r="AT144" s="76"/>
      <c r="AU144" s="76"/>
      <c r="AV144" s="81" t="str">
        <f>HYPERLINK("https://pbs.twimg.com/profile_images/1634150200305414144/yRbuyQ62_normal.jpg")</f>
        <v>https://pbs.twimg.com/profile_images/1634150200305414144/yRbuyQ62_normal.jpg</v>
      </c>
      <c r="AW144" s="80" t="s">
        <v>1166</v>
      </c>
      <c r="AX144" s="80" t="s">
        <v>1167</v>
      </c>
      <c r="AY144" s="80" t="s">
        <v>1222</v>
      </c>
      <c r="AZ144" s="80" t="s">
        <v>1167</v>
      </c>
      <c r="BA144" s="80" t="s">
        <v>252</v>
      </c>
      <c r="BB144" s="80" t="s">
        <v>252</v>
      </c>
      <c r="BC144" s="80" t="s">
        <v>1167</v>
      </c>
      <c r="BD144" s="76">
        <v>164178163</v>
      </c>
      <c r="BE144" s="76"/>
      <c r="BF144" s="76"/>
      <c r="BG144" s="76"/>
      <c r="BH144" s="76"/>
      <c r="BI144" s="76"/>
      <c r="BJ144" s="76">
        <v>1</v>
      </c>
      <c r="BK144" s="75" t="str">
        <f>REPLACE(INDEX(GroupVertices[Group],MATCH("~"&amp;Edges[[#This Row],[Vertex 1]],GroupVertices[Vertex],0)),1,1,"")</f>
        <v>2</v>
      </c>
      <c r="BL144" s="75" t="str">
        <f>REPLACE(INDEX(GroupVertices[Group],MATCH("~"&amp;Edges[[#This Row],[Vertex 2]],GroupVertices[Vertex],0)),1,1,"")</f>
        <v>2</v>
      </c>
    </row>
    <row r="145" spans="1:64" ht="15">
      <c r="A145" s="61" t="s">
        <v>634</v>
      </c>
      <c r="B145" s="61" t="s">
        <v>719</v>
      </c>
      <c r="C145" s="62"/>
      <c r="D145" s="63"/>
      <c r="E145" s="64"/>
      <c r="F145" s="65"/>
      <c r="G145" s="62"/>
      <c r="H145" s="66"/>
      <c r="I145" s="67"/>
      <c r="J145" s="67"/>
      <c r="K145" s="31" t="s">
        <v>65</v>
      </c>
      <c r="L145" s="74">
        <v>145</v>
      </c>
      <c r="M145" s="74"/>
      <c r="N145" s="69"/>
      <c r="O145" s="76" t="s">
        <v>230</v>
      </c>
      <c r="P145" s="78">
        <v>44091.45422453704</v>
      </c>
      <c r="Q145" s="76" t="s">
        <v>810</v>
      </c>
      <c r="R145" s="76">
        <v>0</v>
      </c>
      <c r="S145" s="76">
        <v>0</v>
      </c>
      <c r="T145" s="76">
        <v>0</v>
      </c>
      <c r="U145" s="76">
        <v>0</v>
      </c>
      <c r="V145" s="76"/>
      <c r="W145" s="80" t="s">
        <v>850</v>
      </c>
      <c r="X145" s="76"/>
      <c r="Y145" s="76"/>
      <c r="Z145" s="76" t="s">
        <v>917</v>
      </c>
      <c r="AA145" s="76"/>
      <c r="AB145" s="76"/>
      <c r="AC145" s="80" t="s">
        <v>239</v>
      </c>
      <c r="AD145" s="76" t="s">
        <v>244</v>
      </c>
      <c r="AE145" s="81" t="str">
        <f>HYPERLINK("https://twitter.com/evontech/status/1306546966155853824")</f>
        <v>https://twitter.com/evontech/status/1306546966155853824</v>
      </c>
      <c r="AF145" s="78">
        <v>44091.45422453704</v>
      </c>
      <c r="AG145" s="85">
        <v>44091</v>
      </c>
      <c r="AH145" s="80" t="s">
        <v>1036</v>
      </c>
      <c r="AI145" s="76"/>
      <c r="AJ145" s="76"/>
      <c r="AK145" s="76"/>
      <c r="AL145" s="76"/>
      <c r="AM145" s="76"/>
      <c r="AN145" s="76"/>
      <c r="AO145" s="76"/>
      <c r="AP145" s="76"/>
      <c r="AQ145" s="76"/>
      <c r="AR145" s="76"/>
      <c r="AS145" s="76"/>
      <c r="AT145" s="76"/>
      <c r="AU145" s="76"/>
      <c r="AV145" s="81" t="str">
        <f>HYPERLINK("https://pbs.twimg.com/profile_images/1634150200305414144/yRbuyQ62_normal.jpg")</f>
        <v>https://pbs.twimg.com/profile_images/1634150200305414144/yRbuyQ62_normal.jpg</v>
      </c>
      <c r="AW145" s="80" t="s">
        <v>1166</v>
      </c>
      <c r="AX145" s="80" t="s">
        <v>1167</v>
      </c>
      <c r="AY145" s="80" t="s">
        <v>1222</v>
      </c>
      <c r="AZ145" s="80" t="s">
        <v>1167</v>
      </c>
      <c r="BA145" s="80" t="s">
        <v>252</v>
      </c>
      <c r="BB145" s="80" t="s">
        <v>252</v>
      </c>
      <c r="BC145" s="80" t="s">
        <v>1167</v>
      </c>
      <c r="BD145" s="76">
        <v>164178163</v>
      </c>
      <c r="BE145" s="76"/>
      <c r="BF145" s="76"/>
      <c r="BG145" s="76"/>
      <c r="BH145" s="76"/>
      <c r="BI145" s="76"/>
      <c r="BJ145" s="76">
        <v>1</v>
      </c>
      <c r="BK145" s="75" t="str">
        <f>REPLACE(INDEX(GroupVertices[Group],MATCH("~"&amp;Edges[[#This Row],[Vertex 1]],GroupVertices[Vertex],0)),1,1,"")</f>
        <v>2</v>
      </c>
      <c r="BL145" s="75" t="str">
        <f>REPLACE(INDEX(GroupVertices[Group],MATCH("~"&amp;Edges[[#This Row],[Vertex 2]],GroupVertices[Vertex],0)),1,1,"")</f>
        <v>2</v>
      </c>
    </row>
    <row r="146" spans="1:64" ht="15">
      <c r="A146" s="61" t="s">
        <v>634</v>
      </c>
      <c r="B146" s="61" t="s">
        <v>720</v>
      </c>
      <c r="C146" s="62"/>
      <c r="D146" s="63"/>
      <c r="E146" s="64"/>
      <c r="F146" s="65"/>
      <c r="G146" s="62"/>
      <c r="H146" s="66"/>
      <c r="I146" s="67"/>
      <c r="J146" s="67"/>
      <c r="K146" s="31" t="s">
        <v>65</v>
      </c>
      <c r="L146" s="74">
        <v>146</v>
      </c>
      <c r="M146" s="74"/>
      <c r="N146" s="69"/>
      <c r="O146" s="76" t="s">
        <v>230</v>
      </c>
      <c r="P146" s="78">
        <v>44091.45422453704</v>
      </c>
      <c r="Q146" s="76" t="s">
        <v>810</v>
      </c>
      <c r="R146" s="76">
        <v>0</v>
      </c>
      <c r="S146" s="76">
        <v>0</v>
      </c>
      <c r="T146" s="76">
        <v>0</v>
      </c>
      <c r="U146" s="76">
        <v>0</v>
      </c>
      <c r="V146" s="76"/>
      <c r="W146" s="80" t="s">
        <v>850</v>
      </c>
      <c r="X146" s="76"/>
      <c r="Y146" s="76"/>
      <c r="Z146" s="76" t="s">
        <v>917</v>
      </c>
      <c r="AA146" s="76"/>
      <c r="AB146" s="76"/>
      <c r="AC146" s="80" t="s">
        <v>239</v>
      </c>
      <c r="AD146" s="76" t="s">
        <v>244</v>
      </c>
      <c r="AE146" s="81" t="str">
        <f>HYPERLINK("https://twitter.com/evontech/status/1306546966155853824")</f>
        <v>https://twitter.com/evontech/status/1306546966155853824</v>
      </c>
      <c r="AF146" s="78">
        <v>44091.45422453704</v>
      </c>
      <c r="AG146" s="85">
        <v>44091</v>
      </c>
      <c r="AH146" s="80" t="s">
        <v>1036</v>
      </c>
      <c r="AI146" s="76"/>
      <c r="AJ146" s="76"/>
      <c r="AK146" s="76"/>
      <c r="AL146" s="76"/>
      <c r="AM146" s="76"/>
      <c r="AN146" s="76"/>
      <c r="AO146" s="76"/>
      <c r="AP146" s="76"/>
      <c r="AQ146" s="76"/>
      <c r="AR146" s="76"/>
      <c r="AS146" s="76"/>
      <c r="AT146" s="76"/>
      <c r="AU146" s="76"/>
      <c r="AV146" s="81" t="str">
        <f>HYPERLINK("https://pbs.twimg.com/profile_images/1634150200305414144/yRbuyQ62_normal.jpg")</f>
        <v>https://pbs.twimg.com/profile_images/1634150200305414144/yRbuyQ62_normal.jpg</v>
      </c>
      <c r="AW146" s="80" t="s">
        <v>1166</v>
      </c>
      <c r="AX146" s="80" t="s">
        <v>1167</v>
      </c>
      <c r="AY146" s="80" t="s">
        <v>1222</v>
      </c>
      <c r="AZ146" s="80" t="s">
        <v>1167</v>
      </c>
      <c r="BA146" s="80" t="s">
        <v>252</v>
      </c>
      <c r="BB146" s="80" t="s">
        <v>252</v>
      </c>
      <c r="BC146" s="80" t="s">
        <v>1167</v>
      </c>
      <c r="BD146" s="76">
        <v>164178163</v>
      </c>
      <c r="BE146" s="76"/>
      <c r="BF146" s="76"/>
      <c r="BG146" s="76"/>
      <c r="BH146" s="76"/>
      <c r="BI146" s="76"/>
      <c r="BJ146" s="76">
        <v>1</v>
      </c>
      <c r="BK146" s="75" t="str">
        <f>REPLACE(INDEX(GroupVertices[Group],MATCH("~"&amp;Edges[[#This Row],[Vertex 1]],GroupVertices[Vertex],0)),1,1,"")</f>
        <v>2</v>
      </c>
      <c r="BL146" s="75" t="str">
        <f>REPLACE(INDEX(GroupVertices[Group],MATCH("~"&amp;Edges[[#This Row],[Vertex 2]],GroupVertices[Vertex],0)),1,1,"")</f>
        <v>2</v>
      </c>
    </row>
    <row r="147" spans="1:64" ht="15">
      <c r="A147" s="61" t="s">
        <v>634</v>
      </c>
      <c r="B147" s="61" t="s">
        <v>721</v>
      </c>
      <c r="C147" s="62"/>
      <c r="D147" s="63"/>
      <c r="E147" s="64"/>
      <c r="F147" s="65"/>
      <c r="G147" s="62"/>
      <c r="H147" s="66"/>
      <c r="I147" s="67"/>
      <c r="J147" s="67"/>
      <c r="K147" s="31" t="s">
        <v>65</v>
      </c>
      <c r="L147" s="74">
        <v>147</v>
      </c>
      <c r="M147" s="74"/>
      <c r="N147" s="69"/>
      <c r="O147" s="76" t="s">
        <v>230</v>
      </c>
      <c r="P147" s="78">
        <v>44091.45422453704</v>
      </c>
      <c r="Q147" s="76" t="s">
        <v>810</v>
      </c>
      <c r="R147" s="76">
        <v>0</v>
      </c>
      <c r="S147" s="76">
        <v>0</v>
      </c>
      <c r="T147" s="76">
        <v>0</v>
      </c>
      <c r="U147" s="76">
        <v>0</v>
      </c>
      <c r="V147" s="76"/>
      <c r="W147" s="80" t="s">
        <v>850</v>
      </c>
      <c r="X147" s="76"/>
      <c r="Y147" s="76"/>
      <c r="Z147" s="76" t="s">
        <v>917</v>
      </c>
      <c r="AA147" s="76"/>
      <c r="AB147" s="76"/>
      <c r="AC147" s="80" t="s">
        <v>239</v>
      </c>
      <c r="AD147" s="76" t="s">
        <v>244</v>
      </c>
      <c r="AE147" s="81" t="str">
        <f>HYPERLINK("https://twitter.com/evontech/status/1306546966155853824")</f>
        <v>https://twitter.com/evontech/status/1306546966155853824</v>
      </c>
      <c r="AF147" s="78">
        <v>44091.45422453704</v>
      </c>
      <c r="AG147" s="85">
        <v>44091</v>
      </c>
      <c r="AH147" s="80" t="s">
        <v>1036</v>
      </c>
      <c r="AI147" s="76"/>
      <c r="AJ147" s="76"/>
      <c r="AK147" s="76"/>
      <c r="AL147" s="76"/>
      <c r="AM147" s="76"/>
      <c r="AN147" s="76"/>
      <c r="AO147" s="76"/>
      <c r="AP147" s="76"/>
      <c r="AQ147" s="76"/>
      <c r="AR147" s="76"/>
      <c r="AS147" s="76"/>
      <c r="AT147" s="76"/>
      <c r="AU147" s="76"/>
      <c r="AV147" s="81" t="str">
        <f>HYPERLINK("https://pbs.twimg.com/profile_images/1634150200305414144/yRbuyQ62_normal.jpg")</f>
        <v>https://pbs.twimg.com/profile_images/1634150200305414144/yRbuyQ62_normal.jpg</v>
      </c>
      <c r="AW147" s="80" t="s">
        <v>1166</v>
      </c>
      <c r="AX147" s="80" t="s">
        <v>1167</v>
      </c>
      <c r="AY147" s="80" t="s">
        <v>1222</v>
      </c>
      <c r="AZ147" s="80" t="s">
        <v>1167</v>
      </c>
      <c r="BA147" s="80" t="s">
        <v>252</v>
      </c>
      <c r="BB147" s="80" t="s">
        <v>252</v>
      </c>
      <c r="BC147" s="80" t="s">
        <v>1167</v>
      </c>
      <c r="BD147" s="76">
        <v>164178163</v>
      </c>
      <c r="BE147" s="76"/>
      <c r="BF147" s="76"/>
      <c r="BG147" s="76"/>
      <c r="BH147" s="76"/>
      <c r="BI147" s="76"/>
      <c r="BJ147" s="76">
        <v>1</v>
      </c>
      <c r="BK147" s="75" t="str">
        <f>REPLACE(INDEX(GroupVertices[Group],MATCH("~"&amp;Edges[[#This Row],[Vertex 1]],GroupVertices[Vertex],0)),1,1,"")</f>
        <v>2</v>
      </c>
      <c r="BL147" s="75" t="str">
        <f>REPLACE(INDEX(GroupVertices[Group],MATCH("~"&amp;Edges[[#This Row],[Vertex 2]],GroupVertices[Vertex],0)),1,1,"")</f>
        <v>2</v>
      </c>
    </row>
    <row r="148" spans="1:64" ht="15">
      <c r="A148" s="61" t="s">
        <v>634</v>
      </c>
      <c r="B148" s="61" t="s">
        <v>722</v>
      </c>
      <c r="C148" s="62"/>
      <c r="D148" s="63"/>
      <c r="E148" s="64"/>
      <c r="F148" s="65"/>
      <c r="G148" s="62"/>
      <c r="H148" s="66"/>
      <c r="I148" s="67"/>
      <c r="J148" s="67"/>
      <c r="K148" s="31" t="s">
        <v>65</v>
      </c>
      <c r="L148" s="74">
        <v>148</v>
      </c>
      <c r="M148" s="74"/>
      <c r="N148" s="69"/>
      <c r="O148" s="76" t="s">
        <v>230</v>
      </c>
      <c r="P148" s="78">
        <v>44091.45422453704</v>
      </c>
      <c r="Q148" s="76" t="s">
        <v>810</v>
      </c>
      <c r="R148" s="76">
        <v>0</v>
      </c>
      <c r="S148" s="76">
        <v>0</v>
      </c>
      <c r="T148" s="76">
        <v>0</v>
      </c>
      <c r="U148" s="76">
        <v>0</v>
      </c>
      <c r="V148" s="76"/>
      <c r="W148" s="80" t="s">
        <v>850</v>
      </c>
      <c r="X148" s="76"/>
      <c r="Y148" s="76"/>
      <c r="Z148" s="76" t="s">
        <v>917</v>
      </c>
      <c r="AA148" s="76"/>
      <c r="AB148" s="76"/>
      <c r="AC148" s="80" t="s">
        <v>239</v>
      </c>
      <c r="AD148" s="76" t="s">
        <v>244</v>
      </c>
      <c r="AE148" s="81" t="str">
        <f>HYPERLINK("https://twitter.com/evontech/status/1306546966155853824")</f>
        <v>https://twitter.com/evontech/status/1306546966155853824</v>
      </c>
      <c r="AF148" s="78">
        <v>44091.45422453704</v>
      </c>
      <c r="AG148" s="85">
        <v>44091</v>
      </c>
      <c r="AH148" s="80" t="s">
        <v>1036</v>
      </c>
      <c r="AI148" s="76"/>
      <c r="AJ148" s="76"/>
      <c r="AK148" s="76"/>
      <c r="AL148" s="76"/>
      <c r="AM148" s="76"/>
      <c r="AN148" s="76"/>
      <c r="AO148" s="76"/>
      <c r="AP148" s="76"/>
      <c r="AQ148" s="76"/>
      <c r="AR148" s="76"/>
      <c r="AS148" s="76"/>
      <c r="AT148" s="76"/>
      <c r="AU148" s="76"/>
      <c r="AV148" s="81" t="str">
        <f>HYPERLINK("https://pbs.twimg.com/profile_images/1634150200305414144/yRbuyQ62_normal.jpg")</f>
        <v>https://pbs.twimg.com/profile_images/1634150200305414144/yRbuyQ62_normal.jpg</v>
      </c>
      <c r="AW148" s="80" t="s">
        <v>1166</v>
      </c>
      <c r="AX148" s="80" t="s">
        <v>1167</v>
      </c>
      <c r="AY148" s="80" t="s">
        <v>1222</v>
      </c>
      <c r="AZ148" s="80" t="s">
        <v>1167</v>
      </c>
      <c r="BA148" s="80" t="s">
        <v>252</v>
      </c>
      <c r="BB148" s="80" t="s">
        <v>252</v>
      </c>
      <c r="BC148" s="80" t="s">
        <v>1167</v>
      </c>
      <c r="BD148" s="76">
        <v>164178163</v>
      </c>
      <c r="BE148" s="76"/>
      <c r="BF148" s="76"/>
      <c r="BG148" s="76"/>
      <c r="BH148" s="76"/>
      <c r="BI148" s="76"/>
      <c r="BJ148" s="76">
        <v>1</v>
      </c>
      <c r="BK148" s="75" t="str">
        <f>REPLACE(INDEX(GroupVertices[Group],MATCH("~"&amp;Edges[[#This Row],[Vertex 1]],GroupVertices[Vertex],0)),1,1,"")</f>
        <v>2</v>
      </c>
      <c r="BL148" s="75" t="str">
        <f>REPLACE(INDEX(GroupVertices[Group],MATCH("~"&amp;Edges[[#This Row],[Vertex 2]],GroupVertices[Vertex],0)),1,1,"")</f>
        <v>2</v>
      </c>
    </row>
    <row r="149" spans="1:64" ht="15">
      <c r="A149" s="61" t="s">
        <v>633</v>
      </c>
      <c r="B149" s="61" t="s">
        <v>634</v>
      </c>
      <c r="C149" s="62"/>
      <c r="D149" s="63"/>
      <c r="E149" s="64"/>
      <c r="F149" s="65"/>
      <c r="G149" s="62"/>
      <c r="H149" s="66"/>
      <c r="I149" s="67"/>
      <c r="J149" s="67"/>
      <c r="K149" s="31" t="s">
        <v>66</v>
      </c>
      <c r="L149" s="74">
        <v>149</v>
      </c>
      <c r="M149" s="74"/>
      <c r="N149" s="69"/>
      <c r="O149" s="76" t="s">
        <v>227</v>
      </c>
      <c r="P149" s="78">
        <v>44091.43738425926</v>
      </c>
      <c r="Q149" s="76" t="s">
        <v>811</v>
      </c>
      <c r="R149" s="76">
        <v>5</v>
      </c>
      <c r="S149" s="76">
        <v>8</v>
      </c>
      <c r="T149" s="76">
        <v>1</v>
      </c>
      <c r="U149" s="76">
        <v>0</v>
      </c>
      <c r="V149" s="76"/>
      <c r="W149" s="80" t="s">
        <v>851</v>
      </c>
      <c r="X149" s="76" t="s">
        <v>865</v>
      </c>
      <c r="Y149" s="76" t="s">
        <v>886</v>
      </c>
      <c r="Z149" s="76" t="s">
        <v>918</v>
      </c>
      <c r="AA149" s="76" t="s">
        <v>938</v>
      </c>
      <c r="AB149" s="76" t="s">
        <v>237</v>
      </c>
      <c r="AC149" s="80" t="s">
        <v>239</v>
      </c>
      <c r="AD149" s="76" t="s">
        <v>244</v>
      </c>
      <c r="AE149" s="81" t="str">
        <f>HYPERLINK("https://twitter.com/topdevelopersco/status/1306540860897595392")</f>
        <v>https://twitter.com/topdevelopersco/status/1306540860897595392</v>
      </c>
      <c r="AF149" s="78">
        <v>44091.43738425926</v>
      </c>
      <c r="AG149" s="85">
        <v>44091</v>
      </c>
      <c r="AH149" s="80" t="s">
        <v>1037</v>
      </c>
      <c r="AI149" s="76" t="b">
        <v>0</v>
      </c>
      <c r="AJ149" s="76"/>
      <c r="AK149" s="76"/>
      <c r="AL149" s="76"/>
      <c r="AM149" s="76"/>
      <c r="AN149" s="76"/>
      <c r="AO149" s="76"/>
      <c r="AP149" s="76"/>
      <c r="AQ149" s="76" t="s">
        <v>1078</v>
      </c>
      <c r="AR149" s="76"/>
      <c r="AS149" s="76"/>
      <c r="AT149" s="76"/>
      <c r="AU149" s="76"/>
      <c r="AV149" s="81" t="str">
        <f>HYPERLINK("https://pbs.twimg.com/media/EiHCmP8VkAAnzKF.jpg")</f>
        <v>https://pbs.twimg.com/media/EiHCmP8VkAAnzKF.jpg</v>
      </c>
      <c r="AW149" s="80" t="s">
        <v>1167</v>
      </c>
      <c r="AX149" s="80" t="s">
        <v>1167</v>
      </c>
      <c r="AY149" s="76"/>
      <c r="AZ149" s="80" t="s">
        <v>252</v>
      </c>
      <c r="BA149" s="80" t="s">
        <v>252</v>
      </c>
      <c r="BB149" s="80" t="s">
        <v>252</v>
      </c>
      <c r="BC149" s="80" t="s">
        <v>1167</v>
      </c>
      <c r="BD149" s="80" t="s">
        <v>1222</v>
      </c>
      <c r="BE149" s="76"/>
      <c r="BF149" s="76"/>
      <c r="BG149" s="76"/>
      <c r="BH149" s="76"/>
      <c r="BI149" s="76"/>
      <c r="BJ149" s="76">
        <v>1</v>
      </c>
      <c r="BK149" s="75" t="str">
        <f>REPLACE(INDEX(GroupVertices[Group],MATCH("~"&amp;Edges[[#This Row],[Vertex 1]],GroupVertices[Vertex],0)),1,1,"")</f>
        <v>2</v>
      </c>
      <c r="BL149" s="75" t="str">
        <f>REPLACE(INDEX(GroupVertices[Group],MATCH("~"&amp;Edges[[#This Row],[Vertex 2]],GroupVertices[Vertex],0)),1,1,"")</f>
        <v>2</v>
      </c>
    </row>
    <row r="150" spans="1:64" ht="15">
      <c r="A150" s="61" t="s">
        <v>633</v>
      </c>
      <c r="B150" s="61" t="s">
        <v>718</v>
      </c>
      <c r="C150" s="62"/>
      <c r="D150" s="63"/>
      <c r="E150" s="64"/>
      <c r="F150" s="65"/>
      <c r="G150" s="62"/>
      <c r="H150" s="66"/>
      <c r="I150" s="67"/>
      <c r="J150" s="67"/>
      <c r="K150" s="31" t="s">
        <v>65</v>
      </c>
      <c r="L150" s="74">
        <v>150</v>
      </c>
      <c r="M150" s="74"/>
      <c r="N150" s="69"/>
      <c r="O150" s="76" t="s">
        <v>227</v>
      </c>
      <c r="P150" s="78">
        <v>44091.43738425926</v>
      </c>
      <c r="Q150" s="76" t="s">
        <v>811</v>
      </c>
      <c r="R150" s="76">
        <v>5</v>
      </c>
      <c r="S150" s="76">
        <v>8</v>
      </c>
      <c r="T150" s="76">
        <v>1</v>
      </c>
      <c r="U150" s="76">
        <v>0</v>
      </c>
      <c r="V150" s="76"/>
      <c r="W150" s="80" t="s">
        <v>851</v>
      </c>
      <c r="X150" s="76" t="s">
        <v>865</v>
      </c>
      <c r="Y150" s="76" t="s">
        <v>886</v>
      </c>
      <c r="Z150" s="76" t="s">
        <v>918</v>
      </c>
      <c r="AA150" s="76" t="s">
        <v>938</v>
      </c>
      <c r="AB150" s="76" t="s">
        <v>237</v>
      </c>
      <c r="AC150" s="80" t="s">
        <v>239</v>
      </c>
      <c r="AD150" s="76" t="s">
        <v>244</v>
      </c>
      <c r="AE150" s="81" t="str">
        <f>HYPERLINK("https://twitter.com/topdevelopersco/status/1306540860897595392")</f>
        <v>https://twitter.com/topdevelopersco/status/1306540860897595392</v>
      </c>
      <c r="AF150" s="78">
        <v>44091.43738425926</v>
      </c>
      <c r="AG150" s="85">
        <v>44091</v>
      </c>
      <c r="AH150" s="80" t="s">
        <v>1037</v>
      </c>
      <c r="AI150" s="76" t="b">
        <v>0</v>
      </c>
      <c r="AJ150" s="76"/>
      <c r="AK150" s="76"/>
      <c r="AL150" s="76"/>
      <c r="AM150" s="76"/>
      <c r="AN150" s="76"/>
      <c r="AO150" s="76"/>
      <c r="AP150" s="76"/>
      <c r="AQ150" s="76" t="s">
        <v>1078</v>
      </c>
      <c r="AR150" s="76"/>
      <c r="AS150" s="76"/>
      <c r="AT150" s="76"/>
      <c r="AU150" s="76"/>
      <c r="AV150" s="81" t="str">
        <f>HYPERLINK("https://pbs.twimg.com/media/EiHCmP8VkAAnzKF.jpg")</f>
        <v>https://pbs.twimg.com/media/EiHCmP8VkAAnzKF.jpg</v>
      </c>
      <c r="AW150" s="80" t="s">
        <v>1167</v>
      </c>
      <c r="AX150" s="80" t="s">
        <v>1167</v>
      </c>
      <c r="AY150" s="76"/>
      <c r="AZ150" s="80" t="s">
        <v>252</v>
      </c>
      <c r="BA150" s="80" t="s">
        <v>252</v>
      </c>
      <c r="BB150" s="80" t="s">
        <v>252</v>
      </c>
      <c r="BC150" s="80" t="s">
        <v>1167</v>
      </c>
      <c r="BD150" s="80" t="s">
        <v>1222</v>
      </c>
      <c r="BE150" s="76"/>
      <c r="BF150" s="76"/>
      <c r="BG150" s="76"/>
      <c r="BH150" s="76"/>
      <c r="BI150" s="76"/>
      <c r="BJ150" s="76">
        <v>1</v>
      </c>
      <c r="BK150" s="75" t="str">
        <f>REPLACE(INDEX(GroupVertices[Group],MATCH("~"&amp;Edges[[#This Row],[Vertex 1]],GroupVertices[Vertex],0)),1,1,"")</f>
        <v>2</v>
      </c>
      <c r="BL150" s="75" t="str">
        <f>REPLACE(INDEX(GroupVertices[Group],MATCH("~"&amp;Edges[[#This Row],[Vertex 2]],GroupVertices[Vertex],0)),1,1,"")</f>
        <v>2</v>
      </c>
    </row>
    <row r="151" spans="1:64" ht="15">
      <c r="A151" s="61" t="s">
        <v>633</v>
      </c>
      <c r="B151" s="61" t="s">
        <v>719</v>
      </c>
      <c r="C151" s="62"/>
      <c r="D151" s="63"/>
      <c r="E151" s="64"/>
      <c r="F151" s="65"/>
      <c r="G151" s="62"/>
      <c r="H151" s="66"/>
      <c r="I151" s="67"/>
      <c r="J151" s="67"/>
      <c r="K151" s="31" t="s">
        <v>65</v>
      </c>
      <c r="L151" s="74">
        <v>151</v>
      </c>
      <c r="M151" s="74"/>
      <c r="N151" s="69"/>
      <c r="O151" s="76" t="s">
        <v>227</v>
      </c>
      <c r="P151" s="78">
        <v>44091.43738425926</v>
      </c>
      <c r="Q151" s="76" t="s">
        <v>811</v>
      </c>
      <c r="R151" s="76">
        <v>5</v>
      </c>
      <c r="S151" s="76">
        <v>8</v>
      </c>
      <c r="T151" s="76">
        <v>1</v>
      </c>
      <c r="U151" s="76">
        <v>0</v>
      </c>
      <c r="V151" s="76"/>
      <c r="W151" s="80" t="s">
        <v>851</v>
      </c>
      <c r="X151" s="76" t="s">
        <v>865</v>
      </c>
      <c r="Y151" s="76" t="s">
        <v>886</v>
      </c>
      <c r="Z151" s="76" t="s">
        <v>918</v>
      </c>
      <c r="AA151" s="76" t="s">
        <v>938</v>
      </c>
      <c r="AB151" s="76" t="s">
        <v>237</v>
      </c>
      <c r="AC151" s="80" t="s">
        <v>239</v>
      </c>
      <c r="AD151" s="76" t="s">
        <v>244</v>
      </c>
      <c r="AE151" s="81" t="str">
        <f>HYPERLINK("https://twitter.com/topdevelopersco/status/1306540860897595392")</f>
        <v>https://twitter.com/topdevelopersco/status/1306540860897595392</v>
      </c>
      <c r="AF151" s="78">
        <v>44091.43738425926</v>
      </c>
      <c r="AG151" s="85">
        <v>44091</v>
      </c>
      <c r="AH151" s="80" t="s">
        <v>1037</v>
      </c>
      <c r="AI151" s="76" t="b">
        <v>0</v>
      </c>
      <c r="AJ151" s="76"/>
      <c r="AK151" s="76"/>
      <c r="AL151" s="76"/>
      <c r="AM151" s="76"/>
      <c r="AN151" s="76"/>
      <c r="AO151" s="76"/>
      <c r="AP151" s="76"/>
      <c r="AQ151" s="76" t="s">
        <v>1078</v>
      </c>
      <c r="AR151" s="76"/>
      <c r="AS151" s="76"/>
      <c r="AT151" s="76"/>
      <c r="AU151" s="76"/>
      <c r="AV151" s="81" t="str">
        <f>HYPERLINK("https://pbs.twimg.com/media/EiHCmP8VkAAnzKF.jpg")</f>
        <v>https://pbs.twimg.com/media/EiHCmP8VkAAnzKF.jpg</v>
      </c>
      <c r="AW151" s="80" t="s">
        <v>1167</v>
      </c>
      <c r="AX151" s="80" t="s">
        <v>1167</v>
      </c>
      <c r="AY151" s="76"/>
      <c r="AZ151" s="80" t="s">
        <v>252</v>
      </c>
      <c r="BA151" s="80" t="s">
        <v>252</v>
      </c>
      <c r="BB151" s="80" t="s">
        <v>252</v>
      </c>
      <c r="BC151" s="80" t="s">
        <v>1167</v>
      </c>
      <c r="BD151" s="80" t="s">
        <v>1222</v>
      </c>
      <c r="BE151" s="76"/>
      <c r="BF151" s="76"/>
      <c r="BG151" s="76"/>
      <c r="BH151" s="76"/>
      <c r="BI151" s="76"/>
      <c r="BJ151" s="76">
        <v>1</v>
      </c>
      <c r="BK151" s="75" t="str">
        <f>REPLACE(INDEX(GroupVertices[Group],MATCH("~"&amp;Edges[[#This Row],[Vertex 1]],GroupVertices[Vertex],0)),1,1,"")</f>
        <v>2</v>
      </c>
      <c r="BL151" s="75" t="str">
        <f>REPLACE(INDEX(GroupVertices[Group],MATCH("~"&amp;Edges[[#This Row],[Vertex 2]],GroupVertices[Vertex],0)),1,1,"")</f>
        <v>2</v>
      </c>
    </row>
    <row r="152" spans="1:64" ht="15">
      <c r="A152" s="61" t="s">
        <v>633</v>
      </c>
      <c r="B152" s="61" t="s">
        <v>720</v>
      </c>
      <c r="C152" s="62"/>
      <c r="D152" s="63"/>
      <c r="E152" s="64"/>
      <c r="F152" s="65"/>
      <c r="G152" s="62"/>
      <c r="H152" s="66"/>
      <c r="I152" s="67"/>
      <c r="J152" s="67"/>
      <c r="K152" s="31" t="s">
        <v>65</v>
      </c>
      <c r="L152" s="74">
        <v>152</v>
      </c>
      <c r="M152" s="74"/>
      <c r="N152" s="69"/>
      <c r="O152" s="76" t="s">
        <v>227</v>
      </c>
      <c r="P152" s="78">
        <v>44091.43738425926</v>
      </c>
      <c r="Q152" s="76" t="s">
        <v>811</v>
      </c>
      <c r="R152" s="76">
        <v>5</v>
      </c>
      <c r="S152" s="76">
        <v>8</v>
      </c>
      <c r="T152" s="76">
        <v>1</v>
      </c>
      <c r="U152" s="76">
        <v>0</v>
      </c>
      <c r="V152" s="76"/>
      <c r="W152" s="80" t="s">
        <v>851</v>
      </c>
      <c r="X152" s="76" t="s">
        <v>865</v>
      </c>
      <c r="Y152" s="76" t="s">
        <v>886</v>
      </c>
      <c r="Z152" s="76" t="s">
        <v>918</v>
      </c>
      <c r="AA152" s="76" t="s">
        <v>938</v>
      </c>
      <c r="AB152" s="76" t="s">
        <v>237</v>
      </c>
      <c r="AC152" s="80" t="s">
        <v>239</v>
      </c>
      <c r="AD152" s="76" t="s">
        <v>244</v>
      </c>
      <c r="AE152" s="81" t="str">
        <f>HYPERLINK("https://twitter.com/topdevelopersco/status/1306540860897595392")</f>
        <v>https://twitter.com/topdevelopersco/status/1306540860897595392</v>
      </c>
      <c r="AF152" s="78">
        <v>44091.43738425926</v>
      </c>
      <c r="AG152" s="85">
        <v>44091</v>
      </c>
      <c r="AH152" s="80" t="s">
        <v>1037</v>
      </c>
      <c r="AI152" s="76" t="b">
        <v>0</v>
      </c>
      <c r="AJ152" s="76"/>
      <c r="AK152" s="76"/>
      <c r="AL152" s="76"/>
      <c r="AM152" s="76"/>
      <c r="AN152" s="76"/>
      <c r="AO152" s="76"/>
      <c r="AP152" s="76"/>
      <c r="AQ152" s="76" t="s">
        <v>1078</v>
      </c>
      <c r="AR152" s="76"/>
      <c r="AS152" s="76"/>
      <c r="AT152" s="76"/>
      <c r="AU152" s="76"/>
      <c r="AV152" s="81" t="str">
        <f>HYPERLINK("https://pbs.twimg.com/media/EiHCmP8VkAAnzKF.jpg")</f>
        <v>https://pbs.twimg.com/media/EiHCmP8VkAAnzKF.jpg</v>
      </c>
      <c r="AW152" s="80" t="s">
        <v>1167</v>
      </c>
      <c r="AX152" s="80" t="s">
        <v>1167</v>
      </c>
      <c r="AY152" s="76"/>
      <c r="AZ152" s="80" t="s">
        <v>252</v>
      </c>
      <c r="BA152" s="80" t="s">
        <v>252</v>
      </c>
      <c r="BB152" s="80" t="s">
        <v>252</v>
      </c>
      <c r="BC152" s="80" t="s">
        <v>1167</v>
      </c>
      <c r="BD152" s="80" t="s">
        <v>1222</v>
      </c>
      <c r="BE152" s="76"/>
      <c r="BF152" s="76"/>
      <c r="BG152" s="76"/>
      <c r="BH152" s="76"/>
      <c r="BI152" s="76"/>
      <c r="BJ152" s="76">
        <v>1</v>
      </c>
      <c r="BK152" s="75" t="str">
        <f>REPLACE(INDEX(GroupVertices[Group],MATCH("~"&amp;Edges[[#This Row],[Vertex 1]],GroupVertices[Vertex],0)),1,1,"")</f>
        <v>2</v>
      </c>
      <c r="BL152" s="75" t="str">
        <f>REPLACE(INDEX(GroupVertices[Group],MATCH("~"&amp;Edges[[#This Row],[Vertex 2]],GroupVertices[Vertex],0)),1,1,"")</f>
        <v>2</v>
      </c>
    </row>
    <row r="153" spans="1:64" ht="15">
      <c r="A153" s="61" t="s">
        <v>633</v>
      </c>
      <c r="B153" s="61" t="s">
        <v>721</v>
      </c>
      <c r="C153" s="62"/>
      <c r="D153" s="63"/>
      <c r="E153" s="64"/>
      <c r="F153" s="65"/>
      <c r="G153" s="62"/>
      <c r="H153" s="66"/>
      <c r="I153" s="67"/>
      <c r="J153" s="67"/>
      <c r="K153" s="31" t="s">
        <v>65</v>
      </c>
      <c r="L153" s="74">
        <v>153</v>
      </c>
      <c r="M153" s="74"/>
      <c r="N153" s="69"/>
      <c r="O153" s="76" t="s">
        <v>227</v>
      </c>
      <c r="P153" s="78">
        <v>44091.43738425926</v>
      </c>
      <c r="Q153" s="76" t="s">
        <v>811</v>
      </c>
      <c r="R153" s="76">
        <v>5</v>
      </c>
      <c r="S153" s="76">
        <v>8</v>
      </c>
      <c r="T153" s="76">
        <v>1</v>
      </c>
      <c r="U153" s="76">
        <v>0</v>
      </c>
      <c r="V153" s="76"/>
      <c r="W153" s="80" t="s">
        <v>851</v>
      </c>
      <c r="X153" s="76" t="s">
        <v>865</v>
      </c>
      <c r="Y153" s="76" t="s">
        <v>886</v>
      </c>
      <c r="Z153" s="76" t="s">
        <v>918</v>
      </c>
      <c r="AA153" s="76" t="s">
        <v>938</v>
      </c>
      <c r="AB153" s="76" t="s">
        <v>237</v>
      </c>
      <c r="AC153" s="80" t="s">
        <v>239</v>
      </c>
      <c r="AD153" s="76" t="s">
        <v>244</v>
      </c>
      <c r="AE153" s="81" t="str">
        <f>HYPERLINK("https://twitter.com/topdevelopersco/status/1306540860897595392")</f>
        <v>https://twitter.com/topdevelopersco/status/1306540860897595392</v>
      </c>
      <c r="AF153" s="78">
        <v>44091.43738425926</v>
      </c>
      <c r="AG153" s="85">
        <v>44091</v>
      </c>
      <c r="AH153" s="80" t="s">
        <v>1037</v>
      </c>
      <c r="AI153" s="76" t="b">
        <v>0</v>
      </c>
      <c r="AJ153" s="76"/>
      <c r="AK153" s="76"/>
      <c r="AL153" s="76"/>
      <c r="AM153" s="76"/>
      <c r="AN153" s="76"/>
      <c r="AO153" s="76"/>
      <c r="AP153" s="76"/>
      <c r="AQ153" s="76" t="s">
        <v>1078</v>
      </c>
      <c r="AR153" s="76"/>
      <c r="AS153" s="76"/>
      <c r="AT153" s="76"/>
      <c r="AU153" s="76"/>
      <c r="AV153" s="81" t="str">
        <f>HYPERLINK("https://pbs.twimg.com/media/EiHCmP8VkAAnzKF.jpg")</f>
        <v>https://pbs.twimg.com/media/EiHCmP8VkAAnzKF.jpg</v>
      </c>
      <c r="AW153" s="80" t="s">
        <v>1167</v>
      </c>
      <c r="AX153" s="80" t="s">
        <v>1167</v>
      </c>
      <c r="AY153" s="76"/>
      <c r="AZ153" s="80" t="s">
        <v>252</v>
      </c>
      <c r="BA153" s="80" t="s">
        <v>252</v>
      </c>
      <c r="BB153" s="80" t="s">
        <v>252</v>
      </c>
      <c r="BC153" s="80" t="s">
        <v>1167</v>
      </c>
      <c r="BD153" s="80" t="s">
        <v>1222</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row>
    <row r="154" spans="1:64" ht="15">
      <c r="A154" s="61" t="s">
        <v>633</v>
      </c>
      <c r="B154" s="61" t="s">
        <v>722</v>
      </c>
      <c r="C154" s="62"/>
      <c r="D154" s="63"/>
      <c r="E154" s="64"/>
      <c r="F154" s="65"/>
      <c r="G154" s="62"/>
      <c r="H154" s="66"/>
      <c r="I154" s="67"/>
      <c r="J154" s="67"/>
      <c r="K154" s="31" t="s">
        <v>65</v>
      </c>
      <c r="L154" s="74">
        <v>154</v>
      </c>
      <c r="M154" s="74"/>
      <c r="N154" s="69"/>
      <c r="O154" s="76" t="s">
        <v>227</v>
      </c>
      <c r="P154" s="78">
        <v>44091.43738425926</v>
      </c>
      <c r="Q154" s="76" t="s">
        <v>811</v>
      </c>
      <c r="R154" s="76">
        <v>5</v>
      </c>
      <c r="S154" s="76">
        <v>8</v>
      </c>
      <c r="T154" s="76">
        <v>1</v>
      </c>
      <c r="U154" s="76">
        <v>0</v>
      </c>
      <c r="V154" s="76"/>
      <c r="W154" s="80" t="s">
        <v>851</v>
      </c>
      <c r="X154" s="76" t="s">
        <v>865</v>
      </c>
      <c r="Y154" s="76" t="s">
        <v>886</v>
      </c>
      <c r="Z154" s="76" t="s">
        <v>918</v>
      </c>
      <c r="AA154" s="76" t="s">
        <v>938</v>
      </c>
      <c r="AB154" s="76" t="s">
        <v>237</v>
      </c>
      <c r="AC154" s="80" t="s">
        <v>239</v>
      </c>
      <c r="AD154" s="76" t="s">
        <v>244</v>
      </c>
      <c r="AE154" s="81" t="str">
        <f>HYPERLINK("https://twitter.com/topdevelopersco/status/1306540860897595392")</f>
        <v>https://twitter.com/topdevelopersco/status/1306540860897595392</v>
      </c>
      <c r="AF154" s="78">
        <v>44091.43738425926</v>
      </c>
      <c r="AG154" s="85">
        <v>44091</v>
      </c>
      <c r="AH154" s="80" t="s">
        <v>1037</v>
      </c>
      <c r="AI154" s="76" t="b">
        <v>0</v>
      </c>
      <c r="AJ154" s="76"/>
      <c r="AK154" s="76"/>
      <c r="AL154" s="76"/>
      <c r="AM154" s="76"/>
      <c r="AN154" s="76"/>
      <c r="AO154" s="76"/>
      <c r="AP154" s="76"/>
      <c r="AQ154" s="76" t="s">
        <v>1078</v>
      </c>
      <c r="AR154" s="76"/>
      <c r="AS154" s="76"/>
      <c r="AT154" s="76"/>
      <c r="AU154" s="76"/>
      <c r="AV154" s="81" t="str">
        <f>HYPERLINK("https://pbs.twimg.com/media/EiHCmP8VkAAnzKF.jpg")</f>
        <v>https://pbs.twimg.com/media/EiHCmP8VkAAnzKF.jpg</v>
      </c>
      <c r="AW154" s="80" t="s">
        <v>1167</v>
      </c>
      <c r="AX154" s="80" t="s">
        <v>1167</v>
      </c>
      <c r="AY154" s="76"/>
      <c r="AZ154" s="80" t="s">
        <v>252</v>
      </c>
      <c r="BA154" s="80" t="s">
        <v>252</v>
      </c>
      <c r="BB154" s="80" t="s">
        <v>252</v>
      </c>
      <c r="BC154" s="80" t="s">
        <v>1167</v>
      </c>
      <c r="BD154" s="80" t="s">
        <v>1222</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2</v>
      </c>
    </row>
    <row r="155" spans="1:64" ht="15">
      <c r="A155" s="61" t="s">
        <v>392</v>
      </c>
      <c r="B155" s="61" t="s">
        <v>683</v>
      </c>
      <c r="C155" s="62"/>
      <c r="D155" s="63"/>
      <c r="E155" s="64"/>
      <c r="F155" s="65"/>
      <c r="G155" s="62"/>
      <c r="H155" s="66"/>
      <c r="I155" s="67"/>
      <c r="J155" s="67"/>
      <c r="K155" s="31" t="s">
        <v>65</v>
      </c>
      <c r="L155" s="74">
        <v>155</v>
      </c>
      <c r="M155" s="74"/>
      <c r="N155" s="69"/>
      <c r="O155" s="76" t="s">
        <v>230</v>
      </c>
      <c r="P155" s="78">
        <v>44057.004791666666</v>
      </c>
      <c r="Q155" s="76" t="s">
        <v>812</v>
      </c>
      <c r="R155" s="76">
        <v>0</v>
      </c>
      <c r="S155" s="76">
        <v>0</v>
      </c>
      <c r="T155" s="76">
        <v>0</v>
      </c>
      <c r="U155" s="76">
        <v>0</v>
      </c>
      <c r="V155" s="76"/>
      <c r="W155" s="76"/>
      <c r="X155" s="76"/>
      <c r="Y155" s="76"/>
      <c r="Z155" s="76" t="s">
        <v>902</v>
      </c>
      <c r="AA155" s="76"/>
      <c r="AB155" s="76"/>
      <c r="AC155" s="80" t="s">
        <v>239</v>
      </c>
      <c r="AD155" s="76" t="s">
        <v>244</v>
      </c>
      <c r="AE155" s="81" t="str">
        <f>HYPERLINK("https://twitter.com/thriveagency/status/1294062908041605120")</f>
        <v>https://twitter.com/thriveagency/status/1294062908041605120</v>
      </c>
      <c r="AF155" s="78">
        <v>44057.004791666666</v>
      </c>
      <c r="AG155" s="85">
        <v>44057</v>
      </c>
      <c r="AH155" s="80" t="s">
        <v>1038</v>
      </c>
      <c r="AI155" s="76"/>
      <c r="AJ155" s="76"/>
      <c r="AK155" s="76"/>
      <c r="AL155" s="76"/>
      <c r="AM155" s="76"/>
      <c r="AN155" s="76"/>
      <c r="AO155" s="76"/>
      <c r="AP155" s="76"/>
      <c r="AQ155" s="76"/>
      <c r="AR155" s="76"/>
      <c r="AS155" s="76"/>
      <c r="AT155" s="76"/>
      <c r="AU155" s="76"/>
      <c r="AV155" s="81" t="str">
        <f>HYPERLINK("https://pbs.twimg.com/profile_images/1296790366083899392/evocoOcC_normal.jpg")</f>
        <v>https://pbs.twimg.com/profile_images/1296790366083899392/evocoOcC_normal.jpg</v>
      </c>
      <c r="AW155" s="80" t="s">
        <v>1168</v>
      </c>
      <c r="AX155" s="80" t="s">
        <v>1170</v>
      </c>
      <c r="AY155" s="80" t="s">
        <v>1222</v>
      </c>
      <c r="AZ155" s="80" t="s">
        <v>1170</v>
      </c>
      <c r="BA155" s="80" t="s">
        <v>252</v>
      </c>
      <c r="BB155" s="80" t="s">
        <v>252</v>
      </c>
      <c r="BC155" s="80" t="s">
        <v>1170</v>
      </c>
      <c r="BD155" s="76">
        <v>71281607</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2</v>
      </c>
    </row>
    <row r="156" spans="1:64" ht="15">
      <c r="A156" s="61" t="s">
        <v>635</v>
      </c>
      <c r="B156" s="61" t="s">
        <v>683</v>
      </c>
      <c r="C156" s="62"/>
      <c r="D156" s="63"/>
      <c r="E156" s="64"/>
      <c r="F156" s="65"/>
      <c r="G156" s="62"/>
      <c r="H156" s="66"/>
      <c r="I156" s="67"/>
      <c r="J156" s="67"/>
      <c r="K156" s="31" t="s">
        <v>65</v>
      </c>
      <c r="L156" s="74">
        <v>156</v>
      </c>
      <c r="M156" s="74"/>
      <c r="N156" s="69"/>
      <c r="O156" s="76" t="s">
        <v>230</v>
      </c>
      <c r="P156" s="78">
        <v>44048.888773148145</v>
      </c>
      <c r="Q156" s="76" t="s">
        <v>813</v>
      </c>
      <c r="R156" s="76">
        <v>0</v>
      </c>
      <c r="S156" s="76">
        <v>2</v>
      </c>
      <c r="T156" s="76">
        <v>0</v>
      </c>
      <c r="U156" s="76">
        <v>0</v>
      </c>
      <c r="V156" s="76"/>
      <c r="W156" s="76"/>
      <c r="X156" s="76"/>
      <c r="Y156" s="76"/>
      <c r="Z156" s="76" t="s">
        <v>919</v>
      </c>
      <c r="AA156" s="76"/>
      <c r="AB156" s="76"/>
      <c r="AC156" s="80" t="s">
        <v>239</v>
      </c>
      <c r="AD156" s="76" t="s">
        <v>244</v>
      </c>
      <c r="AE156" s="81" t="str">
        <f>HYPERLINK("https://twitter.com/leveronline/status/1291121760545517569")</f>
        <v>https://twitter.com/leveronline/status/1291121760545517569</v>
      </c>
      <c r="AF156" s="78">
        <v>44048.888773148145</v>
      </c>
      <c r="AG156" s="85">
        <v>44048</v>
      </c>
      <c r="AH156" s="80" t="s">
        <v>1039</v>
      </c>
      <c r="AI156" s="76"/>
      <c r="AJ156" s="76"/>
      <c r="AK156" s="76"/>
      <c r="AL156" s="76"/>
      <c r="AM156" s="76"/>
      <c r="AN156" s="76"/>
      <c r="AO156" s="76"/>
      <c r="AP156" s="76"/>
      <c r="AQ156" s="76"/>
      <c r="AR156" s="76"/>
      <c r="AS156" s="76"/>
      <c r="AT156" s="76"/>
      <c r="AU156" s="76"/>
      <c r="AV156" s="81" t="str">
        <f>HYPERLINK("https://pbs.twimg.com/profile_images/1637868337458733056/ttqXG4C6_normal.jpg")</f>
        <v>https://pbs.twimg.com/profile_images/1637868337458733056/ttqXG4C6_normal.jpg</v>
      </c>
      <c r="AW156" s="80" t="s">
        <v>1169</v>
      </c>
      <c r="AX156" s="80" t="s">
        <v>1170</v>
      </c>
      <c r="AY156" s="80" t="s">
        <v>1222</v>
      </c>
      <c r="AZ156" s="80" t="s">
        <v>1170</v>
      </c>
      <c r="BA156" s="80" t="s">
        <v>252</v>
      </c>
      <c r="BB156" s="80" t="s">
        <v>252</v>
      </c>
      <c r="BC156" s="80" t="s">
        <v>1170</v>
      </c>
      <c r="BD156" s="76">
        <v>46403338</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2</v>
      </c>
    </row>
    <row r="157" spans="1:64" ht="15">
      <c r="A157" s="61" t="s">
        <v>633</v>
      </c>
      <c r="B157" s="61" t="s">
        <v>683</v>
      </c>
      <c r="C157" s="62"/>
      <c r="D157" s="63"/>
      <c r="E157" s="64"/>
      <c r="F157" s="65"/>
      <c r="G157" s="62"/>
      <c r="H157" s="66"/>
      <c r="I157" s="67"/>
      <c r="J157" s="67"/>
      <c r="K157" s="31" t="s">
        <v>65</v>
      </c>
      <c r="L157" s="74">
        <v>157</v>
      </c>
      <c r="M157" s="74"/>
      <c r="N157" s="69"/>
      <c r="O157" s="76" t="s">
        <v>227</v>
      </c>
      <c r="P157" s="78">
        <v>44048.45751157407</v>
      </c>
      <c r="Q157" s="76" t="s">
        <v>814</v>
      </c>
      <c r="R157" s="76">
        <v>0</v>
      </c>
      <c r="S157" s="76">
        <v>3</v>
      </c>
      <c r="T157" s="76">
        <v>2</v>
      </c>
      <c r="U157" s="76">
        <v>2</v>
      </c>
      <c r="V157" s="76"/>
      <c r="W157" s="80" t="s">
        <v>852</v>
      </c>
      <c r="X157" s="81" t="str">
        <f>HYPERLINK("https://bit.ly/3fs59eV")</f>
        <v>https://bit.ly/3fs59eV</v>
      </c>
      <c r="Y157" s="76" t="s">
        <v>233</v>
      </c>
      <c r="Z157" s="76" t="s">
        <v>920</v>
      </c>
      <c r="AA157" s="76" t="s">
        <v>939</v>
      </c>
      <c r="AB157" s="76" t="s">
        <v>237</v>
      </c>
      <c r="AC157" s="80" t="s">
        <v>239</v>
      </c>
      <c r="AD157" s="76" t="s">
        <v>244</v>
      </c>
      <c r="AE157" s="81" t="str">
        <f>HYPERLINK("https://twitter.com/topdevelopersco/status/1290965478920208385")</f>
        <v>https://twitter.com/topdevelopersco/status/1290965478920208385</v>
      </c>
      <c r="AF157" s="78">
        <v>44048.45751157407</v>
      </c>
      <c r="AG157" s="85">
        <v>44048</v>
      </c>
      <c r="AH157" s="80" t="s">
        <v>411</v>
      </c>
      <c r="AI157" s="76" t="b">
        <v>0</v>
      </c>
      <c r="AJ157" s="76"/>
      <c r="AK157" s="76"/>
      <c r="AL157" s="76"/>
      <c r="AM157" s="76"/>
      <c r="AN157" s="76"/>
      <c r="AO157" s="76"/>
      <c r="AP157" s="76"/>
      <c r="AQ157" s="76" t="s">
        <v>1079</v>
      </c>
      <c r="AR157" s="76"/>
      <c r="AS157" s="76"/>
      <c r="AT157" s="76"/>
      <c r="AU157" s="76"/>
      <c r="AV157" s="81" t="str">
        <f>HYPERLINK("https://pbs.twimg.com/media/EepuQKMUcAA5RXj.png")</f>
        <v>https://pbs.twimg.com/media/EepuQKMUcAA5RXj.png</v>
      </c>
      <c r="AW157" s="80" t="s">
        <v>1170</v>
      </c>
      <c r="AX157" s="80" t="s">
        <v>1170</v>
      </c>
      <c r="AY157" s="76"/>
      <c r="AZ157" s="80" t="s">
        <v>252</v>
      </c>
      <c r="BA157" s="80" t="s">
        <v>252</v>
      </c>
      <c r="BB157" s="80" t="s">
        <v>252</v>
      </c>
      <c r="BC157" s="80" t="s">
        <v>1170</v>
      </c>
      <c r="BD157" s="80" t="s">
        <v>1222</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2</v>
      </c>
    </row>
    <row r="158" spans="1:64" ht="15">
      <c r="A158" s="61" t="s">
        <v>392</v>
      </c>
      <c r="B158" s="61" t="s">
        <v>684</v>
      </c>
      <c r="C158" s="62"/>
      <c r="D158" s="63"/>
      <c r="E158" s="64"/>
      <c r="F158" s="65"/>
      <c r="G158" s="62"/>
      <c r="H158" s="66"/>
      <c r="I158" s="67"/>
      <c r="J158" s="67"/>
      <c r="K158" s="31" t="s">
        <v>65</v>
      </c>
      <c r="L158" s="74">
        <v>158</v>
      </c>
      <c r="M158" s="74"/>
      <c r="N158" s="69"/>
      <c r="O158" s="76" t="s">
        <v>230</v>
      </c>
      <c r="P158" s="78">
        <v>44057.004791666666</v>
      </c>
      <c r="Q158" s="76" t="s">
        <v>812</v>
      </c>
      <c r="R158" s="76">
        <v>0</v>
      </c>
      <c r="S158" s="76">
        <v>0</v>
      </c>
      <c r="T158" s="76">
        <v>0</v>
      </c>
      <c r="U158" s="76">
        <v>0</v>
      </c>
      <c r="V158" s="76"/>
      <c r="W158" s="76"/>
      <c r="X158" s="76"/>
      <c r="Y158" s="76"/>
      <c r="Z158" s="76" t="s">
        <v>902</v>
      </c>
      <c r="AA158" s="76"/>
      <c r="AB158" s="76"/>
      <c r="AC158" s="80" t="s">
        <v>239</v>
      </c>
      <c r="AD158" s="76" t="s">
        <v>244</v>
      </c>
      <c r="AE158" s="81" t="str">
        <f>HYPERLINK("https://twitter.com/thriveagency/status/1294062908041605120")</f>
        <v>https://twitter.com/thriveagency/status/1294062908041605120</v>
      </c>
      <c r="AF158" s="78">
        <v>44057.004791666666</v>
      </c>
      <c r="AG158" s="85">
        <v>44057</v>
      </c>
      <c r="AH158" s="80" t="s">
        <v>1038</v>
      </c>
      <c r="AI158" s="76"/>
      <c r="AJ158" s="76"/>
      <c r="AK158" s="76"/>
      <c r="AL158" s="76"/>
      <c r="AM158" s="76"/>
      <c r="AN158" s="76"/>
      <c r="AO158" s="76"/>
      <c r="AP158" s="76"/>
      <c r="AQ158" s="76"/>
      <c r="AR158" s="76"/>
      <c r="AS158" s="76"/>
      <c r="AT158" s="76"/>
      <c r="AU158" s="76"/>
      <c r="AV158" s="81" t="str">
        <f>HYPERLINK("https://pbs.twimg.com/profile_images/1296790366083899392/evocoOcC_normal.jpg")</f>
        <v>https://pbs.twimg.com/profile_images/1296790366083899392/evocoOcC_normal.jpg</v>
      </c>
      <c r="AW158" s="80" t="s">
        <v>1168</v>
      </c>
      <c r="AX158" s="80" t="s">
        <v>1170</v>
      </c>
      <c r="AY158" s="80" t="s">
        <v>1222</v>
      </c>
      <c r="AZ158" s="80" t="s">
        <v>1170</v>
      </c>
      <c r="BA158" s="80" t="s">
        <v>252</v>
      </c>
      <c r="BB158" s="80" t="s">
        <v>252</v>
      </c>
      <c r="BC158" s="80" t="s">
        <v>1170</v>
      </c>
      <c r="BD158" s="76">
        <v>71281607</v>
      </c>
      <c r="BE158" s="76"/>
      <c r="BF158" s="76"/>
      <c r="BG158" s="76"/>
      <c r="BH158" s="76"/>
      <c r="BI158" s="76"/>
      <c r="BJ158" s="76">
        <v>1</v>
      </c>
      <c r="BK158" s="75" t="str">
        <f>REPLACE(INDEX(GroupVertices[Group],MATCH("~"&amp;Edges[[#This Row],[Vertex 1]],GroupVertices[Vertex],0)),1,1,"")</f>
        <v>2</v>
      </c>
      <c r="BL158" s="75" t="str">
        <f>REPLACE(INDEX(GroupVertices[Group],MATCH("~"&amp;Edges[[#This Row],[Vertex 2]],GroupVertices[Vertex],0)),1,1,"")</f>
        <v>2</v>
      </c>
    </row>
    <row r="159" spans="1:64" ht="15">
      <c r="A159" s="61" t="s">
        <v>635</v>
      </c>
      <c r="B159" s="61" t="s">
        <v>684</v>
      </c>
      <c r="C159" s="62"/>
      <c r="D159" s="63"/>
      <c r="E159" s="64"/>
      <c r="F159" s="65"/>
      <c r="G159" s="62"/>
      <c r="H159" s="66"/>
      <c r="I159" s="67"/>
      <c r="J159" s="67"/>
      <c r="K159" s="31" t="s">
        <v>65</v>
      </c>
      <c r="L159" s="74">
        <v>159</v>
      </c>
      <c r="M159" s="74"/>
      <c r="N159" s="69"/>
      <c r="O159" s="76" t="s">
        <v>230</v>
      </c>
      <c r="P159" s="78">
        <v>44048.888773148145</v>
      </c>
      <c r="Q159" s="76" t="s">
        <v>813</v>
      </c>
      <c r="R159" s="76">
        <v>0</v>
      </c>
      <c r="S159" s="76">
        <v>2</v>
      </c>
      <c r="T159" s="76">
        <v>0</v>
      </c>
      <c r="U159" s="76">
        <v>0</v>
      </c>
      <c r="V159" s="76"/>
      <c r="W159" s="76"/>
      <c r="X159" s="76"/>
      <c r="Y159" s="76"/>
      <c r="Z159" s="76" t="s">
        <v>919</v>
      </c>
      <c r="AA159" s="76"/>
      <c r="AB159" s="76"/>
      <c r="AC159" s="80" t="s">
        <v>239</v>
      </c>
      <c r="AD159" s="76" t="s">
        <v>244</v>
      </c>
      <c r="AE159" s="81" t="str">
        <f>HYPERLINK("https://twitter.com/leveronline/status/1291121760545517569")</f>
        <v>https://twitter.com/leveronline/status/1291121760545517569</v>
      </c>
      <c r="AF159" s="78">
        <v>44048.888773148145</v>
      </c>
      <c r="AG159" s="85">
        <v>44048</v>
      </c>
      <c r="AH159" s="80" t="s">
        <v>1039</v>
      </c>
      <c r="AI159" s="76"/>
      <c r="AJ159" s="76"/>
      <c r="AK159" s="76"/>
      <c r="AL159" s="76"/>
      <c r="AM159" s="76"/>
      <c r="AN159" s="76"/>
      <c r="AO159" s="76"/>
      <c r="AP159" s="76"/>
      <c r="AQ159" s="76"/>
      <c r="AR159" s="76"/>
      <c r="AS159" s="76"/>
      <c r="AT159" s="76"/>
      <c r="AU159" s="76"/>
      <c r="AV159" s="81" t="str">
        <f>HYPERLINK("https://pbs.twimg.com/profile_images/1637868337458733056/ttqXG4C6_normal.jpg")</f>
        <v>https://pbs.twimg.com/profile_images/1637868337458733056/ttqXG4C6_normal.jpg</v>
      </c>
      <c r="AW159" s="80" t="s">
        <v>1169</v>
      </c>
      <c r="AX159" s="80" t="s">
        <v>1170</v>
      </c>
      <c r="AY159" s="80" t="s">
        <v>1222</v>
      </c>
      <c r="AZ159" s="80" t="s">
        <v>1170</v>
      </c>
      <c r="BA159" s="80" t="s">
        <v>252</v>
      </c>
      <c r="BB159" s="80" t="s">
        <v>252</v>
      </c>
      <c r="BC159" s="80" t="s">
        <v>1170</v>
      </c>
      <c r="BD159" s="76">
        <v>46403338</v>
      </c>
      <c r="BE159" s="76"/>
      <c r="BF159" s="76"/>
      <c r="BG159" s="76"/>
      <c r="BH159" s="76"/>
      <c r="BI159" s="76"/>
      <c r="BJ159" s="76">
        <v>1</v>
      </c>
      <c r="BK159" s="75" t="str">
        <f>REPLACE(INDEX(GroupVertices[Group],MATCH("~"&amp;Edges[[#This Row],[Vertex 1]],GroupVertices[Vertex],0)),1,1,"")</f>
        <v>2</v>
      </c>
      <c r="BL159" s="75" t="str">
        <f>REPLACE(INDEX(GroupVertices[Group],MATCH("~"&amp;Edges[[#This Row],[Vertex 2]],GroupVertices[Vertex],0)),1,1,"")</f>
        <v>2</v>
      </c>
    </row>
    <row r="160" spans="1:64" ht="15">
      <c r="A160" s="61" t="s">
        <v>633</v>
      </c>
      <c r="B160" s="61" t="s">
        <v>684</v>
      </c>
      <c r="C160" s="62"/>
      <c r="D160" s="63"/>
      <c r="E160" s="64"/>
      <c r="F160" s="65"/>
      <c r="G160" s="62"/>
      <c r="H160" s="66"/>
      <c r="I160" s="67"/>
      <c r="J160" s="67"/>
      <c r="K160" s="31" t="s">
        <v>65</v>
      </c>
      <c r="L160" s="74">
        <v>160</v>
      </c>
      <c r="M160" s="74"/>
      <c r="N160" s="69"/>
      <c r="O160" s="76" t="s">
        <v>227</v>
      </c>
      <c r="P160" s="78">
        <v>44048.45751157407</v>
      </c>
      <c r="Q160" s="76" t="s">
        <v>814</v>
      </c>
      <c r="R160" s="76">
        <v>0</v>
      </c>
      <c r="S160" s="76">
        <v>3</v>
      </c>
      <c r="T160" s="76">
        <v>2</v>
      </c>
      <c r="U160" s="76">
        <v>2</v>
      </c>
      <c r="V160" s="76"/>
      <c r="W160" s="80" t="s">
        <v>852</v>
      </c>
      <c r="X160" s="81" t="str">
        <f>HYPERLINK("https://bit.ly/3fs59eV")</f>
        <v>https://bit.ly/3fs59eV</v>
      </c>
      <c r="Y160" s="76" t="s">
        <v>233</v>
      </c>
      <c r="Z160" s="76" t="s">
        <v>920</v>
      </c>
      <c r="AA160" s="76" t="s">
        <v>939</v>
      </c>
      <c r="AB160" s="76" t="s">
        <v>237</v>
      </c>
      <c r="AC160" s="80" t="s">
        <v>239</v>
      </c>
      <c r="AD160" s="76" t="s">
        <v>244</v>
      </c>
      <c r="AE160" s="81" t="str">
        <f>HYPERLINK("https://twitter.com/topdevelopersco/status/1290965478920208385")</f>
        <v>https://twitter.com/topdevelopersco/status/1290965478920208385</v>
      </c>
      <c r="AF160" s="78">
        <v>44048.45751157407</v>
      </c>
      <c r="AG160" s="85">
        <v>44048</v>
      </c>
      <c r="AH160" s="80" t="s">
        <v>411</v>
      </c>
      <c r="AI160" s="76" t="b">
        <v>0</v>
      </c>
      <c r="AJ160" s="76"/>
      <c r="AK160" s="76"/>
      <c r="AL160" s="76"/>
      <c r="AM160" s="76"/>
      <c r="AN160" s="76"/>
      <c r="AO160" s="76"/>
      <c r="AP160" s="76"/>
      <c r="AQ160" s="76" t="s">
        <v>1079</v>
      </c>
      <c r="AR160" s="76"/>
      <c r="AS160" s="76"/>
      <c r="AT160" s="76"/>
      <c r="AU160" s="76"/>
      <c r="AV160" s="81" t="str">
        <f>HYPERLINK("https://pbs.twimg.com/media/EepuQKMUcAA5RXj.png")</f>
        <v>https://pbs.twimg.com/media/EepuQKMUcAA5RXj.png</v>
      </c>
      <c r="AW160" s="80" t="s">
        <v>1170</v>
      </c>
      <c r="AX160" s="80" t="s">
        <v>1170</v>
      </c>
      <c r="AY160" s="76"/>
      <c r="AZ160" s="80" t="s">
        <v>252</v>
      </c>
      <c r="BA160" s="80" t="s">
        <v>252</v>
      </c>
      <c r="BB160" s="80" t="s">
        <v>252</v>
      </c>
      <c r="BC160" s="80" t="s">
        <v>1170</v>
      </c>
      <c r="BD160" s="80" t="s">
        <v>1222</v>
      </c>
      <c r="BE160" s="76"/>
      <c r="BF160" s="76"/>
      <c r="BG160" s="76"/>
      <c r="BH160" s="76"/>
      <c r="BI160" s="76"/>
      <c r="BJ160" s="76">
        <v>1</v>
      </c>
      <c r="BK160" s="75" t="str">
        <f>REPLACE(INDEX(GroupVertices[Group],MATCH("~"&amp;Edges[[#This Row],[Vertex 1]],GroupVertices[Vertex],0)),1,1,"")</f>
        <v>2</v>
      </c>
      <c r="BL160" s="75" t="str">
        <f>REPLACE(INDEX(GroupVertices[Group],MATCH("~"&amp;Edges[[#This Row],[Vertex 2]],GroupVertices[Vertex],0)),1,1,"")</f>
        <v>2</v>
      </c>
    </row>
    <row r="161" spans="1:64" ht="15">
      <c r="A161" s="61" t="s">
        <v>392</v>
      </c>
      <c r="B161" s="61" t="s">
        <v>685</v>
      </c>
      <c r="C161" s="62"/>
      <c r="D161" s="63"/>
      <c r="E161" s="64"/>
      <c r="F161" s="65"/>
      <c r="G161" s="62"/>
      <c r="H161" s="66"/>
      <c r="I161" s="67"/>
      <c r="J161" s="67"/>
      <c r="K161" s="31" t="s">
        <v>65</v>
      </c>
      <c r="L161" s="74">
        <v>161</v>
      </c>
      <c r="M161" s="74"/>
      <c r="N161" s="69"/>
      <c r="O161" s="76" t="s">
        <v>230</v>
      </c>
      <c r="P161" s="78">
        <v>44057.004791666666</v>
      </c>
      <c r="Q161" s="76" t="s">
        <v>812</v>
      </c>
      <c r="R161" s="76">
        <v>0</v>
      </c>
      <c r="S161" s="76">
        <v>0</v>
      </c>
      <c r="T161" s="76">
        <v>0</v>
      </c>
      <c r="U161" s="76">
        <v>0</v>
      </c>
      <c r="V161" s="76"/>
      <c r="W161" s="76"/>
      <c r="X161" s="76"/>
      <c r="Y161" s="76"/>
      <c r="Z161" s="76" t="s">
        <v>902</v>
      </c>
      <c r="AA161" s="76"/>
      <c r="AB161" s="76"/>
      <c r="AC161" s="80" t="s">
        <v>239</v>
      </c>
      <c r="AD161" s="76" t="s">
        <v>244</v>
      </c>
      <c r="AE161" s="81" t="str">
        <f>HYPERLINK("https://twitter.com/thriveagency/status/1294062908041605120")</f>
        <v>https://twitter.com/thriveagency/status/1294062908041605120</v>
      </c>
      <c r="AF161" s="78">
        <v>44057.004791666666</v>
      </c>
      <c r="AG161" s="85">
        <v>44057</v>
      </c>
      <c r="AH161" s="80" t="s">
        <v>1038</v>
      </c>
      <c r="AI161" s="76"/>
      <c r="AJ161" s="76"/>
      <c r="AK161" s="76"/>
      <c r="AL161" s="76"/>
      <c r="AM161" s="76"/>
      <c r="AN161" s="76"/>
      <c r="AO161" s="76"/>
      <c r="AP161" s="76"/>
      <c r="AQ161" s="76"/>
      <c r="AR161" s="76"/>
      <c r="AS161" s="76"/>
      <c r="AT161" s="76"/>
      <c r="AU161" s="76"/>
      <c r="AV161" s="81" t="str">
        <f>HYPERLINK("https://pbs.twimg.com/profile_images/1296790366083899392/evocoOcC_normal.jpg")</f>
        <v>https://pbs.twimg.com/profile_images/1296790366083899392/evocoOcC_normal.jpg</v>
      </c>
      <c r="AW161" s="80" t="s">
        <v>1168</v>
      </c>
      <c r="AX161" s="80" t="s">
        <v>1170</v>
      </c>
      <c r="AY161" s="80" t="s">
        <v>1222</v>
      </c>
      <c r="AZ161" s="80" t="s">
        <v>1170</v>
      </c>
      <c r="BA161" s="80" t="s">
        <v>252</v>
      </c>
      <c r="BB161" s="80" t="s">
        <v>252</v>
      </c>
      <c r="BC161" s="80" t="s">
        <v>1170</v>
      </c>
      <c r="BD161" s="76">
        <v>71281607</v>
      </c>
      <c r="BE161" s="76"/>
      <c r="BF161" s="76"/>
      <c r="BG161" s="76"/>
      <c r="BH161" s="76"/>
      <c r="BI161" s="76"/>
      <c r="BJ161" s="76">
        <v>1</v>
      </c>
      <c r="BK161" s="75" t="str">
        <f>REPLACE(INDEX(GroupVertices[Group],MATCH("~"&amp;Edges[[#This Row],[Vertex 1]],GroupVertices[Vertex],0)),1,1,"")</f>
        <v>2</v>
      </c>
      <c r="BL161" s="75" t="str">
        <f>REPLACE(INDEX(GroupVertices[Group],MATCH("~"&amp;Edges[[#This Row],[Vertex 2]],GroupVertices[Vertex],0)),1,1,"")</f>
        <v>2</v>
      </c>
    </row>
    <row r="162" spans="1:64" ht="15">
      <c r="A162" s="61" t="s">
        <v>635</v>
      </c>
      <c r="B162" s="61" t="s">
        <v>685</v>
      </c>
      <c r="C162" s="62"/>
      <c r="D162" s="63"/>
      <c r="E162" s="64"/>
      <c r="F162" s="65"/>
      <c r="G162" s="62"/>
      <c r="H162" s="66"/>
      <c r="I162" s="67"/>
      <c r="J162" s="67"/>
      <c r="K162" s="31" t="s">
        <v>65</v>
      </c>
      <c r="L162" s="74">
        <v>162</v>
      </c>
      <c r="M162" s="74"/>
      <c r="N162" s="69"/>
      <c r="O162" s="76" t="s">
        <v>230</v>
      </c>
      <c r="P162" s="78">
        <v>44048.888773148145</v>
      </c>
      <c r="Q162" s="76" t="s">
        <v>813</v>
      </c>
      <c r="R162" s="76">
        <v>0</v>
      </c>
      <c r="S162" s="76">
        <v>2</v>
      </c>
      <c r="T162" s="76">
        <v>0</v>
      </c>
      <c r="U162" s="76">
        <v>0</v>
      </c>
      <c r="V162" s="76"/>
      <c r="W162" s="76"/>
      <c r="X162" s="76"/>
      <c r="Y162" s="76"/>
      <c r="Z162" s="76" t="s">
        <v>919</v>
      </c>
      <c r="AA162" s="76"/>
      <c r="AB162" s="76"/>
      <c r="AC162" s="80" t="s">
        <v>239</v>
      </c>
      <c r="AD162" s="76" t="s">
        <v>244</v>
      </c>
      <c r="AE162" s="81" t="str">
        <f>HYPERLINK("https://twitter.com/leveronline/status/1291121760545517569")</f>
        <v>https://twitter.com/leveronline/status/1291121760545517569</v>
      </c>
      <c r="AF162" s="78">
        <v>44048.888773148145</v>
      </c>
      <c r="AG162" s="85">
        <v>44048</v>
      </c>
      <c r="AH162" s="80" t="s">
        <v>1039</v>
      </c>
      <c r="AI162" s="76"/>
      <c r="AJ162" s="76"/>
      <c r="AK162" s="76"/>
      <c r="AL162" s="76"/>
      <c r="AM162" s="76"/>
      <c r="AN162" s="76"/>
      <c r="AO162" s="76"/>
      <c r="AP162" s="76"/>
      <c r="AQ162" s="76"/>
      <c r="AR162" s="76"/>
      <c r="AS162" s="76"/>
      <c r="AT162" s="76"/>
      <c r="AU162" s="76"/>
      <c r="AV162" s="81" t="str">
        <f>HYPERLINK("https://pbs.twimg.com/profile_images/1637868337458733056/ttqXG4C6_normal.jpg")</f>
        <v>https://pbs.twimg.com/profile_images/1637868337458733056/ttqXG4C6_normal.jpg</v>
      </c>
      <c r="AW162" s="80" t="s">
        <v>1169</v>
      </c>
      <c r="AX162" s="80" t="s">
        <v>1170</v>
      </c>
      <c r="AY162" s="80" t="s">
        <v>1222</v>
      </c>
      <c r="AZ162" s="80" t="s">
        <v>1170</v>
      </c>
      <c r="BA162" s="80" t="s">
        <v>252</v>
      </c>
      <c r="BB162" s="80" t="s">
        <v>252</v>
      </c>
      <c r="BC162" s="80" t="s">
        <v>1170</v>
      </c>
      <c r="BD162" s="76">
        <v>46403338</v>
      </c>
      <c r="BE162" s="76"/>
      <c r="BF162" s="76"/>
      <c r="BG162" s="76"/>
      <c r="BH162" s="76"/>
      <c r="BI162" s="76"/>
      <c r="BJ162" s="76">
        <v>1</v>
      </c>
      <c r="BK162" s="75" t="str">
        <f>REPLACE(INDEX(GroupVertices[Group],MATCH("~"&amp;Edges[[#This Row],[Vertex 1]],GroupVertices[Vertex],0)),1,1,"")</f>
        <v>2</v>
      </c>
      <c r="BL162" s="75" t="str">
        <f>REPLACE(INDEX(GroupVertices[Group],MATCH("~"&amp;Edges[[#This Row],[Vertex 2]],GroupVertices[Vertex],0)),1,1,"")</f>
        <v>2</v>
      </c>
    </row>
    <row r="163" spans="1:64" ht="15">
      <c r="A163" s="61" t="s">
        <v>633</v>
      </c>
      <c r="B163" s="61" t="s">
        <v>685</v>
      </c>
      <c r="C163" s="62"/>
      <c r="D163" s="63"/>
      <c r="E163" s="64"/>
      <c r="F163" s="65"/>
      <c r="G163" s="62"/>
      <c r="H163" s="66"/>
      <c r="I163" s="67"/>
      <c r="J163" s="67"/>
      <c r="K163" s="31" t="s">
        <v>65</v>
      </c>
      <c r="L163" s="74">
        <v>163</v>
      </c>
      <c r="M163" s="74"/>
      <c r="N163" s="69"/>
      <c r="O163" s="76" t="s">
        <v>227</v>
      </c>
      <c r="P163" s="78">
        <v>44048.45751157407</v>
      </c>
      <c r="Q163" s="76" t="s">
        <v>814</v>
      </c>
      <c r="R163" s="76">
        <v>0</v>
      </c>
      <c r="S163" s="76">
        <v>3</v>
      </c>
      <c r="T163" s="76">
        <v>2</v>
      </c>
      <c r="U163" s="76">
        <v>2</v>
      </c>
      <c r="V163" s="76"/>
      <c r="W163" s="80" t="s">
        <v>852</v>
      </c>
      <c r="X163" s="81" t="str">
        <f>HYPERLINK("https://bit.ly/3fs59eV")</f>
        <v>https://bit.ly/3fs59eV</v>
      </c>
      <c r="Y163" s="76" t="s">
        <v>233</v>
      </c>
      <c r="Z163" s="76" t="s">
        <v>920</v>
      </c>
      <c r="AA163" s="76" t="s">
        <v>939</v>
      </c>
      <c r="AB163" s="76" t="s">
        <v>237</v>
      </c>
      <c r="AC163" s="80" t="s">
        <v>239</v>
      </c>
      <c r="AD163" s="76" t="s">
        <v>244</v>
      </c>
      <c r="AE163" s="81" t="str">
        <f>HYPERLINK("https://twitter.com/topdevelopersco/status/1290965478920208385")</f>
        <v>https://twitter.com/topdevelopersco/status/1290965478920208385</v>
      </c>
      <c r="AF163" s="78">
        <v>44048.45751157407</v>
      </c>
      <c r="AG163" s="85">
        <v>44048</v>
      </c>
      <c r="AH163" s="80" t="s">
        <v>411</v>
      </c>
      <c r="AI163" s="76" t="b">
        <v>0</v>
      </c>
      <c r="AJ163" s="76"/>
      <c r="AK163" s="76"/>
      <c r="AL163" s="76"/>
      <c r="AM163" s="76"/>
      <c r="AN163" s="76"/>
      <c r="AO163" s="76"/>
      <c r="AP163" s="76"/>
      <c r="AQ163" s="76" t="s">
        <v>1079</v>
      </c>
      <c r="AR163" s="76"/>
      <c r="AS163" s="76"/>
      <c r="AT163" s="76"/>
      <c r="AU163" s="76"/>
      <c r="AV163" s="81" t="str">
        <f>HYPERLINK("https://pbs.twimg.com/media/EepuQKMUcAA5RXj.png")</f>
        <v>https://pbs.twimg.com/media/EepuQKMUcAA5RXj.png</v>
      </c>
      <c r="AW163" s="80" t="s">
        <v>1170</v>
      </c>
      <c r="AX163" s="80" t="s">
        <v>1170</v>
      </c>
      <c r="AY163" s="76"/>
      <c r="AZ163" s="80" t="s">
        <v>252</v>
      </c>
      <c r="BA163" s="80" t="s">
        <v>252</v>
      </c>
      <c r="BB163" s="80" t="s">
        <v>252</v>
      </c>
      <c r="BC163" s="80" t="s">
        <v>1170</v>
      </c>
      <c r="BD163" s="80" t="s">
        <v>1222</v>
      </c>
      <c r="BE163" s="76"/>
      <c r="BF163" s="76"/>
      <c r="BG163" s="76"/>
      <c r="BH163" s="76"/>
      <c r="BI163" s="76"/>
      <c r="BJ163" s="76">
        <v>1</v>
      </c>
      <c r="BK163" s="75" t="str">
        <f>REPLACE(INDEX(GroupVertices[Group],MATCH("~"&amp;Edges[[#This Row],[Vertex 1]],GroupVertices[Vertex],0)),1,1,"")</f>
        <v>2</v>
      </c>
      <c r="BL163" s="75" t="str">
        <f>REPLACE(INDEX(GroupVertices[Group],MATCH("~"&amp;Edges[[#This Row],[Vertex 2]],GroupVertices[Vertex],0)),1,1,"")</f>
        <v>2</v>
      </c>
    </row>
    <row r="164" spans="1:64" ht="15">
      <c r="A164" s="61" t="s">
        <v>392</v>
      </c>
      <c r="B164" s="61" t="s">
        <v>686</v>
      </c>
      <c r="C164" s="62"/>
      <c r="D164" s="63"/>
      <c r="E164" s="64"/>
      <c r="F164" s="65"/>
      <c r="G164" s="62"/>
      <c r="H164" s="66"/>
      <c r="I164" s="67"/>
      <c r="J164" s="67"/>
      <c r="K164" s="31" t="s">
        <v>65</v>
      </c>
      <c r="L164" s="74">
        <v>164</v>
      </c>
      <c r="M164" s="74"/>
      <c r="N164" s="69"/>
      <c r="O164" s="76" t="s">
        <v>230</v>
      </c>
      <c r="P164" s="78">
        <v>44057.004791666666</v>
      </c>
      <c r="Q164" s="76" t="s">
        <v>812</v>
      </c>
      <c r="R164" s="76">
        <v>0</v>
      </c>
      <c r="S164" s="76">
        <v>0</v>
      </c>
      <c r="T164" s="76">
        <v>0</v>
      </c>
      <c r="U164" s="76">
        <v>0</v>
      </c>
      <c r="V164" s="76"/>
      <c r="W164" s="76"/>
      <c r="X164" s="76"/>
      <c r="Y164" s="76"/>
      <c r="Z164" s="76" t="s">
        <v>902</v>
      </c>
      <c r="AA164" s="76"/>
      <c r="AB164" s="76"/>
      <c r="AC164" s="80" t="s">
        <v>239</v>
      </c>
      <c r="AD164" s="76" t="s">
        <v>244</v>
      </c>
      <c r="AE164" s="81" t="str">
        <f>HYPERLINK("https://twitter.com/thriveagency/status/1294062908041605120")</f>
        <v>https://twitter.com/thriveagency/status/1294062908041605120</v>
      </c>
      <c r="AF164" s="78">
        <v>44057.004791666666</v>
      </c>
      <c r="AG164" s="85">
        <v>44057</v>
      </c>
      <c r="AH164" s="80" t="s">
        <v>1038</v>
      </c>
      <c r="AI164" s="76"/>
      <c r="AJ164" s="76"/>
      <c r="AK164" s="76"/>
      <c r="AL164" s="76"/>
      <c r="AM164" s="76"/>
      <c r="AN164" s="76"/>
      <c r="AO164" s="76"/>
      <c r="AP164" s="76"/>
      <c r="AQ164" s="76"/>
      <c r="AR164" s="76"/>
      <c r="AS164" s="76"/>
      <c r="AT164" s="76"/>
      <c r="AU164" s="76"/>
      <c r="AV164" s="81" t="str">
        <f>HYPERLINK("https://pbs.twimg.com/profile_images/1296790366083899392/evocoOcC_normal.jpg")</f>
        <v>https://pbs.twimg.com/profile_images/1296790366083899392/evocoOcC_normal.jpg</v>
      </c>
      <c r="AW164" s="80" t="s">
        <v>1168</v>
      </c>
      <c r="AX164" s="80" t="s">
        <v>1170</v>
      </c>
      <c r="AY164" s="80" t="s">
        <v>1222</v>
      </c>
      <c r="AZ164" s="80" t="s">
        <v>1170</v>
      </c>
      <c r="BA164" s="80" t="s">
        <v>252</v>
      </c>
      <c r="BB164" s="80" t="s">
        <v>252</v>
      </c>
      <c r="BC164" s="80" t="s">
        <v>1170</v>
      </c>
      <c r="BD164" s="76">
        <v>71281607</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2</v>
      </c>
    </row>
    <row r="165" spans="1:64" ht="15">
      <c r="A165" s="61" t="s">
        <v>635</v>
      </c>
      <c r="B165" s="61" t="s">
        <v>686</v>
      </c>
      <c r="C165" s="62"/>
      <c r="D165" s="63"/>
      <c r="E165" s="64"/>
      <c r="F165" s="65"/>
      <c r="G165" s="62"/>
      <c r="H165" s="66"/>
      <c r="I165" s="67"/>
      <c r="J165" s="67"/>
      <c r="K165" s="31" t="s">
        <v>65</v>
      </c>
      <c r="L165" s="74">
        <v>165</v>
      </c>
      <c r="M165" s="74"/>
      <c r="N165" s="69"/>
      <c r="O165" s="76" t="s">
        <v>230</v>
      </c>
      <c r="P165" s="78">
        <v>44048.888773148145</v>
      </c>
      <c r="Q165" s="76" t="s">
        <v>813</v>
      </c>
      <c r="R165" s="76">
        <v>0</v>
      </c>
      <c r="S165" s="76">
        <v>2</v>
      </c>
      <c r="T165" s="76">
        <v>0</v>
      </c>
      <c r="U165" s="76">
        <v>0</v>
      </c>
      <c r="V165" s="76"/>
      <c r="W165" s="76"/>
      <c r="X165" s="76"/>
      <c r="Y165" s="76"/>
      <c r="Z165" s="76" t="s">
        <v>919</v>
      </c>
      <c r="AA165" s="76"/>
      <c r="AB165" s="76"/>
      <c r="AC165" s="80" t="s">
        <v>239</v>
      </c>
      <c r="AD165" s="76" t="s">
        <v>244</v>
      </c>
      <c r="AE165" s="81" t="str">
        <f>HYPERLINK("https://twitter.com/leveronline/status/1291121760545517569")</f>
        <v>https://twitter.com/leveronline/status/1291121760545517569</v>
      </c>
      <c r="AF165" s="78">
        <v>44048.888773148145</v>
      </c>
      <c r="AG165" s="85">
        <v>44048</v>
      </c>
      <c r="AH165" s="80" t="s">
        <v>1039</v>
      </c>
      <c r="AI165" s="76"/>
      <c r="AJ165" s="76"/>
      <c r="AK165" s="76"/>
      <c r="AL165" s="76"/>
      <c r="AM165" s="76"/>
      <c r="AN165" s="76"/>
      <c r="AO165" s="76"/>
      <c r="AP165" s="76"/>
      <c r="AQ165" s="76"/>
      <c r="AR165" s="76"/>
      <c r="AS165" s="76"/>
      <c r="AT165" s="76"/>
      <c r="AU165" s="76"/>
      <c r="AV165" s="81" t="str">
        <f>HYPERLINK("https://pbs.twimg.com/profile_images/1637868337458733056/ttqXG4C6_normal.jpg")</f>
        <v>https://pbs.twimg.com/profile_images/1637868337458733056/ttqXG4C6_normal.jpg</v>
      </c>
      <c r="AW165" s="80" t="s">
        <v>1169</v>
      </c>
      <c r="AX165" s="80" t="s">
        <v>1170</v>
      </c>
      <c r="AY165" s="80" t="s">
        <v>1222</v>
      </c>
      <c r="AZ165" s="80" t="s">
        <v>1170</v>
      </c>
      <c r="BA165" s="80" t="s">
        <v>252</v>
      </c>
      <c r="BB165" s="80" t="s">
        <v>252</v>
      </c>
      <c r="BC165" s="80" t="s">
        <v>1170</v>
      </c>
      <c r="BD165" s="76">
        <v>46403338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2</v>
      </c>
    </row>
    <row r="166" spans="1:64" ht="15">
      <c r="A166" s="61" t="s">
        <v>633</v>
      </c>
      <c r="B166" s="61" t="s">
        <v>686</v>
      </c>
      <c r="C166" s="62"/>
      <c r="D166" s="63"/>
      <c r="E166" s="64"/>
      <c r="F166" s="65"/>
      <c r="G166" s="62"/>
      <c r="H166" s="66"/>
      <c r="I166" s="67"/>
      <c r="J166" s="67"/>
      <c r="K166" s="31" t="s">
        <v>65</v>
      </c>
      <c r="L166" s="74">
        <v>166</v>
      </c>
      <c r="M166" s="74"/>
      <c r="N166" s="69"/>
      <c r="O166" s="76" t="s">
        <v>227</v>
      </c>
      <c r="P166" s="78">
        <v>44048.45751157407</v>
      </c>
      <c r="Q166" s="76" t="s">
        <v>814</v>
      </c>
      <c r="R166" s="76">
        <v>0</v>
      </c>
      <c r="S166" s="76">
        <v>3</v>
      </c>
      <c r="T166" s="76">
        <v>2</v>
      </c>
      <c r="U166" s="76">
        <v>2</v>
      </c>
      <c r="V166" s="76"/>
      <c r="W166" s="80" t="s">
        <v>852</v>
      </c>
      <c r="X166" s="81" t="str">
        <f>HYPERLINK("https://bit.ly/3fs59eV")</f>
        <v>https://bit.ly/3fs59eV</v>
      </c>
      <c r="Y166" s="76" t="s">
        <v>233</v>
      </c>
      <c r="Z166" s="76" t="s">
        <v>920</v>
      </c>
      <c r="AA166" s="76" t="s">
        <v>939</v>
      </c>
      <c r="AB166" s="76" t="s">
        <v>237</v>
      </c>
      <c r="AC166" s="80" t="s">
        <v>239</v>
      </c>
      <c r="AD166" s="76" t="s">
        <v>244</v>
      </c>
      <c r="AE166" s="81" t="str">
        <f>HYPERLINK("https://twitter.com/topdevelopersco/status/1290965478920208385")</f>
        <v>https://twitter.com/topdevelopersco/status/1290965478920208385</v>
      </c>
      <c r="AF166" s="78">
        <v>44048.45751157407</v>
      </c>
      <c r="AG166" s="85">
        <v>44048</v>
      </c>
      <c r="AH166" s="80" t="s">
        <v>411</v>
      </c>
      <c r="AI166" s="76" t="b">
        <v>0</v>
      </c>
      <c r="AJ166" s="76"/>
      <c r="AK166" s="76"/>
      <c r="AL166" s="76"/>
      <c r="AM166" s="76"/>
      <c r="AN166" s="76"/>
      <c r="AO166" s="76"/>
      <c r="AP166" s="76"/>
      <c r="AQ166" s="76" t="s">
        <v>1079</v>
      </c>
      <c r="AR166" s="76"/>
      <c r="AS166" s="76"/>
      <c r="AT166" s="76"/>
      <c r="AU166" s="76"/>
      <c r="AV166" s="81" t="str">
        <f>HYPERLINK("https://pbs.twimg.com/media/EepuQKMUcAA5RXj.png")</f>
        <v>https://pbs.twimg.com/media/EepuQKMUcAA5RXj.png</v>
      </c>
      <c r="AW166" s="80" t="s">
        <v>1170</v>
      </c>
      <c r="AX166" s="80" t="s">
        <v>1170</v>
      </c>
      <c r="AY166" s="76"/>
      <c r="AZ166" s="80" t="s">
        <v>252</v>
      </c>
      <c r="BA166" s="80" t="s">
        <v>252</v>
      </c>
      <c r="BB166" s="80" t="s">
        <v>252</v>
      </c>
      <c r="BC166" s="80" t="s">
        <v>1170</v>
      </c>
      <c r="BD166" s="80" t="s">
        <v>1222</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2</v>
      </c>
    </row>
    <row r="167" spans="1:64" ht="15">
      <c r="A167" s="61" t="s">
        <v>392</v>
      </c>
      <c r="B167" s="61" t="s">
        <v>687</v>
      </c>
      <c r="C167" s="62"/>
      <c r="D167" s="63"/>
      <c r="E167" s="64"/>
      <c r="F167" s="65"/>
      <c r="G167" s="62"/>
      <c r="H167" s="66"/>
      <c r="I167" s="67"/>
      <c r="J167" s="67"/>
      <c r="K167" s="31" t="s">
        <v>65</v>
      </c>
      <c r="L167" s="74">
        <v>167</v>
      </c>
      <c r="M167" s="74"/>
      <c r="N167" s="69"/>
      <c r="O167" s="76" t="s">
        <v>230</v>
      </c>
      <c r="P167" s="78">
        <v>44057.004791666666</v>
      </c>
      <c r="Q167" s="76" t="s">
        <v>812</v>
      </c>
      <c r="R167" s="76">
        <v>0</v>
      </c>
      <c r="S167" s="76">
        <v>0</v>
      </c>
      <c r="T167" s="76">
        <v>0</v>
      </c>
      <c r="U167" s="76">
        <v>0</v>
      </c>
      <c r="V167" s="76"/>
      <c r="W167" s="76"/>
      <c r="X167" s="76"/>
      <c r="Y167" s="76"/>
      <c r="Z167" s="76" t="s">
        <v>902</v>
      </c>
      <c r="AA167" s="76"/>
      <c r="AB167" s="76"/>
      <c r="AC167" s="80" t="s">
        <v>239</v>
      </c>
      <c r="AD167" s="76" t="s">
        <v>244</v>
      </c>
      <c r="AE167" s="81" t="str">
        <f>HYPERLINK("https://twitter.com/thriveagency/status/1294062908041605120")</f>
        <v>https://twitter.com/thriveagency/status/1294062908041605120</v>
      </c>
      <c r="AF167" s="78">
        <v>44057.004791666666</v>
      </c>
      <c r="AG167" s="85">
        <v>44057</v>
      </c>
      <c r="AH167" s="80" t="s">
        <v>1038</v>
      </c>
      <c r="AI167" s="76"/>
      <c r="AJ167" s="76"/>
      <c r="AK167" s="76"/>
      <c r="AL167" s="76"/>
      <c r="AM167" s="76"/>
      <c r="AN167" s="76"/>
      <c r="AO167" s="76"/>
      <c r="AP167" s="76"/>
      <c r="AQ167" s="76"/>
      <c r="AR167" s="76"/>
      <c r="AS167" s="76"/>
      <c r="AT167" s="76"/>
      <c r="AU167" s="76"/>
      <c r="AV167" s="81" t="str">
        <f>HYPERLINK("https://pbs.twimg.com/profile_images/1296790366083899392/evocoOcC_normal.jpg")</f>
        <v>https://pbs.twimg.com/profile_images/1296790366083899392/evocoOcC_normal.jpg</v>
      </c>
      <c r="AW167" s="80" t="s">
        <v>1168</v>
      </c>
      <c r="AX167" s="80" t="s">
        <v>1170</v>
      </c>
      <c r="AY167" s="80" t="s">
        <v>1222</v>
      </c>
      <c r="AZ167" s="80" t="s">
        <v>1170</v>
      </c>
      <c r="BA167" s="80" t="s">
        <v>252</v>
      </c>
      <c r="BB167" s="80" t="s">
        <v>252</v>
      </c>
      <c r="BC167" s="80" t="s">
        <v>1170</v>
      </c>
      <c r="BD167" s="76">
        <v>71281607</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2</v>
      </c>
    </row>
    <row r="168" spans="1:64" ht="15">
      <c r="A168" s="61" t="s">
        <v>635</v>
      </c>
      <c r="B168" s="61" t="s">
        <v>687</v>
      </c>
      <c r="C168" s="62"/>
      <c r="D168" s="63"/>
      <c r="E168" s="64"/>
      <c r="F168" s="65"/>
      <c r="G168" s="62"/>
      <c r="H168" s="66"/>
      <c r="I168" s="67"/>
      <c r="J168" s="67"/>
      <c r="K168" s="31" t="s">
        <v>65</v>
      </c>
      <c r="L168" s="74">
        <v>168</v>
      </c>
      <c r="M168" s="74"/>
      <c r="N168" s="69"/>
      <c r="O168" s="76" t="s">
        <v>230</v>
      </c>
      <c r="P168" s="78">
        <v>44048.888773148145</v>
      </c>
      <c r="Q168" s="76" t="s">
        <v>813</v>
      </c>
      <c r="R168" s="76">
        <v>0</v>
      </c>
      <c r="S168" s="76">
        <v>2</v>
      </c>
      <c r="T168" s="76">
        <v>0</v>
      </c>
      <c r="U168" s="76">
        <v>0</v>
      </c>
      <c r="V168" s="76"/>
      <c r="W168" s="76"/>
      <c r="X168" s="76"/>
      <c r="Y168" s="76"/>
      <c r="Z168" s="76" t="s">
        <v>919</v>
      </c>
      <c r="AA168" s="76"/>
      <c r="AB168" s="76"/>
      <c r="AC168" s="80" t="s">
        <v>239</v>
      </c>
      <c r="AD168" s="76" t="s">
        <v>244</v>
      </c>
      <c r="AE168" s="81" t="str">
        <f>HYPERLINK("https://twitter.com/leveronline/status/1291121760545517569")</f>
        <v>https://twitter.com/leveronline/status/1291121760545517569</v>
      </c>
      <c r="AF168" s="78">
        <v>44048.888773148145</v>
      </c>
      <c r="AG168" s="85">
        <v>44048</v>
      </c>
      <c r="AH168" s="80" t="s">
        <v>1039</v>
      </c>
      <c r="AI168" s="76"/>
      <c r="AJ168" s="76"/>
      <c r="AK168" s="76"/>
      <c r="AL168" s="76"/>
      <c r="AM168" s="76"/>
      <c r="AN168" s="76"/>
      <c r="AO168" s="76"/>
      <c r="AP168" s="76"/>
      <c r="AQ168" s="76"/>
      <c r="AR168" s="76"/>
      <c r="AS168" s="76"/>
      <c r="AT168" s="76"/>
      <c r="AU168" s="76"/>
      <c r="AV168" s="81" t="str">
        <f>HYPERLINK("https://pbs.twimg.com/profile_images/1637868337458733056/ttqXG4C6_normal.jpg")</f>
        <v>https://pbs.twimg.com/profile_images/1637868337458733056/ttqXG4C6_normal.jpg</v>
      </c>
      <c r="AW168" s="80" t="s">
        <v>1169</v>
      </c>
      <c r="AX168" s="80" t="s">
        <v>1170</v>
      </c>
      <c r="AY168" s="80" t="s">
        <v>1222</v>
      </c>
      <c r="AZ168" s="80" t="s">
        <v>1170</v>
      </c>
      <c r="BA168" s="80" t="s">
        <v>252</v>
      </c>
      <c r="BB168" s="80" t="s">
        <v>252</v>
      </c>
      <c r="BC168" s="80" t="s">
        <v>1170</v>
      </c>
      <c r="BD168" s="76">
        <v>46403338</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row>
    <row r="169" spans="1:64" ht="15">
      <c r="A169" s="61" t="s">
        <v>633</v>
      </c>
      <c r="B169" s="61" t="s">
        <v>687</v>
      </c>
      <c r="C169" s="62"/>
      <c r="D169" s="63"/>
      <c r="E169" s="64"/>
      <c r="F169" s="65"/>
      <c r="G169" s="62"/>
      <c r="H169" s="66"/>
      <c r="I169" s="67"/>
      <c r="J169" s="67"/>
      <c r="K169" s="31" t="s">
        <v>65</v>
      </c>
      <c r="L169" s="74">
        <v>169</v>
      </c>
      <c r="M169" s="74"/>
      <c r="N169" s="69"/>
      <c r="O169" s="76" t="s">
        <v>227</v>
      </c>
      <c r="P169" s="78">
        <v>44048.45751157407</v>
      </c>
      <c r="Q169" s="76" t="s">
        <v>814</v>
      </c>
      <c r="R169" s="76">
        <v>0</v>
      </c>
      <c r="S169" s="76">
        <v>3</v>
      </c>
      <c r="T169" s="76">
        <v>2</v>
      </c>
      <c r="U169" s="76">
        <v>2</v>
      </c>
      <c r="V169" s="76"/>
      <c r="W169" s="80" t="s">
        <v>852</v>
      </c>
      <c r="X169" s="81" t="str">
        <f>HYPERLINK("https://bit.ly/3fs59eV")</f>
        <v>https://bit.ly/3fs59eV</v>
      </c>
      <c r="Y169" s="76" t="s">
        <v>233</v>
      </c>
      <c r="Z169" s="76" t="s">
        <v>920</v>
      </c>
      <c r="AA169" s="76" t="s">
        <v>939</v>
      </c>
      <c r="AB169" s="76" t="s">
        <v>237</v>
      </c>
      <c r="AC169" s="80" t="s">
        <v>239</v>
      </c>
      <c r="AD169" s="76" t="s">
        <v>244</v>
      </c>
      <c r="AE169" s="81" t="str">
        <f>HYPERLINK("https://twitter.com/topdevelopersco/status/1290965478920208385")</f>
        <v>https://twitter.com/topdevelopersco/status/1290965478920208385</v>
      </c>
      <c r="AF169" s="78">
        <v>44048.45751157407</v>
      </c>
      <c r="AG169" s="85">
        <v>44048</v>
      </c>
      <c r="AH169" s="80" t="s">
        <v>411</v>
      </c>
      <c r="AI169" s="76" t="b">
        <v>0</v>
      </c>
      <c r="AJ169" s="76"/>
      <c r="AK169" s="76"/>
      <c r="AL169" s="76"/>
      <c r="AM169" s="76"/>
      <c r="AN169" s="76"/>
      <c r="AO169" s="76"/>
      <c r="AP169" s="76"/>
      <c r="AQ169" s="76" t="s">
        <v>1079</v>
      </c>
      <c r="AR169" s="76"/>
      <c r="AS169" s="76"/>
      <c r="AT169" s="76"/>
      <c r="AU169" s="76"/>
      <c r="AV169" s="81" t="str">
        <f>HYPERLINK("https://pbs.twimg.com/media/EepuQKMUcAA5RXj.png")</f>
        <v>https://pbs.twimg.com/media/EepuQKMUcAA5RXj.png</v>
      </c>
      <c r="AW169" s="80" t="s">
        <v>1170</v>
      </c>
      <c r="AX169" s="80" t="s">
        <v>1170</v>
      </c>
      <c r="AY169" s="76"/>
      <c r="AZ169" s="80" t="s">
        <v>252</v>
      </c>
      <c r="BA169" s="80" t="s">
        <v>252</v>
      </c>
      <c r="BB169" s="80" t="s">
        <v>252</v>
      </c>
      <c r="BC169" s="80" t="s">
        <v>1170</v>
      </c>
      <c r="BD169" s="80" t="s">
        <v>1222</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2</v>
      </c>
    </row>
    <row r="170" spans="1:64" ht="15">
      <c r="A170" s="61" t="s">
        <v>392</v>
      </c>
      <c r="B170" s="61" t="s">
        <v>688</v>
      </c>
      <c r="C170" s="62"/>
      <c r="D170" s="63"/>
      <c r="E170" s="64"/>
      <c r="F170" s="65"/>
      <c r="G170" s="62"/>
      <c r="H170" s="66"/>
      <c r="I170" s="67"/>
      <c r="J170" s="67"/>
      <c r="K170" s="31" t="s">
        <v>65</v>
      </c>
      <c r="L170" s="74">
        <v>170</v>
      </c>
      <c r="M170" s="74"/>
      <c r="N170" s="69"/>
      <c r="O170" s="76" t="s">
        <v>230</v>
      </c>
      <c r="P170" s="78">
        <v>44057.004791666666</v>
      </c>
      <c r="Q170" s="76" t="s">
        <v>812</v>
      </c>
      <c r="R170" s="76">
        <v>0</v>
      </c>
      <c r="S170" s="76">
        <v>0</v>
      </c>
      <c r="T170" s="76">
        <v>0</v>
      </c>
      <c r="U170" s="76">
        <v>0</v>
      </c>
      <c r="V170" s="76"/>
      <c r="W170" s="76"/>
      <c r="X170" s="76"/>
      <c r="Y170" s="76"/>
      <c r="Z170" s="76" t="s">
        <v>902</v>
      </c>
      <c r="AA170" s="76"/>
      <c r="AB170" s="76"/>
      <c r="AC170" s="80" t="s">
        <v>239</v>
      </c>
      <c r="AD170" s="76" t="s">
        <v>244</v>
      </c>
      <c r="AE170" s="81" t="str">
        <f>HYPERLINK("https://twitter.com/thriveagency/status/1294062908041605120")</f>
        <v>https://twitter.com/thriveagency/status/1294062908041605120</v>
      </c>
      <c r="AF170" s="78">
        <v>44057.004791666666</v>
      </c>
      <c r="AG170" s="85">
        <v>44057</v>
      </c>
      <c r="AH170" s="80" t="s">
        <v>1038</v>
      </c>
      <c r="AI170" s="76"/>
      <c r="AJ170" s="76"/>
      <c r="AK170" s="76"/>
      <c r="AL170" s="76"/>
      <c r="AM170" s="76"/>
      <c r="AN170" s="76"/>
      <c r="AO170" s="76"/>
      <c r="AP170" s="76"/>
      <c r="AQ170" s="76"/>
      <c r="AR170" s="76"/>
      <c r="AS170" s="76"/>
      <c r="AT170" s="76"/>
      <c r="AU170" s="76"/>
      <c r="AV170" s="81" t="str">
        <f>HYPERLINK("https://pbs.twimg.com/profile_images/1296790366083899392/evocoOcC_normal.jpg")</f>
        <v>https://pbs.twimg.com/profile_images/1296790366083899392/evocoOcC_normal.jpg</v>
      </c>
      <c r="AW170" s="80" t="s">
        <v>1168</v>
      </c>
      <c r="AX170" s="80" t="s">
        <v>1170</v>
      </c>
      <c r="AY170" s="80" t="s">
        <v>1222</v>
      </c>
      <c r="AZ170" s="80" t="s">
        <v>1170</v>
      </c>
      <c r="BA170" s="80" t="s">
        <v>252</v>
      </c>
      <c r="BB170" s="80" t="s">
        <v>252</v>
      </c>
      <c r="BC170" s="80" t="s">
        <v>1170</v>
      </c>
      <c r="BD170" s="76">
        <v>71281607</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2</v>
      </c>
    </row>
    <row r="171" spans="1:64" ht="15">
      <c r="A171" s="61" t="s">
        <v>635</v>
      </c>
      <c r="B171" s="61" t="s">
        <v>688</v>
      </c>
      <c r="C171" s="62"/>
      <c r="D171" s="63"/>
      <c r="E171" s="64"/>
      <c r="F171" s="65"/>
      <c r="G171" s="62"/>
      <c r="H171" s="66"/>
      <c r="I171" s="67"/>
      <c r="J171" s="67"/>
      <c r="K171" s="31" t="s">
        <v>65</v>
      </c>
      <c r="L171" s="74">
        <v>171</v>
      </c>
      <c r="M171" s="74"/>
      <c r="N171" s="69"/>
      <c r="O171" s="76" t="s">
        <v>230</v>
      </c>
      <c r="P171" s="78">
        <v>44048.888773148145</v>
      </c>
      <c r="Q171" s="76" t="s">
        <v>813</v>
      </c>
      <c r="R171" s="76">
        <v>0</v>
      </c>
      <c r="S171" s="76">
        <v>2</v>
      </c>
      <c r="T171" s="76">
        <v>0</v>
      </c>
      <c r="U171" s="76">
        <v>0</v>
      </c>
      <c r="V171" s="76"/>
      <c r="W171" s="76"/>
      <c r="X171" s="76"/>
      <c r="Y171" s="76"/>
      <c r="Z171" s="76" t="s">
        <v>919</v>
      </c>
      <c r="AA171" s="76"/>
      <c r="AB171" s="76"/>
      <c r="AC171" s="80" t="s">
        <v>239</v>
      </c>
      <c r="AD171" s="76" t="s">
        <v>244</v>
      </c>
      <c r="AE171" s="81" t="str">
        <f>HYPERLINK("https://twitter.com/leveronline/status/1291121760545517569")</f>
        <v>https://twitter.com/leveronline/status/1291121760545517569</v>
      </c>
      <c r="AF171" s="78">
        <v>44048.888773148145</v>
      </c>
      <c r="AG171" s="85">
        <v>44048</v>
      </c>
      <c r="AH171" s="80" t="s">
        <v>1039</v>
      </c>
      <c r="AI171" s="76"/>
      <c r="AJ171" s="76"/>
      <c r="AK171" s="76"/>
      <c r="AL171" s="76"/>
      <c r="AM171" s="76"/>
      <c r="AN171" s="76"/>
      <c r="AO171" s="76"/>
      <c r="AP171" s="76"/>
      <c r="AQ171" s="76"/>
      <c r="AR171" s="76"/>
      <c r="AS171" s="76"/>
      <c r="AT171" s="76"/>
      <c r="AU171" s="76"/>
      <c r="AV171" s="81" t="str">
        <f>HYPERLINK("https://pbs.twimg.com/profile_images/1637868337458733056/ttqXG4C6_normal.jpg")</f>
        <v>https://pbs.twimg.com/profile_images/1637868337458733056/ttqXG4C6_normal.jpg</v>
      </c>
      <c r="AW171" s="80" t="s">
        <v>1169</v>
      </c>
      <c r="AX171" s="80" t="s">
        <v>1170</v>
      </c>
      <c r="AY171" s="80" t="s">
        <v>1222</v>
      </c>
      <c r="AZ171" s="80" t="s">
        <v>1170</v>
      </c>
      <c r="BA171" s="80" t="s">
        <v>252</v>
      </c>
      <c r="BB171" s="80" t="s">
        <v>252</v>
      </c>
      <c r="BC171" s="80" t="s">
        <v>1170</v>
      </c>
      <c r="BD171" s="76">
        <v>46403338</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2</v>
      </c>
    </row>
    <row r="172" spans="1:64" ht="15">
      <c r="A172" s="61" t="s">
        <v>633</v>
      </c>
      <c r="B172" s="61" t="s">
        <v>688</v>
      </c>
      <c r="C172" s="62"/>
      <c r="D172" s="63"/>
      <c r="E172" s="64"/>
      <c r="F172" s="65"/>
      <c r="G172" s="62"/>
      <c r="H172" s="66"/>
      <c r="I172" s="67"/>
      <c r="J172" s="67"/>
      <c r="K172" s="31" t="s">
        <v>65</v>
      </c>
      <c r="L172" s="74">
        <v>172</v>
      </c>
      <c r="M172" s="74"/>
      <c r="N172" s="69"/>
      <c r="O172" s="76" t="s">
        <v>227</v>
      </c>
      <c r="P172" s="78">
        <v>44048.45751157407</v>
      </c>
      <c r="Q172" s="76" t="s">
        <v>814</v>
      </c>
      <c r="R172" s="76">
        <v>0</v>
      </c>
      <c r="S172" s="76">
        <v>3</v>
      </c>
      <c r="T172" s="76">
        <v>2</v>
      </c>
      <c r="U172" s="76">
        <v>2</v>
      </c>
      <c r="V172" s="76"/>
      <c r="W172" s="80" t="s">
        <v>852</v>
      </c>
      <c r="X172" s="81" t="str">
        <f>HYPERLINK("https://bit.ly/3fs59eV")</f>
        <v>https://bit.ly/3fs59eV</v>
      </c>
      <c r="Y172" s="76" t="s">
        <v>233</v>
      </c>
      <c r="Z172" s="76" t="s">
        <v>920</v>
      </c>
      <c r="AA172" s="76" t="s">
        <v>939</v>
      </c>
      <c r="AB172" s="76" t="s">
        <v>237</v>
      </c>
      <c r="AC172" s="80" t="s">
        <v>239</v>
      </c>
      <c r="AD172" s="76" t="s">
        <v>244</v>
      </c>
      <c r="AE172" s="81" t="str">
        <f>HYPERLINK("https://twitter.com/topdevelopersco/status/1290965478920208385")</f>
        <v>https://twitter.com/topdevelopersco/status/1290965478920208385</v>
      </c>
      <c r="AF172" s="78">
        <v>44048.45751157407</v>
      </c>
      <c r="AG172" s="85">
        <v>44048</v>
      </c>
      <c r="AH172" s="80" t="s">
        <v>411</v>
      </c>
      <c r="AI172" s="76" t="b">
        <v>0</v>
      </c>
      <c r="AJ172" s="76"/>
      <c r="AK172" s="76"/>
      <c r="AL172" s="76"/>
      <c r="AM172" s="76"/>
      <c r="AN172" s="76"/>
      <c r="AO172" s="76"/>
      <c r="AP172" s="76"/>
      <c r="AQ172" s="76" t="s">
        <v>1079</v>
      </c>
      <c r="AR172" s="76"/>
      <c r="AS172" s="76"/>
      <c r="AT172" s="76"/>
      <c r="AU172" s="76"/>
      <c r="AV172" s="81" t="str">
        <f>HYPERLINK("https://pbs.twimg.com/media/EepuQKMUcAA5RXj.png")</f>
        <v>https://pbs.twimg.com/media/EepuQKMUcAA5RXj.png</v>
      </c>
      <c r="AW172" s="80" t="s">
        <v>1170</v>
      </c>
      <c r="AX172" s="80" t="s">
        <v>1170</v>
      </c>
      <c r="AY172" s="76"/>
      <c r="AZ172" s="80" t="s">
        <v>252</v>
      </c>
      <c r="BA172" s="80" t="s">
        <v>252</v>
      </c>
      <c r="BB172" s="80" t="s">
        <v>252</v>
      </c>
      <c r="BC172" s="80" t="s">
        <v>1170</v>
      </c>
      <c r="BD172" s="80" t="s">
        <v>1222</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2</v>
      </c>
    </row>
    <row r="173" spans="1:64" ht="15">
      <c r="A173" s="61" t="s">
        <v>392</v>
      </c>
      <c r="B173" s="61" t="s">
        <v>635</v>
      </c>
      <c r="C173" s="62"/>
      <c r="D173" s="63"/>
      <c r="E173" s="64"/>
      <c r="F173" s="65"/>
      <c r="G173" s="62"/>
      <c r="H173" s="66"/>
      <c r="I173" s="67"/>
      <c r="J173" s="67"/>
      <c r="K173" s="31" t="s">
        <v>66</v>
      </c>
      <c r="L173" s="74">
        <v>173</v>
      </c>
      <c r="M173" s="74"/>
      <c r="N173" s="69"/>
      <c r="O173" s="76" t="s">
        <v>230</v>
      </c>
      <c r="P173" s="78">
        <v>44057.004791666666</v>
      </c>
      <c r="Q173" s="76" t="s">
        <v>812</v>
      </c>
      <c r="R173" s="76">
        <v>0</v>
      </c>
      <c r="S173" s="76">
        <v>0</v>
      </c>
      <c r="T173" s="76">
        <v>0</v>
      </c>
      <c r="U173" s="76">
        <v>0</v>
      </c>
      <c r="V173" s="76"/>
      <c r="W173" s="76"/>
      <c r="X173" s="76"/>
      <c r="Y173" s="76"/>
      <c r="Z173" s="76" t="s">
        <v>902</v>
      </c>
      <c r="AA173" s="76"/>
      <c r="AB173" s="76"/>
      <c r="AC173" s="80" t="s">
        <v>239</v>
      </c>
      <c r="AD173" s="76" t="s">
        <v>244</v>
      </c>
      <c r="AE173" s="81" t="str">
        <f>HYPERLINK("https://twitter.com/thriveagency/status/1294062908041605120")</f>
        <v>https://twitter.com/thriveagency/status/1294062908041605120</v>
      </c>
      <c r="AF173" s="78">
        <v>44057.004791666666</v>
      </c>
      <c r="AG173" s="85">
        <v>44057</v>
      </c>
      <c r="AH173" s="80" t="s">
        <v>1038</v>
      </c>
      <c r="AI173" s="76"/>
      <c r="AJ173" s="76"/>
      <c r="AK173" s="76"/>
      <c r="AL173" s="76"/>
      <c r="AM173" s="76"/>
      <c r="AN173" s="76"/>
      <c r="AO173" s="76"/>
      <c r="AP173" s="76"/>
      <c r="AQ173" s="76"/>
      <c r="AR173" s="76"/>
      <c r="AS173" s="76"/>
      <c r="AT173" s="76"/>
      <c r="AU173" s="76"/>
      <c r="AV173" s="81" t="str">
        <f>HYPERLINK("https://pbs.twimg.com/profile_images/1296790366083899392/evocoOcC_normal.jpg")</f>
        <v>https://pbs.twimg.com/profile_images/1296790366083899392/evocoOcC_normal.jpg</v>
      </c>
      <c r="AW173" s="80" t="s">
        <v>1168</v>
      </c>
      <c r="AX173" s="80" t="s">
        <v>1170</v>
      </c>
      <c r="AY173" s="80" t="s">
        <v>1222</v>
      </c>
      <c r="AZ173" s="80" t="s">
        <v>1170</v>
      </c>
      <c r="BA173" s="80" t="s">
        <v>252</v>
      </c>
      <c r="BB173" s="80" t="s">
        <v>252</v>
      </c>
      <c r="BC173" s="80" t="s">
        <v>1170</v>
      </c>
      <c r="BD173" s="76">
        <v>71281607</v>
      </c>
      <c r="BE173" s="76"/>
      <c r="BF173" s="76"/>
      <c r="BG173" s="76"/>
      <c r="BH173" s="76"/>
      <c r="BI173" s="76"/>
      <c r="BJ173" s="76">
        <v>1</v>
      </c>
      <c r="BK173" s="75" t="str">
        <f>REPLACE(INDEX(GroupVertices[Group],MATCH("~"&amp;Edges[[#This Row],[Vertex 1]],GroupVertices[Vertex],0)),1,1,"")</f>
        <v>2</v>
      </c>
      <c r="BL173" s="75" t="str">
        <f>REPLACE(INDEX(GroupVertices[Group],MATCH("~"&amp;Edges[[#This Row],[Vertex 2]],GroupVertices[Vertex],0)),1,1,"")</f>
        <v>2</v>
      </c>
    </row>
    <row r="174" spans="1:64" ht="15">
      <c r="A174" s="61" t="s">
        <v>635</v>
      </c>
      <c r="B174" s="61" t="s">
        <v>224</v>
      </c>
      <c r="C174" s="62"/>
      <c r="D174" s="63"/>
      <c r="E174" s="64"/>
      <c r="F174" s="65"/>
      <c r="G174" s="62"/>
      <c r="H174" s="66"/>
      <c r="I174" s="67"/>
      <c r="J174" s="67"/>
      <c r="K174" s="31" t="s">
        <v>65</v>
      </c>
      <c r="L174" s="74">
        <v>174</v>
      </c>
      <c r="M174" s="74"/>
      <c r="N174" s="69"/>
      <c r="O174" s="76" t="s">
        <v>230</v>
      </c>
      <c r="P174" s="78">
        <v>44048.888773148145</v>
      </c>
      <c r="Q174" s="76" t="s">
        <v>813</v>
      </c>
      <c r="R174" s="76">
        <v>0</v>
      </c>
      <c r="S174" s="76">
        <v>2</v>
      </c>
      <c r="T174" s="76">
        <v>0</v>
      </c>
      <c r="U174" s="76">
        <v>0</v>
      </c>
      <c r="V174" s="76"/>
      <c r="W174" s="76"/>
      <c r="X174" s="76"/>
      <c r="Y174" s="76"/>
      <c r="Z174" s="76" t="s">
        <v>919</v>
      </c>
      <c r="AA174" s="76"/>
      <c r="AB174" s="76"/>
      <c r="AC174" s="80" t="s">
        <v>239</v>
      </c>
      <c r="AD174" s="76" t="s">
        <v>244</v>
      </c>
      <c r="AE174" s="81" t="str">
        <f>HYPERLINK("https://twitter.com/leveronline/status/1291121760545517569")</f>
        <v>https://twitter.com/leveronline/status/1291121760545517569</v>
      </c>
      <c r="AF174" s="78">
        <v>44048.888773148145</v>
      </c>
      <c r="AG174" s="85">
        <v>44048</v>
      </c>
      <c r="AH174" s="80" t="s">
        <v>1039</v>
      </c>
      <c r="AI174" s="76"/>
      <c r="AJ174" s="76"/>
      <c r="AK174" s="76"/>
      <c r="AL174" s="76"/>
      <c r="AM174" s="76"/>
      <c r="AN174" s="76"/>
      <c r="AO174" s="76"/>
      <c r="AP174" s="76"/>
      <c r="AQ174" s="76"/>
      <c r="AR174" s="76"/>
      <c r="AS174" s="76"/>
      <c r="AT174" s="76"/>
      <c r="AU174" s="76"/>
      <c r="AV174" s="81" t="str">
        <f>HYPERLINK("https://pbs.twimg.com/profile_images/1637868337458733056/ttqXG4C6_normal.jpg")</f>
        <v>https://pbs.twimg.com/profile_images/1637868337458733056/ttqXG4C6_normal.jpg</v>
      </c>
      <c r="AW174" s="80" t="s">
        <v>1169</v>
      </c>
      <c r="AX174" s="80" t="s">
        <v>1170</v>
      </c>
      <c r="AY174" s="80" t="s">
        <v>1222</v>
      </c>
      <c r="AZ174" s="80" t="s">
        <v>1170</v>
      </c>
      <c r="BA174" s="80" t="s">
        <v>252</v>
      </c>
      <c r="BB174" s="80" t="s">
        <v>252</v>
      </c>
      <c r="BC174" s="80" t="s">
        <v>1170</v>
      </c>
      <c r="BD174" s="76">
        <v>46403338</v>
      </c>
      <c r="BE174" s="76"/>
      <c r="BF174" s="76"/>
      <c r="BG174" s="76"/>
      <c r="BH174" s="76"/>
      <c r="BI174" s="76"/>
      <c r="BJ174" s="76">
        <v>1</v>
      </c>
      <c r="BK174" s="75" t="str">
        <f>REPLACE(INDEX(GroupVertices[Group],MATCH("~"&amp;Edges[[#This Row],[Vertex 1]],GroupVertices[Vertex],0)),1,1,"")</f>
        <v>2</v>
      </c>
      <c r="BL174" s="75" t="str">
        <f>REPLACE(INDEX(GroupVertices[Group],MATCH("~"&amp;Edges[[#This Row],[Vertex 2]],GroupVertices[Vertex],0)),1,1,"")</f>
        <v>1</v>
      </c>
    </row>
    <row r="175" spans="1:64" ht="15">
      <c r="A175" s="61" t="s">
        <v>635</v>
      </c>
      <c r="B175" s="61" t="s">
        <v>392</v>
      </c>
      <c r="C175" s="62"/>
      <c r="D175" s="63"/>
      <c r="E175" s="64"/>
      <c r="F175" s="65"/>
      <c r="G175" s="62"/>
      <c r="H175" s="66"/>
      <c r="I175" s="67"/>
      <c r="J175" s="67"/>
      <c r="K175" s="31" t="s">
        <v>66</v>
      </c>
      <c r="L175" s="74">
        <v>175</v>
      </c>
      <c r="M175" s="74"/>
      <c r="N175" s="69"/>
      <c r="O175" s="76" t="s">
        <v>230</v>
      </c>
      <c r="P175" s="78">
        <v>44048.888773148145</v>
      </c>
      <c r="Q175" s="76" t="s">
        <v>813</v>
      </c>
      <c r="R175" s="76">
        <v>0</v>
      </c>
      <c r="S175" s="76">
        <v>2</v>
      </c>
      <c r="T175" s="76">
        <v>0</v>
      </c>
      <c r="U175" s="76">
        <v>0</v>
      </c>
      <c r="V175" s="76"/>
      <c r="W175" s="76"/>
      <c r="X175" s="76"/>
      <c r="Y175" s="76"/>
      <c r="Z175" s="76" t="s">
        <v>919</v>
      </c>
      <c r="AA175" s="76"/>
      <c r="AB175" s="76"/>
      <c r="AC175" s="80" t="s">
        <v>239</v>
      </c>
      <c r="AD175" s="76" t="s">
        <v>244</v>
      </c>
      <c r="AE175" s="81" t="str">
        <f>HYPERLINK("https://twitter.com/leveronline/status/1291121760545517569")</f>
        <v>https://twitter.com/leveronline/status/1291121760545517569</v>
      </c>
      <c r="AF175" s="78">
        <v>44048.888773148145</v>
      </c>
      <c r="AG175" s="85">
        <v>44048</v>
      </c>
      <c r="AH175" s="80" t="s">
        <v>1039</v>
      </c>
      <c r="AI175" s="76"/>
      <c r="AJ175" s="76"/>
      <c r="AK175" s="76"/>
      <c r="AL175" s="76"/>
      <c r="AM175" s="76"/>
      <c r="AN175" s="76"/>
      <c r="AO175" s="76"/>
      <c r="AP175" s="76"/>
      <c r="AQ175" s="76"/>
      <c r="AR175" s="76"/>
      <c r="AS175" s="76"/>
      <c r="AT175" s="76"/>
      <c r="AU175" s="76"/>
      <c r="AV175" s="81" t="str">
        <f>HYPERLINK("https://pbs.twimg.com/profile_images/1637868337458733056/ttqXG4C6_normal.jpg")</f>
        <v>https://pbs.twimg.com/profile_images/1637868337458733056/ttqXG4C6_normal.jpg</v>
      </c>
      <c r="AW175" s="80" t="s">
        <v>1169</v>
      </c>
      <c r="AX175" s="80" t="s">
        <v>1170</v>
      </c>
      <c r="AY175" s="80" t="s">
        <v>1222</v>
      </c>
      <c r="AZ175" s="80" t="s">
        <v>1170</v>
      </c>
      <c r="BA175" s="80" t="s">
        <v>252</v>
      </c>
      <c r="BB175" s="80" t="s">
        <v>252</v>
      </c>
      <c r="BC175" s="80" t="s">
        <v>1170</v>
      </c>
      <c r="BD175" s="76">
        <v>46403338</v>
      </c>
      <c r="BE175" s="76"/>
      <c r="BF175" s="76"/>
      <c r="BG175" s="76"/>
      <c r="BH175" s="76"/>
      <c r="BI175" s="76"/>
      <c r="BJ175" s="76">
        <v>1</v>
      </c>
      <c r="BK175" s="75" t="str">
        <f>REPLACE(INDEX(GroupVertices[Group],MATCH("~"&amp;Edges[[#This Row],[Vertex 1]],GroupVertices[Vertex],0)),1,1,"")</f>
        <v>2</v>
      </c>
      <c r="BL175" s="75" t="str">
        <f>REPLACE(INDEX(GroupVertices[Group],MATCH("~"&amp;Edges[[#This Row],[Vertex 2]],GroupVertices[Vertex],0)),1,1,"")</f>
        <v>2</v>
      </c>
    </row>
    <row r="176" spans="1:64" ht="15">
      <c r="A176" s="61" t="s">
        <v>635</v>
      </c>
      <c r="B176" s="61" t="s">
        <v>633</v>
      </c>
      <c r="C176" s="62"/>
      <c r="D176" s="63"/>
      <c r="E176" s="64"/>
      <c r="F176" s="65"/>
      <c r="G176" s="62"/>
      <c r="H176" s="66"/>
      <c r="I176" s="67"/>
      <c r="J176" s="67"/>
      <c r="K176" s="31" t="s">
        <v>66</v>
      </c>
      <c r="L176" s="74">
        <v>176</v>
      </c>
      <c r="M176" s="74"/>
      <c r="N176" s="69"/>
      <c r="O176" s="76" t="s">
        <v>228</v>
      </c>
      <c r="P176" s="78">
        <v>44048.888773148145</v>
      </c>
      <c r="Q176" s="76" t="s">
        <v>813</v>
      </c>
      <c r="R176" s="76">
        <v>0</v>
      </c>
      <c r="S176" s="76">
        <v>2</v>
      </c>
      <c r="T176" s="76">
        <v>0</v>
      </c>
      <c r="U176" s="76">
        <v>0</v>
      </c>
      <c r="V176" s="76"/>
      <c r="W176" s="76"/>
      <c r="X176" s="76"/>
      <c r="Y176" s="76"/>
      <c r="Z176" s="76" t="s">
        <v>919</v>
      </c>
      <c r="AA176" s="76"/>
      <c r="AB176" s="76"/>
      <c r="AC176" s="80" t="s">
        <v>239</v>
      </c>
      <c r="AD176" s="76" t="s">
        <v>244</v>
      </c>
      <c r="AE176" s="81" t="str">
        <f>HYPERLINK("https://twitter.com/leveronline/status/1291121760545517569")</f>
        <v>https://twitter.com/leveronline/status/1291121760545517569</v>
      </c>
      <c r="AF176" s="78">
        <v>44048.888773148145</v>
      </c>
      <c r="AG176" s="85">
        <v>44048</v>
      </c>
      <c r="AH176" s="80" t="s">
        <v>1039</v>
      </c>
      <c r="AI176" s="76"/>
      <c r="AJ176" s="76"/>
      <c r="AK176" s="76"/>
      <c r="AL176" s="76"/>
      <c r="AM176" s="76"/>
      <c r="AN176" s="76"/>
      <c r="AO176" s="76"/>
      <c r="AP176" s="76"/>
      <c r="AQ176" s="76"/>
      <c r="AR176" s="76"/>
      <c r="AS176" s="76"/>
      <c r="AT176" s="76"/>
      <c r="AU176" s="76"/>
      <c r="AV176" s="81" t="str">
        <f>HYPERLINK("https://pbs.twimg.com/profile_images/1637868337458733056/ttqXG4C6_normal.jpg")</f>
        <v>https://pbs.twimg.com/profile_images/1637868337458733056/ttqXG4C6_normal.jpg</v>
      </c>
      <c r="AW176" s="80" t="s">
        <v>1169</v>
      </c>
      <c r="AX176" s="80" t="s">
        <v>1170</v>
      </c>
      <c r="AY176" s="80" t="s">
        <v>1222</v>
      </c>
      <c r="AZ176" s="80" t="s">
        <v>1170</v>
      </c>
      <c r="BA176" s="80" t="s">
        <v>252</v>
      </c>
      <c r="BB176" s="80" t="s">
        <v>252</v>
      </c>
      <c r="BC176" s="80" t="s">
        <v>1170</v>
      </c>
      <c r="BD176" s="76">
        <v>46403338</v>
      </c>
      <c r="BE176" s="76"/>
      <c r="BF176" s="76"/>
      <c r="BG176" s="76"/>
      <c r="BH176" s="76"/>
      <c r="BI176" s="76"/>
      <c r="BJ176" s="76">
        <v>1</v>
      </c>
      <c r="BK176" s="75" t="str">
        <f>REPLACE(INDEX(GroupVertices[Group],MATCH("~"&amp;Edges[[#This Row],[Vertex 1]],GroupVertices[Vertex],0)),1,1,"")</f>
        <v>2</v>
      </c>
      <c r="BL176" s="75" t="str">
        <f>REPLACE(INDEX(GroupVertices[Group],MATCH("~"&amp;Edges[[#This Row],[Vertex 2]],GroupVertices[Vertex],0)),1,1,"")</f>
        <v>2</v>
      </c>
    </row>
    <row r="177" spans="1:64" ht="15">
      <c r="A177" s="61" t="s">
        <v>633</v>
      </c>
      <c r="B177" s="61" t="s">
        <v>635</v>
      </c>
      <c r="C177" s="62"/>
      <c r="D177" s="63"/>
      <c r="E177" s="64"/>
      <c r="F177" s="65"/>
      <c r="G177" s="62"/>
      <c r="H177" s="66"/>
      <c r="I177" s="67"/>
      <c r="J177" s="67"/>
      <c r="K177" s="31" t="s">
        <v>66</v>
      </c>
      <c r="L177" s="74">
        <v>177</v>
      </c>
      <c r="M177" s="74"/>
      <c r="N177" s="69"/>
      <c r="O177" s="76" t="s">
        <v>227</v>
      </c>
      <c r="P177" s="78">
        <v>44048.45751157407</v>
      </c>
      <c r="Q177" s="76" t="s">
        <v>814</v>
      </c>
      <c r="R177" s="76">
        <v>0</v>
      </c>
      <c r="S177" s="76">
        <v>3</v>
      </c>
      <c r="T177" s="76">
        <v>2</v>
      </c>
      <c r="U177" s="76">
        <v>2</v>
      </c>
      <c r="V177" s="76"/>
      <c r="W177" s="80" t="s">
        <v>852</v>
      </c>
      <c r="X177" s="81" t="str">
        <f>HYPERLINK("https://bit.ly/3fs59eV")</f>
        <v>https://bit.ly/3fs59eV</v>
      </c>
      <c r="Y177" s="76" t="s">
        <v>233</v>
      </c>
      <c r="Z177" s="76" t="s">
        <v>920</v>
      </c>
      <c r="AA177" s="76" t="s">
        <v>939</v>
      </c>
      <c r="AB177" s="76" t="s">
        <v>237</v>
      </c>
      <c r="AC177" s="80" t="s">
        <v>239</v>
      </c>
      <c r="AD177" s="76" t="s">
        <v>244</v>
      </c>
      <c r="AE177" s="81" t="str">
        <f>HYPERLINK("https://twitter.com/topdevelopersco/status/1290965478920208385")</f>
        <v>https://twitter.com/topdevelopersco/status/1290965478920208385</v>
      </c>
      <c r="AF177" s="78">
        <v>44048.45751157407</v>
      </c>
      <c r="AG177" s="85">
        <v>44048</v>
      </c>
      <c r="AH177" s="80" t="s">
        <v>411</v>
      </c>
      <c r="AI177" s="76" t="b">
        <v>0</v>
      </c>
      <c r="AJ177" s="76"/>
      <c r="AK177" s="76"/>
      <c r="AL177" s="76"/>
      <c r="AM177" s="76"/>
      <c r="AN177" s="76"/>
      <c r="AO177" s="76"/>
      <c r="AP177" s="76"/>
      <c r="AQ177" s="76" t="s">
        <v>1079</v>
      </c>
      <c r="AR177" s="76"/>
      <c r="AS177" s="76"/>
      <c r="AT177" s="76"/>
      <c r="AU177" s="76"/>
      <c r="AV177" s="81" t="str">
        <f>HYPERLINK("https://pbs.twimg.com/media/EepuQKMUcAA5RXj.png")</f>
        <v>https://pbs.twimg.com/media/EepuQKMUcAA5RXj.png</v>
      </c>
      <c r="AW177" s="80" t="s">
        <v>1170</v>
      </c>
      <c r="AX177" s="80" t="s">
        <v>1170</v>
      </c>
      <c r="AY177" s="76"/>
      <c r="AZ177" s="80" t="s">
        <v>252</v>
      </c>
      <c r="BA177" s="80" t="s">
        <v>252</v>
      </c>
      <c r="BB177" s="80" t="s">
        <v>252</v>
      </c>
      <c r="BC177" s="80" t="s">
        <v>1170</v>
      </c>
      <c r="BD177" s="80" t="s">
        <v>1222</v>
      </c>
      <c r="BE177" s="76"/>
      <c r="BF177" s="76"/>
      <c r="BG177" s="76"/>
      <c r="BH177" s="76"/>
      <c r="BI177" s="76"/>
      <c r="BJ177" s="76">
        <v>1</v>
      </c>
      <c r="BK177" s="75" t="str">
        <f>REPLACE(INDEX(GroupVertices[Group],MATCH("~"&amp;Edges[[#This Row],[Vertex 1]],GroupVertices[Vertex],0)),1,1,"")</f>
        <v>2</v>
      </c>
      <c r="BL177" s="75" t="str">
        <f>REPLACE(INDEX(GroupVertices[Group],MATCH("~"&amp;Edges[[#This Row],[Vertex 2]],GroupVertices[Vertex],0)),1,1,"")</f>
        <v>2</v>
      </c>
    </row>
    <row r="178" spans="1:64" ht="15">
      <c r="A178" s="61" t="s">
        <v>392</v>
      </c>
      <c r="B178" s="61" t="s">
        <v>224</v>
      </c>
      <c r="C178" s="62"/>
      <c r="D178" s="63"/>
      <c r="E178" s="64"/>
      <c r="F178" s="65"/>
      <c r="G178" s="62"/>
      <c r="H178" s="66"/>
      <c r="I178" s="67"/>
      <c r="J178" s="67"/>
      <c r="K178" s="31" t="s">
        <v>65</v>
      </c>
      <c r="L178" s="74">
        <v>178</v>
      </c>
      <c r="M178" s="74"/>
      <c r="N178" s="69"/>
      <c r="O178" s="76" t="s">
        <v>230</v>
      </c>
      <c r="P178" s="78">
        <v>44057.004791666666</v>
      </c>
      <c r="Q178" s="76" t="s">
        <v>812</v>
      </c>
      <c r="R178" s="76">
        <v>0</v>
      </c>
      <c r="S178" s="76">
        <v>0</v>
      </c>
      <c r="T178" s="76">
        <v>0</v>
      </c>
      <c r="U178" s="76">
        <v>0</v>
      </c>
      <c r="V178" s="76"/>
      <c r="W178" s="76"/>
      <c r="X178" s="76"/>
      <c r="Y178" s="76"/>
      <c r="Z178" s="76" t="s">
        <v>902</v>
      </c>
      <c r="AA178" s="76"/>
      <c r="AB178" s="76"/>
      <c r="AC178" s="80" t="s">
        <v>239</v>
      </c>
      <c r="AD178" s="76" t="s">
        <v>244</v>
      </c>
      <c r="AE178" s="81" t="str">
        <f>HYPERLINK("https://twitter.com/thriveagency/status/1294062908041605120")</f>
        <v>https://twitter.com/thriveagency/status/1294062908041605120</v>
      </c>
      <c r="AF178" s="78">
        <v>44057.004791666666</v>
      </c>
      <c r="AG178" s="85">
        <v>44057</v>
      </c>
      <c r="AH178" s="80" t="s">
        <v>1038</v>
      </c>
      <c r="AI178" s="76"/>
      <c r="AJ178" s="76"/>
      <c r="AK178" s="76"/>
      <c r="AL178" s="76"/>
      <c r="AM178" s="76"/>
      <c r="AN178" s="76"/>
      <c r="AO178" s="76"/>
      <c r="AP178" s="76"/>
      <c r="AQ178" s="76"/>
      <c r="AR178" s="76"/>
      <c r="AS178" s="76"/>
      <c r="AT178" s="76"/>
      <c r="AU178" s="76"/>
      <c r="AV178" s="81" t="str">
        <f>HYPERLINK("https://pbs.twimg.com/profile_images/1296790366083899392/evocoOcC_normal.jpg")</f>
        <v>https://pbs.twimg.com/profile_images/1296790366083899392/evocoOcC_normal.jpg</v>
      </c>
      <c r="AW178" s="80" t="s">
        <v>1168</v>
      </c>
      <c r="AX178" s="80" t="s">
        <v>1170</v>
      </c>
      <c r="AY178" s="80" t="s">
        <v>1222</v>
      </c>
      <c r="AZ178" s="80" t="s">
        <v>1170</v>
      </c>
      <c r="BA178" s="80" t="s">
        <v>252</v>
      </c>
      <c r="BB178" s="80" t="s">
        <v>252</v>
      </c>
      <c r="BC178" s="80" t="s">
        <v>1170</v>
      </c>
      <c r="BD178" s="76">
        <v>71281607</v>
      </c>
      <c r="BE178" s="76"/>
      <c r="BF178" s="76"/>
      <c r="BG178" s="76"/>
      <c r="BH178" s="76"/>
      <c r="BI178" s="76"/>
      <c r="BJ178" s="76">
        <v>1</v>
      </c>
      <c r="BK178" s="75" t="str">
        <f>REPLACE(INDEX(GroupVertices[Group],MATCH("~"&amp;Edges[[#This Row],[Vertex 1]],GroupVertices[Vertex],0)),1,1,"")</f>
        <v>2</v>
      </c>
      <c r="BL178" s="75" t="str">
        <f>REPLACE(INDEX(GroupVertices[Group],MATCH("~"&amp;Edges[[#This Row],[Vertex 2]],GroupVertices[Vertex],0)),1,1,"")</f>
        <v>1</v>
      </c>
    </row>
    <row r="179" spans="1:64" ht="15">
      <c r="A179" s="61" t="s">
        <v>392</v>
      </c>
      <c r="B179" s="61" t="s">
        <v>633</v>
      </c>
      <c r="C179" s="62"/>
      <c r="D179" s="63"/>
      <c r="E179" s="64"/>
      <c r="F179" s="65"/>
      <c r="G179" s="62"/>
      <c r="H179" s="66"/>
      <c r="I179" s="67"/>
      <c r="J179" s="67"/>
      <c r="K179" s="31" t="s">
        <v>66</v>
      </c>
      <c r="L179" s="74">
        <v>179</v>
      </c>
      <c r="M179" s="74"/>
      <c r="N179" s="69"/>
      <c r="O179" s="76" t="s">
        <v>228</v>
      </c>
      <c r="P179" s="78">
        <v>44057.004791666666</v>
      </c>
      <c r="Q179" s="76" t="s">
        <v>812</v>
      </c>
      <c r="R179" s="76">
        <v>0</v>
      </c>
      <c r="S179" s="76">
        <v>0</v>
      </c>
      <c r="T179" s="76">
        <v>0</v>
      </c>
      <c r="U179" s="76">
        <v>0</v>
      </c>
      <c r="V179" s="76"/>
      <c r="W179" s="76"/>
      <c r="X179" s="76"/>
      <c r="Y179" s="76"/>
      <c r="Z179" s="76" t="s">
        <v>902</v>
      </c>
      <c r="AA179" s="76"/>
      <c r="AB179" s="76"/>
      <c r="AC179" s="80" t="s">
        <v>239</v>
      </c>
      <c r="AD179" s="76" t="s">
        <v>244</v>
      </c>
      <c r="AE179" s="81" t="str">
        <f>HYPERLINK("https://twitter.com/thriveagency/status/1294062908041605120")</f>
        <v>https://twitter.com/thriveagency/status/1294062908041605120</v>
      </c>
      <c r="AF179" s="78">
        <v>44057.004791666666</v>
      </c>
      <c r="AG179" s="85">
        <v>44057</v>
      </c>
      <c r="AH179" s="80" t="s">
        <v>1038</v>
      </c>
      <c r="AI179" s="76"/>
      <c r="AJ179" s="76"/>
      <c r="AK179" s="76"/>
      <c r="AL179" s="76"/>
      <c r="AM179" s="76"/>
      <c r="AN179" s="76"/>
      <c r="AO179" s="76"/>
      <c r="AP179" s="76"/>
      <c r="AQ179" s="76"/>
      <c r="AR179" s="76"/>
      <c r="AS179" s="76"/>
      <c r="AT179" s="76"/>
      <c r="AU179" s="76"/>
      <c r="AV179" s="81" t="str">
        <f>HYPERLINK("https://pbs.twimg.com/profile_images/1296790366083899392/evocoOcC_normal.jpg")</f>
        <v>https://pbs.twimg.com/profile_images/1296790366083899392/evocoOcC_normal.jpg</v>
      </c>
      <c r="AW179" s="80" t="s">
        <v>1168</v>
      </c>
      <c r="AX179" s="80" t="s">
        <v>1170</v>
      </c>
      <c r="AY179" s="80" t="s">
        <v>1222</v>
      </c>
      <c r="AZ179" s="80" t="s">
        <v>1170</v>
      </c>
      <c r="BA179" s="80" t="s">
        <v>252</v>
      </c>
      <c r="BB179" s="80" t="s">
        <v>252</v>
      </c>
      <c r="BC179" s="80" t="s">
        <v>1170</v>
      </c>
      <c r="BD179" s="76">
        <v>71281607</v>
      </c>
      <c r="BE179" s="76"/>
      <c r="BF179" s="76"/>
      <c r="BG179" s="76"/>
      <c r="BH179" s="76"/>
      <c r="BI179" s="76"/>
      <c r="BJ179" s="76">
        <v>1</v>
      </c>
      <c r="BK179" s="75" t="str">
        <f>REPLACE(INDEX(GroupVertices[Group],MATCH("~"&amp;Edges[[#This Row],[Vertex 1]],GroupVertices[Vertex],0)),1,1,"")</f>
        <v>2</v>
      </c>
      <c r="BL179" s="75" t="str">
        <f>REPLACE(INDEX(GroupVertices[Group],MATCH("~"&amp;Edges[[#This Row],[Vertex 2]],GroupVertices[Vertex],0)),1,1,"")</f>
        <v>2</v>
      </c>
    </row>
    <row r="180" spans="1:64" ht="15">
      <c r="A180" s="61" t="s">
        <v>633</v>
      </c>
      <c r="B180" s="61" t="s">
        <v>392</v>
      </c>
      <c r="C180" s="62"/>
      <c r="D180" s="63"/>
      <c r="E180" s="64"/>
      <c r="F180" s="65"/>
      <c r="G180" s="62"/>
      <c r="H180" s="66"/>
      <c r="I180" s="67"/>
      <c r="J180" s="67"/>
      <c r="K180" s="31" t="s">
        <v>66</v>
      </c>
      <c r="L180" s="74">
        <v>180</v>
      </c>
      <c r="M180" s="74"/>
      <c r="N180" s="69"/>
      <c r="O180" s="76" t="s">
        <v>227</v>
      </c>
      <c r="P180" s="78">
        <v>44048.45751157407</v>
      </c>
      <c r="Q180" s="76" t="s">
        <v>814</v>
      </c>
      <c r="R180" s="76">
        <v>0</v>
      </c>
      <c r="S180" s="76">
        <v>3</v>
      </c>
      <c r="T180" s="76">
        <v>2</v>
      </c>
      <c r="U180" s="76">
        <v>2</v>
      </c>
      <c r="V180" s="76"/>
      <c r="W180" s="80" t="s">
        <v>852</v>
      </c>
      <c r="X180" s="81" t="str">
        <f>HYPERLINK("https://bit.ly/3fs59eV")</f>
        <v>https://bit.ly/3fs59eV</v>
      </c>
      <c r="Y180" s="76" t="s">
        <v>233</v>
      </c>
      <c r="Z180" s="76" t="s">
        <v>920</v>
      </c>
      <c r="AA180" s="76" t="s">
        <v>939</v>
      </c>
      <c r="AB180" s="76" t="s">
        <v>237</v>
      </c>
      <c r="AC180" s="80" t="s">
        <v>239</v>
      </c>
      <c r="AD180" s="76" t="s">
        <v>244</v>
      </c>
      <c r="AE180" s="81" t="str">
        <f>HYPERLINK("https://twitter.com/topdevelopersco/status/1290965478920208385")</f>
        <v>https://twitter.com/topdevelopersco/status/1290965478920208385</v>
      </c>
      <c r="AF180" s="78">
        <v>44048.45751157407</v>
      </c>
      <c r="AG180" s="85">
        <v>44048</v>
      </c>
      <c r="AH180" s="80" t="s">
        <v>411</v>
      </c>
      <c r="AI180" s="76" t="b">
        <v>0</v>
      </c>
      <c r="AJ180" s="76"/>
      <c r="AK180" s="76"/>
      <c r="AL180" s="76"/>
      <c r="AM180" s="76"/>
      <c r="AN180" s="76"/>
      <c r="AO180" s="76"/>
      <c r="AP180" s="76"/>
      <c r="AQ180" s="76" t="s">
        <v>1079</v>
      </c>
      <c r="AR180" s="76"/>
      <c r="AS180" s="76"/>
      <c r="AT180" s="76"/>
      <c r="AU180" s="76"/>
      <c r="AV180" s="81" t="str">
        <f>HYPERLINK("https://pbs.twimg.com/media/EepuQKMUcAA5RXj.png")</f>
        <v>https://pbs.twimg.com/media/EepuQKMUcAA5RXj.png</v>
      </c>
      <c r="AW180" s="80" t="s">
        <v>1170</v>
      </c>
      <c r="AX180" s="80" t="s">
        <v>1170</v>
      </c>
      <c r="AY180" s="76"/>
      <c r="AZ180" s="80" t="s">
        <v>252</v>
      </c>
      <c r="BA180" s="80" t="s">
        <v>252</v>
      </c>
      <c r="BB180" s="80" t="s">
        <v>252</v>
      </c>
      <c r="BC180" s="80" t="s">
        <v>1170</v>
      </c>
      <c r="BD180" s="80" t="s">
        <v>1222</v>
      </c>
      <c r="BE180" s="76"/>
      <c r="BF180" s="76"/>
      <c r="BG180" s="76"/>
      <c r="BH180" s="76"/>
      <c r="BI180" s="76"/>
      <c r="BJ180" s="76">
        <v>1</v>
      </c>
      <c r="BK180" s="75" t="str">
        <f>REPLACE(INDEX(GroupVertices[Group],MATCH("~"&amp;Edges[[#This Row],[Vertex 1]],GroupVertices[Vertex],0)),1,1,"")</f>
        <v>2</v>
      </c>
      <c r="BL180" s="75" t="str">
        <f>REPLACE(INDEX(GroupVertices[Group],MATCH("~"&amp;Edges[[#This Row],[Vertex 2]],GroupVertices[Vertex],0)),1,1,"")</f>
        <v>2</v>
      </c>
    </row>
    <row r="181" spans="1:64" ht="15">
      <c r="A181" s="61" t="s">
        <v>633</v>
      </c>
      <c r="B181" s="61" t="s">
        <v>224</v>
      </c>
      <c r="C181" s="62"/>
      <c r="D181" s="63"/>
      <c r="E181" s="64"/>
      <c r="F181" s="65"/>
      <c r="G181" s="62"/>
      <c r="H181" s="66"/>
      <c r="I181" s="67"/>
      <c r="J181" s="67"/>
      <c r="K181" s="31" t="s">
        <v>65</v>
      </c>
      <c r="L181" s="74">
        <v>181</v>
      </c>
      <c r="M181" s="74"/>
      <c r="N181" s="69"/>
      <c r="O181" s="76" t="s">
        <v>227</v>
      </c>
      <c r="P181" s="78">
        <v>44291.41986111111</v>
      </c>
      <c r="Q181" s="76" t="s">
        <v>808</v>
      </c>
      <c r="R181" s="76">
        <v>2</v>
      </c>
      <c r="S181" s="76">
        <v>4</v>
      </c>
      <c r="T181" s="76">
        <v>0</v>
      </c>
      <c r="U181" s="76">
        <v>0</v>
      </c>
      <c r="V181" s="76"/>
      <c r="W181" s="80" t="s">
        <v>848</v>
      </c>
      <c r="X181" s="81" t="str">
        <f>HYPERLINK("https://bit.ly/39b0qy9")</f>
        <v>https://bit.ly/39b0qy9</v>
      </c>
      <c r="Y181" s="76" t="s">
        <v>233</v>
      </c>
      <c r="Z181" s="76" t="s">
        <v>915</v>
      </c>
      <c r="AA181" s="76" t="s">
        <v>936</v>
      </c>
      <c r="AB181" s="76" t="s">
        <v>237</v>
      </c>
      <c r="AC181" s="80" t="s">
        <v>239</v>
      </c>
      <c r="AD181" s="76" t="s">
        <v>244</v>
      </c>
      <c r="AE181" s="81" t="str">
        <f>HYPERLINK("https://twitter.com/topdevelopersco/status/1379012085619728388")</f>
        <v>https://twitter.com/topdevelopersco/status/1379012085619728388</v>
      </c>
      <c r="AF181" s="78">
        <v>44291.41986111111</v>
      </c>
      <c r="AG181" s="85">
        <v>44291</v>
      </c>
      <c r="AH181" s="80" t="s">
        <v>1034</v>
      </c>
      <c r="AI181" s="76" t="b">
        <v>0</v>
      </c>
      <c r="AJ181" s="76"/>
      <c r="AK181" s="76"/>
      <c r="AL181" s="76"/>
      <c r="AM181" s="76"/>
      <c r="AN181" s="76"/>
      <c r="AO181" s="76"/>
      <c r="AP181" s="76"/>
      <c r="AQ181" s="76" t="s">
        <v>1076</v>
      </c>
      <c r="AR181" s="76"/>
      <c r="AS181" s="76"/>
      <c r="AT181" s="76"/>
      <c r="AU181" s="76"/>
      <c r="AV181" s="81" t="str">
        <f>HYPERLINK("https://pbs.twimg.com/media/EyM8LFOVoAMSFqr.png")</f>
        <v>https://pbs.twimg.com/media/EyM8LFOVoAMSFqr.png</v>
      </c>
      <c r="AW181" s="80" t="s">
        <v>1164</v>
      </c>
      <c r="AX181" s="80" t="s">
        <v>1164</v>
      </c>
      <c r="AY181" s="76"/>
      <c r="AZ181" s="80" t="s">
        <v>252</v>
      </c>
      <c r="BA181" s="80" t="s">
        <v>252</v>
      </c>
      <c r="BB181" s="80" t="s">
        <v>252</v>
      </c>
      <c r="BC181" s="80" t="s">
        <v>1164</v>
      </c>
      <c r="BD181" s="80" t="s">
        <v>1222</v>
      </c>
      <c r="BE181" s="76"/>
      <c r="BF181" s="76"/>
      <c r="BG181" s="76"/>
      <c r="BH181" s="76"/>
      <c r="BI181" s="76"/>
      <c r="BJ181" s="76">
        <v>4</v>
      </c>
      <c r="BK181" s="75" t="str">
        <f>REPLACE(INDEX(GroupVertices[Group],MATCH("~"&amp;Edges[[#This Row],[Vertex 1]],GroupVertices[Vertex],0)),1,1,"")</f>
        <v>2</v>
      </c>
      <c r="BL181" s="75" t="str">
        <f>REPLACE(INDEX(GroupVertices[Group],MATCH("~"&amp;Edges[[#This Row],[Vertex 2]],GroupVertices[Vertex],0)),1,1,"")</f>
        <v>1</v>
      </c>
    </row>
    <row r="182" spans="1:64" ht="15">
      <c r="A182" s="61" t="s">
        <v>636</v>
      </c>
      <c r="B182" s="61" t="s">
        <v>224</v>
      </c>
      <c r="C182" s="62"/>
      <c r="D182" s="63"/>
      <c r="E182" s="64"/>
      <c r="F182" s="65"/>
      <c r="G182" s="62"/>
      <c r="H182" s="66"/>
      <c r="I182" s="67"/>
      <c r="J182" s="67"/>
      <c r="K182" s="31" t="s">
        <v>65</v>
      </c>
      <c r="L182" s="74">
        <v>182</v>
      </c>
      <c r="M182" s="74"/>
      <c r="N182" s="69"/>
      <c r="O182" s="76" t="s">
        <v>227</v>
      </c>
      <c r="P182" s="78">
        <v>41927.27491898148</v>
      </c>
      <c r="Q182" s="76" t="s">
        <v>815</v>
      </c>
      <c r="R182" s="76">
        <v>0</v>
      </c>
      <c r="S182" s="76">
        <v>0</v>
      </c>
      <c r="T182" s="76">
        <v>0</v>
      </c>
      <c r="U182" s="76">
        <v>0</v>
      </c>
      <c r="V182" s="76"/>
      <c r="W182" s="76"/>
      <c r="X182" s="76"/>
      <c r="Y182" s="76"/>
      <c r="Z182" s="76" t="s">
        <v>224</v>
      </c>
      <c r="AA182" s="76"/>
      <c r="AB182" s="76"/>
      <c r="AC182" s="80" t="s">
        <v>947</v>
      </c>
      <c r="AD182" s="76" t="s">
        <v>247</v>
      </c>
      <c r="AE182" s="81" t="str">
        <f>HYPERLINK("https://twitter.com/wendy97053587/status/522274646109224960")</f>
        <v>https://twitter.com/wendy97053587/status/522274646109224960</v>
      </c>
      <c r="AF182" s="78">
        <v>41927.27491898148</v>
      </c>
      <c r="AG182" s="85">
        <v>41927</v>
      </c>
      <c r="AH182" s="80" t="s">
        <v>1040</v>
      </c>
      <c r="AI182" s="76"/>
      <c r="AJ182" s="76"/>
      <c r="AK182" s="76"/>
      <c r="AL182" s="76"/>
      <c r="AM182" s="76"/>
      <c r="AN182" s="76"/>
      <c r="AO182" s="76"/>
      <c r="AP182" s="76"/>
      <c r="AQ182" s="76"/>
      <c r="AR182" s="76"/>
      <c r="AS182" s="76"/>
      <c r="AT182" s="76"/>
      <c r="AU182" s="76"/>
      <c r="AV182" s="81" t="str">
        <f>HYPERLINK("https://abs.twimg.com/sticky/default_profile_images/default_profile_normal.png")</f>
        <v>https://abs.twimg.com/sticky/default_profile_images/default_profile_normal.png</v>
      </c>
      <c r="AW182" s="80" t="s">
        <v>1171</v>
      </c>
      <c r="AX182" s="80" t="s">
        <v>1171</v>
      </c>
      <c r="AY182" s="76"/>
      <c r="AZ182" s="80" t="s">
        <v>252</v>
      </c>
      <c r="BA182" s="80" t="s">
        <v>252</v>
      </c>
      <c r="BB182" s="80" t="s">
        <v>252</v>
      </c>
      <c r="BC182" s="80" t="s">
        <v>1171</v>
      </c>
      <c r="BD182" s="76">
        <v>2831223118</v>
      </c>
      <c r="BE182" s="76"/>
      <c r="BF182" s="76"/>
      <c r="BG182" s="76"/>
      <c r="BH182" s="76"/>
      <c r="BI182" s="76"/>
      <c r="BJ182" s="76">
        <v>1</v>
      </c>
      <c r="BK182" s="75" t="str">
        <f>REPLACE(INDEX(GroupVertices[Group],MATCH("~"&amp;Edges[[#This Row],[Vertex 1]],GroupVertices[Vertex],0)),1,1,"")</f>
        <v>1</v>
      </c>
      <c r="BL182" s="75" t="str">
        <f>REPLACE(INDEX(GroupVertices[Group],MATCH("~"&amp;Edges[[#This Row],[Vertex 2]],GroupVertices[Vertex],0)),1,1,"")</f>
        <v>1</v>
      </c>
    </row>
    <row r="183" spans="1:64" ht="15">
      <c r="A183" s="61" t="s">
        <v>637</v>
      </c>
      <c r="B183" s="61" t="s">
        <v>224</v>
      </c>
      <c r="C183" s="62"/>
      <c r="D183" s="63"/>
      <c r="E183" s="64"/>
      <c r="F183" s="65"/>
      <c r="G183" s="62"/>
      <c r="H183" s="66"/>
      <c r="I183" s="67"/>
      <c r="J183" s="67"/>
      <c r="K183" s="31" t="s">
        <v>65</v>
      </c>
      <c r="L183" s="74">
        <v>183</v>
      </c>
      <c r="M183" s="74"/>
      <c r="N183" s="69"/>
      <c r="O183" s="76" t="s">
        <v>227</v>
      </c>
      <c r="P183" s="78">
        <v>42956.57766203704</v>
      </c>
      <c r="Q183" s="76" t="s">
        <v>816</v>
      </c>
      <c r="R183" s="76">
        <v>0</v>
      </c>
      <c r="S183" s="76">
        <v>0</v>
      </c>
      <c r="T183" s="76">
        <v>0</v>
      </c>
      <c r="U183" s="76">
        <v>0</v>
      </c>
      <c r="V183" s="76"/>
      <c r="W183" s="76"/>
      <c r="X183" s="76" t="s">
        <v>866</v>
      </c>
      <c r="Y183" s="76" t="s">
        <v>887</v>
      </c>
      <c r="Z183" s="76" t="s">
        <v>224</v>
      </c>
      <c r="AA183" s="76"/>
      <c r="AB183" s="76"/>
      <c r="AC183" s="80" t="s">
        <v>951</v>
      </c>
      <c r="AD183" s="76" t="s">
        <v>246</v>
      </c>
      <c r="AE183" s="81" t="str">
        <f>HYPERLINK("https://twitter.com/bluformiga/status/895281469597331458")</f>
        <v>https://twitter.com/bluformiga/status/895281469597331458</v>
      </c>
      <c r="AF183" s="78">
        <v>42956.57766203704</v>
      </c>
      <c r="AG183" s="85">
        <v>42956</v>
      </c>
      <c r="AH183" s="80" t="s">
        <v>1041</v>
      </c>
      <c r="AI183" s="76" t="b">
        <v>0</v>
      </c>
      <c r="AJ183" s="76"/>
      <c r="AK183" s="76"/>
      <c r="AL183" s="76"/>
      <c r="AM183" s="76"/>
      <c r="AN183" s="76"/>
      <c r="AO183" s="76"/>
      <c r="AP183" s="76"/>
      <c r="AQ183" s="76"/>
      <c r="AR183" s="76"/>
      <c r="AS183" s="76"/>
      <c r="AT183" s="76"/>
      <c r="AU183" s="76"/>
      <c r="AV183" s="81" t="str">
        <f>HYPERLINK("https://pbs.twimg.com/profile_images/874339226023755777/kXsi95qh_normal.jpg")</f>
        <v>https://pbs.twimg.com/profile_images/874339226023755777/kXsi95qh_normal.jpg</v>
      </c>
      <c r="AW183" s="80" t="s">
        <v>1172</v>
      </c>
      <c r="AX183" s="80" t="s">
        <v>1172</v>
      </c>
      <c r="AY183" s="76"/>
      <c r="AZ183" s="80" t="s">
        <v>252</v>
      </c>
      <c r="BA183" s="80" t="s">
        <v>252</v>
      </c>
      <c r="BB183" s="80" t="s">
        <v>252</v>
      </c>
      <c r="BC183" s="80" t="s">
        <v>1172</v>
      </c>
      <c r="BD183" s="76">
        <v>3013566597</v>
      </c>
      <c r="BE183" s="76"/>
      <c r="BF183" s="76"/>
      <c r="BG183" s="76"/>
      <c r="BH183" s="76"/>
      <c r="BI183" s="76"/>
      <c r="BJ183" s="76">
        <v>1</v>
      </c>
      <c r="BK183" s="75" t="str">
        <f>REPLACE(INDEX(GroupVertices[Group],MATCH("~"&amp;Edges[[#This Row],[Vertex 1]],GroupVertices[Vertex],0)),1,1,"")</f>
        <v>1</v>
      </c>
      <c r="BL183" s="75" t="str">
        <f>REPLACE(INDEX(GroupVertices[Group],MATCH("~"&amp;Edges[[#This Row],[Vertex 2]],GroupVertices[Vertex],0)),1,1,"")</f>
        <v>1</v>
      </c>
    </row>
    <row r="184" spans="1:64" ht="15">
      <c r="A184" s="61" t="s">
        <v>638</v>
      </c>
      <c r="B184" s="61" t="s">
        <v>224</v>
      </c>
      <c r="C184" s="62"/>
      <c r="D184" s="63"/>
      <c r="E184" s="64"/>
      <c r="F184" s="65"/>
      <c r="G184" s="62"/>
      <c r="H184" s="66"/>
      <c r="I184" s="67"/>
      <c r="J184" s="67"/>
      <c r="K184" s="31" t="s">
        <v>65</v>
      </c>
      <c r="L184" s="74">
        <v>184</v>
      </c>
      <c r="M184" s="74"/>
      <c r="N184" s="69"/>
      <c r="O184" s="76" t="s">
        <v>227</v>
      </c>
      <c r="P184" s="78">
        <v>41774.629328703704</v>
      </c>
      <c r="Q184" s="76" t="s">
        <v>817</v>
      </c>
      <c r="R184" s="76">
        <v>0</v>
      </c>
      <c r="S184" s="76">
        <v>2</v>
      </c>
      <c r="T184" s="76">
        <v>0</v>
      </c>
      <c r="U184" s="76">
        <v>0</v>
      </c>
      <c r="V184" s="76"/>
      <c r="W184" s="76"/>
      <c r="X184" s="81" t="str">
        <f>HYPERLINK("http://www.inovies.com/news.php")</f>
        <v>http://www.inovies.com/news.php</v>
      </c>
      <c r="Y184" s="76" t="s">
        <v>236</v>
      </c>
      <c r="Z184" s="76" t="s">
        <v>224</v>
      </c>
      <c r="AA184" s="76"/>
      <c r="AB184" s="76"/>
      <c r="AC184" s="80" t="s">
        <v>946</v>
      </c>
      <c r="AD184" s="76" t="s">
        <v>244</v>
      </c>
      <c r="AE184" s="81" t="str">
        <f>HYPERLINK("https://twitter.com/mackphason/status/466957735418802179")</f>
        <v>https://twitter.com/mackphason/status/466957735418802179</v>
      </c>
      <c r="AF184" s="78">
        <v>41774.629328703704</v>
      </c>
      <c r="AG184" s="85">
        <v>41774</v>
      </c>
      <c r="AH184" s="80" t="s">
        <v>1042</v>
      </c>
      <c r="AI184" s="76" t="b">
        <v>0</v>
      </c>
      <c r="AJ184" s="76"/>
      <c r="AK184" s="76"/>
      <c r="AL184" s="76"/>
      <c r="AM184" s="76"/>
      <c r="AN184" s="76"/>
      <c r="AO184" s="76"/>
      <c r="AP184" s="76"/>
      <c r="AQ184" s="76"/>
      <c r="AR184" s="76"/>
      <c r="AS184" s="76"/>
      <c r="AT184" s="76"/>
      <c r="AU184" s="76"/>
      <c r="AV184" s="81" t="str">
        <f>HYPERLINK("https://pbs.twimg.com/profile_images/1682857379946287105/VI5Itl1O_normal.jpg")</f>
        <v>https://pbs.twimg.com/profile_images/1682857379946287105/VI5Itl1O_normal.jpg</v>
      </c>
      <c r="AW184" s="80" t="s">
        <v>1173</v>
      </c>
      <c r="AX184" s="80" t="s">
        <v>1173</v>
      </c>
      <c r="AY184" s="76"/>
      <c r="AZ184" s="80" t="s">
        <v>252</v>
      </c>
      <c r="BA184" s="80" t="s">
        <v>252</v>
      </c>
      <c r="BB184" s="80" t="s">
        <v>252</v>
      </c>
      <c r="BC184" s="80" t="s">
        <v>1173</v>
      </c>
      <c r="BD184" s="76">
        <v>430610967</v>
      </c>
      <c r="BE184" s="76"/>
      <c r="BF184" s="76"/>
      <c r="BG184" s="76"/>
      <c r="BH184" s="76"/>
      <c r="BI184" s="76"/>
      <c r="BJ184" s="76">
        <v>1</v>
      </c>
      <c r="BK184" s="75" t="str">
        <f>REPLACE(INDEX(GroupVertices[Group],MATCH("~"&amp;Edges[[#This Row],[Vertex 1]],GroupVertices[Vertex],0)),1,1,"")</f>
        <v>1</v>
      </c>
      <c r="BL184" s="75" t="str">
        <f>REPLACE(INDEX(GroupVertices[Group],MATCH("~"&amp;Edges[[#This Row],[Vertex 2]],GroupVertices[Vertex],0)),1,1,"")</f>
        <v>1</v>
      </c>
    </row>
    <row r="185" spans="1:64" ht="15">
      <c r="A185" s="61" t="s">
        <v>639</v>
      </c>
      <c r="B185" s="61" t="s">
        <v>224</v>
      </c>
      <c r="C185" s="62"/>
      <c r="D185" s="63"/>
      <c r="E185" s="64"/>
      <c r="F185" s="65"/>
      <c r="G185" s="62"/>
      <c r="H185" s="66"/>
      <c r="I185" s="67"/>
      <c r="J185" s="67"/>
      <c r="K185" s="31" t="s">
        <v>65</v>
      </c>
      <c r="L185" s="74">
        <v>185</v>
      </c>
      <c r="M185" s="74"/>
      <c r="N185" s="69"/>
      <c r="O185" s="76" t="s">
        <v>227</v>
      </c>
      <c r="P185" s="78">
        <v>43489.60450231482</v>
      </c>
      <c r="Q185" s="76" t="s">
        <v>818</v>
      </c>
      <c r="R185" s="76">
        <v>0</v>
      </c>
      <c r="S185" s="76">
        <v>0</v>
      </c>
      <c r="T185" s="76">
        <v>0</v>
      </c>
      <c r="U185" s="76">
        <v>0</v>
      </c>
      <c r="V185" s="76"/>
      <c r="W185" s="76"/>
      <c r="X185" s="76"/>
      <c r="Y185" s="76"/>
      <c r="Z185" s="76" t="s">
        <v>224</v>
      </c>
      <c r="AA185" s="76"/>
      <c r="AB185" s="76"/>
      <c r="AC185" s="80" t="s">
        <v>243</v>
      </c>
      <c r="AD185" s="76" t="s">
        <v>244</v>
      </c>
      <c r="AE185" s="81" t="str">
        <f>HYPERLINK("https://twitter.com/softwarefindr_/status/1088443927995338752")</f>
        <v>https://twitter.com/softwarefindr_/status/1088443927995338752</v>
      </c>
      <c r="AF185" s="78">
        <v>43489.60450231482</v>
      </c>
      <c r="AG185" s="85">
        <v>43489</v>
      </c>
      <c r="AH185" s="80" t="s">
        <v>1043</v>
      </c>
      <c r="AI185" s="76"/>
      <c r="AJ185" s="76"/>
      <c r="AK185" s="76"/>
      <c r="AL185" s="76"/>
      <c r="AM185" s="76"/>
      <c r="AN185" s="76"/>
      <c r="AO185" s="76"/>
      <c r="AP185" s="76"/>
      <c r="AQ185" s="76"/>
      <c r="AR185" s="76"/>
      <c r="AS185" s="76"/>
      <c r="AT185" s="76"/>
      <c r="AU185" s="76"/>
      <c r="AV185" s="81" t="str">
        <f>HYPERLINK("https://pbs.twimg.com/profile_images/990197838872219648/A86Smvr9_normal.jpg")</f>
        <v>https://pbs.twimg.com/profile_images/990197838872219648/A86Smvr9_normal.jpg</v>
      </c>
      <c r="AW185" s="80" t="s">
        <v>1174</v>
      </c>
      <c r="AX185" s="80" t="s">
        <v>1174</v>
      </c>
      <c r="AY185" s="76"/>
      <c r="AZ185" s="80" t="s">
        <v>252</v>
      </c>
      <c r="BA185" s="80" t="s">
        <v>252</v>
      </c>
      <c r="BB185" s="80" t="s">
        <v>252</v>
      </c>
      <c r="BC185" s="80" t="s">
        <v>1174</v>
      </c>
      <c r="BD185" s="76">
        <v>2508626119</v>
      </c>
      <c r="BE185" s="76"/>
      <c r="BF185" s="76"/>
      <c r="BG185" s="76"/>
      <c r="BH185" s="76"/>
      <c r="BI185" s="76"/>
      <c r="BJ185" s="76">
        <v>1</v>
      </c>
      <c r="BK185" s="75" t="str">
        <f>REPLACE(INDEX(GroupVertices[Group],MATCH("~"&amp;Edges[[#This Row],[Vertex 1]],GroupVertices[Vertex],0)),1,1,"")</f>
        <v>1</v>
      </c>
      <c r="BL185" s="75" t="str">
        <f>REPLACE(INDEX(GroupVertices[Group],MATCH("~"&amp;Edges[[#This Row],[Vertex 2]],GroupVertices[Vertex],0)),1,1,"")</f>
        <v>1</v>
      </c>
    </row>
    <row r="186" spans="1:64" ht="15">
      <c r="A186" s="61" t="s">
        <v>640</v>
      </c>
      <c r="B186" s="61" t="s">
        <v>682</v>
      </c>
      <c r="C186" s="62"/>
      <c r="D186" s="63"/>
      <c r="E186" s="64"/>
      <c r="F186" s="65"/>
      <c r="G186" s="62"/>
      <c r="H186" s="66"/>
      <c r="I186" s="67"/>
      <c r="J186" s="67"/>
      <c r="K186" s="31" t="s">
        <v>65</v>
      </c>
      <c r="L186" s="74">
        <v>186</v>
      </c>
      <c r="M186" s="74"/>
      <c r="N186" s="69"/>
      <c r="O186" s="76" t="s">
        <v>227</v>
      </c>
      <c r="P186" s="78">
        <v>43213.438101851854</v>
      </c>
      <c r="Q186" s="76" t="s">
        <v>819</v>
      </c>
      <c r="R186" s="76">
        <v>0</v>
      </c>
      <c r="S186" s="76">
        <v>0</v>
      </c>
      <c r="T186" s="76">
        <v>0</v>
      </c>
      <c r="U186" s="76">
        <v>0</v>
      </c>
      <c r="V186" s="76"/>
      <c r="W186" s="80" t="s">
        <v>853</v>
      </c>
      <c r="X186" s="81" t="str">
        <f>HYPERLINK("http://bit.ly/2DNutt8")</f>
        <v>http://bit.ly/2DNutt8</v>
      </c>
      <c r="Y186" s="76" t="s">
        <v>233</v>
      </c>
      <c r="Z186" s="76" t="s">
        <v>901</v>
      </c>
      <c r="AA186" s="76" t="s">
        <v>940</v>
      </c>
      <c r="AB186" s="76" t="s">
        <v>237</v>
      </c>
      <c r="AC186" s="80" t="s">
        <v>402</v>
      </c>
      <c r="AD186" s="76" t="s">
        <v>244</v>
      </c>
      <c r="AE186" s="81" t="str">
        <f>HYPERLINK("https://twitter.com/stcstudios/status/988364577472688128")</f>
        <v>https://twitter.com/stcstudios/status/988364577472688128</v>
      </c>
      <c r="AF186" s="78">
        <v>43213.438101851854</v>
      </c>
      <c r="AG186" s="85">
        <v>43213</v>
      </c>
      <c r="AH186" s="80" t="s">
        <v>1044</v>
      </c>
      <c r="AI186" s="76" t="b">
        <v>0</v>
      </c>
      <c r="AJ186" s="76"/>
      <c r="AK186" s="76"/>
      <c r="AL186" s="76"/>
      <c r="AM186" s="76"/>
      <c r="AN186" s="76"/>
      <c r="AO186" s="76"/>
      <c r="AP186" s="76"/>
      <c r="AQ186" s="76" t="s">
        <v>1080</v>
      </c>
      <c r="AR186" s="76"/>
      <c r="AS186" s="76"/>
      <c r="AT186" s="76"/>
      <c r="AU186" s="76"/>
      <c r="AV186" s="81" t="str">
        <f>HYPERLINK("https://pbs.twimg.com/media/DbdgWA3WkAAwY1z.jpg")</f>
        <v>https://pbs.twimg.com/media/DbdgWA3WkAAwY1z.jpg</v>
      </c>
      <c r="AW186" s="80" t="s">
        <v>1175</v>
      </c>
      <c r="AX186" s="80" t="s">
        <v>1175</v>
      </c>
      <c r="AY186" s="76"/>
      <c r="AZ186" s="80" t="s">
        <v>252</v>
      </c>
      <c r="BA186" s="80" t="s">
        <v>252</v>
      </c>
      <c r="BB186" s="80" t="s">
        <v>252</v>
      </c>
      <c r="BC186" s="80" t="s">
        <v>1175</v>
      </c>
      <c r="BD186" s="76">
        <v>1089075913</v>
      </c>
      <c r="BE186" s="76"/>
      <c r="BF186" s="76"/>
      <c r="BG186" s="76"/>
      <c r="BH186" s="76"/>
      <c r="BI186" s="76"/>
      <c r="BJ186" s="76">
        <v>1</v>
      </c>
      <c r="BK186" s="75" t="str">
        <f>REPLACE(INDEX(GroupVertices[Group],MATCH("~"&amp;Edges[[#This Row],[Vertex 1]],GroupVertices[Vertex],0)),1,1,"")</f>
        <v>1</v>
      </c>
      <c r="BL186" s="75" t="str">
        <f>REPLACE(INDEX(GroupVertices[Group],MATCH("~"&amp;Edges[[#This Row],[Vertex 2]],GroupVertices[Vertex],0)),1,1,"")</f>
        <v>1</v>
      </c>
    </row>
    <row r="187" spans="1:64" ht="15">
      <c r="A187" s="61" t="s">
        <v>640</v>
      </c>
      <c r="B187" s="61" t="s">
        <v>224</v>
      </c>
      <c r="C187" s="62"/>
      <c r="D187" s="63"/>
      <c r="E187" s="64"/>
      <c r="F187" s="65"/>
      <c r="G187" s="62"/>
      <c r="H187" s="66"/>
      <c r="I187" s="67"/>
      <c r="J187" s="67"/>
      <c r="K187" s="31" t="s">
        <v>65</v>
      </c>
      <c r="L187" s="74">
        <v>187</v>
      </c>
      <c r="M187" s="74"/>
      <c r="N187" s="69"/>
      <c r="O187" s="76" t="s">
        <v>227</v>
      </c>
      <c r="P187" s="78">
        <v>43213.438101851854</v>
      </c>
      <c r="Q187" s="76" t="s">
        <v>819</v>
      </c>
      <c r="R187" s="76">
        <v>0</v>
      </c>
      <c r="S187" s="76">
        <v>0</v>
      </c>
      <c r="T187" s="76">
        <v>0</v>
      </c>
      <c r="U187" s="76">
        <v>0</v>
      </c>
      <c r="V187" s="76"/>
      <c r="W187" s="80" t="s">
        <v>853</v>
      </c>
      <c r="X187" s="81" t="str">
        <f>HYPERLINK("http://bit.ly/2DNutt8")</f>
        <v>http://bit.ly/2DNutt8</v>
      </c>
      <c r="Y187" s="76" t="s">
        <v>233</v>
      </c>
      <c r="Z187" s="76" t="s">
        <v>901</v>
      </c>
      <c r="AA187" s="76" t="s">
        <v>940</v>
      </c>
      <c r="AB187" s="76" t="s">
        <v>237</v>
      </c>
      <c r="AC187" s="80" t="s">
        <v>402</v>
      </c>
      <c r="AD187" s="76" t="s">
        <v>244</v>
      </c>
      <c r="AE187" s="81" t="str">
        <f>HYPERLINK("https://twitter.com/stcstudios/status/988364577472688128")</f>
        <v>https://twitter.com/stcstudios/status/988364577472688128</v>
      </c>
      <c r="AF187" s="78">
        <v>43213.438101851854</v>
      </c>
      <c r="AG187" s="85">
        <v>43213</v>
      </c>
      <c r="AH187" s="80" t="s">
        <v>1044</v>
      </c>
      <c r="AI187" s="76" t="b">
        <v>0</v>
      </c>
      <c r="AJ187" s="76"/>
      <c r="AK187" s="76"/>
      <c r="AL187" s="76"/>
      <c r="AM187" s="76"/>
      <c r="AN187" s="76"/>
      <c r="AO187" s="76"/>
      <c r="AP187" s="76"/>
      <c r="AQ187" s="76" t="s">
        <v>1080</v>
      </c>
      <c r="AR187" s="76"/>
      <c r="AS187" s="76"/>
      <c r="AT187" s="76"/>
      <c r="AU187" s="76"/>
      <c r="AV187" s="81" t="str">
        <f>HYPERLINK("https://pbs.twimg.com/media/DbdgWA3WkAAwY1z.jpg")</f>
        <v>https://pbs.twimg.com/media/DbdgWA3WkAAwY1z.jpg</v>
      </c>
      <c r="AW187" s="80" t="s">
        <v>1175</v>
      </c>
      <c r="AX187" s="80" t="s">
        <v>1175</v>
      </c>
      <c r="AY187" s="76"/>
      <c r="AZ187" s="80" t="s">
        <v>252</v>
      </c>
      <c r="BA187" s="80" t="s">
        <v>252</v>
      </c>
      <c r="BB187" s="80" t="s">
        <v>252</v>
      </c>
      <c r="BC187" s="80" t="s">
        <v>1175</v>
      </c>
      <c r="BD187" s="76">
        <v>1089075913</v>
      </c>
      <c r="BE187" s="76"/>
      <c r="BF187" s="76"/>
      <c r="BG187" s="76"/>
      <c r="BH187" s="76"/>
      <c r="BI187" s="76"/>
      <c r="BJ187" s="76">
        <v>1</v>
      </c>
      <c r="BK187" s="75" t="str">
        <f>REPLACE(INDEX(GroupVertices[Group],MATCH("~"&amp;Edges[[#This Row],[Vertex 1]],GroupVertices[Vertex],0)),1,1,"")</f>
        <v>1</v>
      </c>
      <c r="BL187" s="75" t="str">
        <f>REPLACE(INDEX(GroupVertices[Group],MATCH("~"&amp;Edges[[#This Row],[Vertex 2]],GroupVertices[Vertex],0)),1,1,"")</f>
        <v>1</v>
      </c>
    </row>
    <row r="188" spans="1:64" ht="15">
      <c r="A188" s="61" t="s">
        <v>641</v>
      </c>
      <c r="B188" s="61" t="s">
        <v>723</v>
      </c>
      <c r="C188" s="62"/>
      <c r="D188" s="63"/>
      <c r="E188" s="64"/>
      <c r="F188" s="65"/>
      <c r="G188" s="62"/>
      <c r="H188" s="66"/>
      <c r="I188" s="67"/>
      <c r="J188" s="67"/>
      <c r="K188" s="31" t="s">
        <v>65</v>
      </c>
      <c r="L188" s="74">
        <v>188</v>
      </c>
      <c r="M188" s="74"/>
      <c r="N188" s="69"/>
      <c r="O188" s="76" t="s">
        <v>227</v>
      </c>
      <c r="P188" s="78">
        <v>42384.43547453704</v>
      </c>
      <c r="Q188" s="76" t="s">
        <v>820</v>
      </c>
      <c r="R188" s="76">
        <v>0</v>
      </c>
      <c r="S188" s="76">
        <v>1</v>
      </c>
      <c r="T188" s="76">
        <v>0</v>
      </c>
      <c r="U188" s="76">
        <v>0</v>
      </c>
      <c r="V188" s="76"/>
      <c r="W188" s="76"/>
      <c r="X188" s="81" t="str">
        <f>HYPERLINK("http://paper.li/e-1435832732?edition_id=85117d90-bb72-11e5-96f4-002590a5ba2d")</f>
        <v>http://paper.li/e-1435832732?edition_id=85117d90-bb72-11e5-96f4-002590a5ba2d</v>
      </c>
      <c r="Y188" s="76" t="s">
        <v>888</v>
      </c>
      <c r="Z188" s="76" t="s">
        <v>921</v>
      </c>
      <c r="AA188" s="76"/>
      <c r="AB188" s="76"/>
      <c r="AC188" s="80" t="s">
        <v>961</v>
      </c>
      <c r="AD188" s="76" t="s">
        <v>244</v>
      </c>
      <c r="AE188" s="81" t="str">
        <f>HYPERLINK("https://twitter.com/designbrandind/status/687944084942618625")</f>
        <v>https://twitter.com/designbrandind/status/687944084942618625</v>
      </c>
      <c r="AF188" s="78">
        <v>42384.43547453704</v>
      </c>
      <c r="AG188" s="85">
        <v>42384</v>
      </c>
      <c r="AH188" s="80" t="s">
        <v>1004</v>
      </c>
      <c r="AI188" s="76" t="b">
        <v>0</v>
      </c>
      <c r="AJ188" s="76"/>
      <c r="AK188" s="76"/>
      <c r="AL188" s="76"/>
      <c r="AM188" s="76"/>
      <c r="AN188" s="76"/>
      <c r="AO188" s="76"/>
      <c r="AP188" s="76"/>
      <c r="AQ188" s="76"/>
      <c r="AR188" s="76"/>
      <c r="AS188" s="76"/>
      <c r="AT188" s="76"/>
      <c r="AU188" s="76"/>
      <c r="AV188" s="81" t="str">
        <f>HYPERLINK("https://pbs.twimg.com/profile_images/661473093890654208/8rc2wsU2_normal.jpg")</f>
        <v>https://pbs.twimg.com/profile_images/661473093890654208/8rc2wsU2_normal.jpg</v>
      </c>
      <c r="AW188" s="80" t="s">
        <v>1176</v>
      </c>
      <c r="AX188" s="80" t="s">
        <v>1176</v>
      </c>
      <c r="AY188" s="76"/>
      <c r="AZ188" s="80" t="s">
        <v>252</v>
      </c>
      <c r="BA188" s="80" t="s">
        <v>252</v>
      </c>
      <c r="BB188" s="80" t="s">
        <v>252</v>
      </c>
      <c r="BC188" s="80" t="s">
        <v>1176</v>
      </c>
      <c r="BD188" s="76">
        <v>3228207062</v>
      </c>
      <c r="BE188" s="76"/>
      <c r="BF188" s="76"/>
      <c r="BG188" s="76"/>
      <c r="BH188" s="76"/>
      <c r="BI188" s="76"/>
      <c r="BJ188" s="76">
        <v>1</v>
      </c>
      <c r="BK188" s="75" t="str">
        <f>REPLACE(INDEX(GroupVertices[Group],MATCH("~"&amp;Edges[[#This Row],[Vertex 1]],GroupVertices[Vertex],0)),1,1,"")</f>
        <v>11</v>
      </c>
      <c r="BL188" s="75" t="str">
        <f>REPLACE(INDEX(GroupVertices[Group],MATCH("~"&amp;Edges[[#This Row],[Vertex 2]],GroupVertices[Vertex],0)),1,1,"")</f>
        <v>11</v>
      </c>
    </row>
    <row r="189" spans="1:64" ht="15">
      <c r="A189" s="61" t="s">
        <v>641</v>
      </c>
      <c r="B189" s="61" t="s">
        <v>224</v>
      </c>
      <c r="C189" s="62"/>
      <c r="D189" s="63"/>
      <c r="E189" s="64"/>
      <c r="F189" s="65"/>
      <c r="G189" s="62"/>
      <c r="H189" s="66"/>
      <c r="I189" s="67"/>
      <c r="J189" s="67"/>
      <c r="K189" s="31" t="s">
        <v>65</v>
      </c>
      <c r="L189" s="74">
        <v>189</v>
      </c>
      <c r="M189" s="74"/>
      <c r="N189" s="69"/>
      <c r="O189" s="76" t="s">
        <v>227</v>
      </c>
      <c r="P189" s="78">
        <v>42384.43547453704</v>
      </c>
      <c r="Q189" s="76" t="s">
        <v>820</v>
      </c>
      <c r="R189" s="76">
        <v>0</v>
      </c>
      <c r="S189" s="76">
        <v>1</v>
      </c>
      <c r="T189" s="76">
        <v>0</v>
      </c>
      <c r="U189" s="76">
        <v>0</v>
      </c>
      <c r="V189" s="76"/>
      <c r="W189" s="76"/>
      <c r="X189" s="81" t="str">
        <f>HYPERLINK("http://paper.li/e-1435832732?edition_id=85117d90-bb72-11e5-96f4-002590a5ba2d")</f>
        <v>http://paper.li/e-1435832732?edition_id=85117d90-bb72-11e5-96f4-002590a5ba2d</v>
      </c>
      <c r="Y189" s="76" t="s">
        <v>888</v>
      </c>
      <c r="Z189" s="76" t="s">
        <v>921</v>
      </c>
      <c r="AA189" s="76"/>
      <c r="AB189" s="76"/>
      <c r="AC189" s="80" t="s">
        <v>961</v>
      </c>
      <c r="AD189" s="76" t="s">
        <v>244</v>
      </c>
      <c r="AE189" s="81" t="str">
        <f>HYPERLINK("https://twitter.com/designbrandind/status/687944084942618625")</f>
        <v>https://twitter.com/designbrandind/status/687944084942618625</v>
      </c>
      <c r="AF189" s="78">
        <v>42384.43547453704</v>
      </c>
      <c r="AG189" s="85">
        <v>42384</v>
      </c>
      <c r="AH189" s="80" t="s">
        <v>1004</v>
      </c>
      <c r="AI189" s="76" t="b">
        <v>0</v>
      </c>
      <c r="AJ189" s="76"/>
      <c r="AK189" s="76"/>
      <c r="AL189" s="76"/>
      <c r="AM189" s="76"/>
      <c r="AN189" s="76"/>
      <c r="AO189" s="76"/>
      <c r="AP189" s="76"/>
      <c r="AQ189" s="76"/>
      <c r="AR189" s="76"/>
      <c r="AS189" s="76"/>
      <c r="AT189" s="76"/>
      <c r="AU189" s="76"/>
      <c r="AV189" s="81" t="str">
        <f>HYPERLINK("https://pbs.twimg.com/profile_images/661473093890654208/8rc2wsU2_normal.jpg")</f>
        <v>https://pbs.twimg.com/profile_images/661473093890654208/8rc2wsU2_normal.jpg</v>
      </c>
      <c r="AW189" s="80" t="s">
        <v>1176</v>
      </c>
      <c r="AX189" s="80" t="s">
        <v>1176</v>
      </c>
      <c r="AY189" s="76"/>
      <c r="AZ189" s="80" t="s">
        <v>252</v>
      </c>
      <c r="BA189" s="80" t="s">
        <v>252</v>
      </c>
      <c r="BB189" s="80" t="s">
        <v>252</v>
      </c>
      <c r="BC189" s="80" t="s">
        <v>1176</v>
      </c>
      <c r="BD189" s="76">
        <v>3228207062</v>
      </c>
      <c r="BE189" s="76"/>
      <c r="BF189" s="76"/>
      <c r="BG189" s="76"/>
      <c r="BH189" s="76"/>
      <c r="BI189" s="76"/>
      <c r="BJ189" s="76">
        <v>1</v>
      </c>
      <c r="BK189" s="75" t="str">
        <f>REPLACE(INDEX(GroupVertices[Group],MATCH("~"&amp;Edges[[#This Row],[Vertex 1]],GroupVertices[Vertex],0)),1,1,"")</f>
        <v>11</v>
      </c>
      <c r="BL189" s="75" t="str">
        <f>REPLACE(INDEX(GroupVertices[Group],MATCH("~"&amp;Edges[[#This Row],[Vertex 2]],GroupVertices[Vertex],0)),1,1,"")</f>
        <v>1</v>
      </c>
    </row>
    <row r="190" spans="1:64" ht="15">
      <c r="A190" s="61" t="s">
        <v>642</v>
      </c>
      <c r="B190" s="61" t="s">
        <v>724</v>
      </c>
      <c r="C190" s="62"/>
      <c r="D190" s="63"/>
      <c r="E190" s="64"/>
      <c r="F190" s="65"/>
      <c r="G190" s="62"/>
      <c r="H190" s="66"/>
      <c r="I190" s="67"/>
      <c r="J190" s="67"/>
      <c r="K190" s="31" t="s">
        <v>65</v>
      </c>
      <c r="L190" s="74">
        <v>190</v>
      </c>
      <c r="M190" s="74"/>
      <c r="N190" s="69"/>
      <c r="O190" s="76" t="s">
        <v>227</v>
      </c>
      <c r="P190" s="78">
        <v>42885.54835648148</v>
      </c>
      <c r="Q190" s="76" t="s">
        <v>821</v>
      </c>
      <c r="R190" s="76">
        <v>2</v>
      </c>
      <c r="S190" s="76">
        <v>1</v>
      </c>
      <c r="T190" s="76">
        <v>0</v>
      </c>
      <c r="U190" s="76">
        <v>0</v>
      </c>
      <c r="V190" s="76"/>
      <c r="W190" s="76"/>
      <c r="X190" s="76"/>
      <c r="Y190" s="76"/>
      <c r="Z190" s="76" t="s">
        <v>922</v>
      </c>
      <c r="AA190" s="76"/>
      <c r="AB190" s="76"/>
      <c r="AC190" s="80" t="s">
        <v>947</v>
      </c>
      <c r="AD190" s="76" t="s">
        <v>244</v>
      </c>
      <c r="AE190" s="81" t="str">
        <f>HYPERLINK("https://twitter.com/barnabywass/status/869541310516133888")</f>
        <v>https://twitter.com/barnabywass/status/869541310516133888</v>
      </c>
      <c r="AF190" s="78">
        <v>42885.54835648148</v>
      </c>
      <c r="AG190" s="85">
        <v>42885</v>
      </c>
      <c r="AH190" s="80" t="s">
        <v>1045</v>
      </c>
      <c r="AI190" s="76"/>
      <c r="AJ190" s="76"/>
      <c r="AK190" s="76"/>
      <c r="AL190" s="76"/>
      <c r="AM190" s="76"/>
      <c r="AN190" s="76"/>
      <c r="AO190" s="76"/>
      <c r="AP190" s="76"/>
      <c r="AQ190" s="76"/>
      <c r="AR190" s="76"/>
      <c r="AS190" s="76"/>
      <c r="AT190" s="76"/>
      <c r="AU190" s="76"/>
      <c r="AV190" s="81" t="str">
        <f>HYPERLINK("https://pbs.twimg.com/profile_images/1595048650220228612/7d0PQZ96_normal.jpg")</f>
        <v>https://pbs.twimg.com/profile_images/1595048650220228612/7d0PQZ96_normal.jpg</v>
      </c>
      <c r="AW190" s="80" t="s">
        <v>1177</v>
      </c>
      <c r="AX190" s="80" t="s">
        <v>1177</v>
      </c>
      <c r="AY190" s="76"/>
      <c r="AZ190" s="80" t="s">
        <v>252</v>
      </c>
      <c r="BA190" s="80" t="s">
        <v>252</v>
      </c>
      <c r="BB190" s="80" t="s">
        <v>252</v>
      </c>
      <c r="BC190" s="80" t="s">
        <v>1177</v>
      </c>
      <c r="BD190" s="76">
        <v>413370855</v>
      </c>
      <c r="BE190" s="76"/>
      <c r="BF190" s="76"/>
      <c r="BG190" s="76"/>
      <c r="BH190" s="76"/>
      <c r="BI190" s="76"/>
      <c r="BJ190" s="76">
        <v>1</v>
      </c>
      <c r="BK190" s="75" t="str">
        <f>REPLACE(INDEX(GroupVertices[Group],MATCH("~"&amp;Edges[[#This Row],[Vertex 1]],GroupVertices[Vertex],0)),1,1,"")</f>
        <v>4</v>
      </c>
      <c r="BL190" s="75" t="str">
        <f>REPLACE(INDEX(GroupVertices[Group],MATCH("~"&amp;Edges[[#This Row],[Vertex 2]],GroupVertices[Vertex],0)),1,1,"")</f>
        <v>4</v>
      </c>
    </row>
    <row r="191" spans="1:64" ht="15">
      <c r="A191" s="61" t="s">
        <v>642</v>
      </c>
      <c r="B191" s="61" t="s">
        <v>725</v>
      </c>
      <c r="C191" s="62"/>
      <c r="D191" s="63"/>
      <c r="E191" s="64"/>
      <c r="F191" s="65"/>
      <c r="G191" s="62"/>
      <c r="H191" s="66"/>
      <c r="I191" s="67"/>
      <c r="J191" s="67"/>
      <c r="K191" s="31" t="s">
        <v>65</v>
      </c>
      <c r="L191" s="74">
        <v>191</v>
      </c>
      <c r="M191" s="74"/>
      <c r="N191" s="69"/>
      <c r="O191" s="76" t="s">
        <v>227</v>
      </c>
      <c r="P191" s="78">
        <v>42885.54835648148</v>
      </c>
      <c r="Q191" s="76" t="s">
        <v>821</v>
      </c>
      <c r="R191" s="76">
        <v>2</v>
      </c>
      <c r="S191" s="76">
        <v>1</v>
      </c>
      <c r="T191" s="76">
        <v>0</v>
      </c>
      <c r="U191" s="76">
        <v>0</v>
      </c>
      <c r="V191" s="76"/>
      <c r="W191" s="76"/>
      <c r="X191" s="76"/>
      <c r="Y191" s="76"/>
      <c r="Z191" s="76" t="s">
        <v>922</v>
      </c>
      <c r="AA191" s="76"/>
      <c r="AB191" s="76"/>
      <c r="AC191" s="80" t="s">
        <v>947</v>
      </c>
      <c r="AD191" s="76" t="s">
        <v>244</v>
      </c>
      <c r="AE191" s="81" t="str">
        <f>HYPERLINK("https://twitter.com/barnabywass/status/869541310516133888")</f>
        <v>https://twitter.com/barnabywass/status/869541310516133888</v>
      </c>
      <c r="AF191" s="78">
        <v>42885.54835648148</v>
      </c>
      <c r="AG191" s="85">
        <v>42885</v>
      </c>
      <c r="AH191" s="80" t="s">
        <v>1045</v>
      </c>
      <c r="AI191" s="76"/>
      <c r="AJ191" s="76"/>
      <c r="AK191" s="76"/>
      <c r="AL191" s="76"/>
      <c r="AM191" s="76"/>
      <c r="AN191" s="76"/>
      <c r="AO191" s="76"/>
      <c r="AP191" s="76"/>
      <c r="AQ191" s="76"/>
      <c r="AR191" s="76"/>
      <c r="AS191" s="76"/>
      <c r="AT191" s="76"/>
      <c r="AU191" s="76"/>
      <c r="AV191" s="81" t="str">
        <f>HYPERLINK("https://pbs.twimg.com/profile_images/1595048650220228612/7d0PQZ96_normal.jpg")</f>
        <v>https://pbs.twimg.com/profile_images/1595048650220228612/7d0PQZ96_normal.jpg</v>
      </c>
      <c r="AW191" s="80" t="s">
        <v>1177</v>
      </c>
      <c r="AX191" s="80" t="s">
        <v>1177</v>
      </c>
      <c r="AY191" s="76"/>
      <c r="AZ191" s="80" t="s">
        <v>252</v>
      </c>
      <c r="BA191" s="80" t="s">
        <v>252</v>
      </c>
      <c r="BB191" s="80" t="s">
        <v>252</v>
      </c>
      <c r="BC191" s="80" t="s">
        <v>1177</v>
      </c>
      <c r="BD191" s="76">
        <v>413370855</v>
      </c>
      <c r="BE191" s="76"/>
      <c r="BF191" s="76"/>
      <c r="BG191" s="76"/>
      <c r="BH191" s="76"/>
      <c r="BI191" s="76"/>
      <c r="BJ191" s="76">
        <v>1</v>
      </c>
      <c r="BK191" s="75" t="str">
        <f>REPLACE(INDEX(GroupVertices[Group],MATCH("~"&amp;Edges[[#This Row],[Vertex 1]],GroupVertices[Vertex],0)),1,1,"")</f>
        <v>4</v>
      </c>
      <c r="BL191" s="75" t="str">
        <f>REPLACE(INDEX(GroupVertices[Group],MATCH("~"&amp;Edges[[#This Row],[Vertex 2]],GroupVertices[Vertex],0)),1,1,"")</f>
        <v>4</v>
      </c>
    </row>
    <row r="192" spans="1:64" ht="15">
      <c r="A192" s="61" t="s">
        <v>642</v>
      </c>
      <c r="B192" s="61" t="s">
        <v>726</v>
      </c>
      <c r="C192" s="62"/>
      <c r="D192" s="63"/>
      <c r="E192" s="64"/>
      <c r="F192" s="65"/>
      <c r="G192" s="62"/>
      <c r="H192" s="66"/>
      <c r="I192" s="67"/>
      <c r="J192" s="67"/>
      <c r="K192" s="31" t="s">
        <v>65</v>
      </c>
      <c r="L192" s="74">
        <v>192</v>
      </c>
      <c r="M192" s="74"/>
      <c r="N192" s="69"/>
      <c r="O192" s="76" t="s">
        <v>227</v>
      </c>
      <c r="P192" s="78">
        <v>42885.54835648148</v>
      </c>
      <c r="Q192" s="76" t="s">
        <v>821</v>
      </c>
      <c r="R192" s="76">
        <v>2</v>
      </c>
      <c r="S192" s="76">
        <v>1</v>
      </c>
      <c r="T192" s="76">
        <v>0</v>
      </c>
      <c r="U192" s="76">
        <v>0</v>
      </c>
      <c r="V192" s="76"/>
      <c r="W192" s="76"/>
      <c r="X192" s="76"/>
      <c r="Y192" s="76"/>
      <c r="Z192" s="76" t="s">
        <v>922</v>
      </c>
      <c r="AA192" s="76"/>
      <c r="AB192" s="76"/>
      <c r="AC192" s="80" t="s">
        <v>947</v>
      </c>
      <c r="AD192" s="76" t="s">
        <v>244</v>
      </c>
      <c r="AE192" s="81" t="str">
        <f>HYPERLINK("https://twitter.com/barnabywass/status/869541310516133888")</f>
        <v>https://twitter.com/barnabywass/status/869541310516133888</v>
      </c>
      <c r="AF192" s="78">
        <v>42885.54835648148</v>
      </c>
      <c r="AG192" s="85">
        <v>42885</v>
      </c>
      <c r="AH192" s="80" t="s">
        <v>1045</v>
      </c>
      <c r="AI192" s="76"/>
      <c r="AJ192" s="76"/>
      <c r="AK192" s="76"/>
      <c r="AL192" s="76"/>
      <c r="AM192" s="76"/>
      <c r="AN192" s="76"/>
      <c r="AO192" s="76"/>
      <c r="AP192" s="76"/>
      <c r="AQ192" s="76"/>
      <c r="AR192" s="76"/>
      <c r="AS192" s="76"/>
      <c r="AT192" s="76"/>
      <c r="AU192" s="76"/>
      <c r="AV192" s="81" t="str">
        <f>HYPERLINK("https://pbs.twimg.com/profile_images/1595048650220228612/7d0PQZ96_normal.jpg")</f>
        <v>https://pbs.twimg.com/profile_images/1595048650220228612/7d0PQZ96_normal.jpg</v>
      </c>
      <c r="AW192" s="80" t="s">
        <v>1177</v>
      </c>
      <c r="AX192" s="80" t="s">
        <v>1177</v>
      </c>
      <c r="AY192" s="76"/>
      <c r="AZ192" s="80" t="s">
        <v>252</v>
      </c>
      <c r="BA192" s="80" t="s">
        <v>252</v>
      </c>
      <c r="BB192" s="80" t="s">
        <v>252</v>
      </c>
      <c r="BC192" s="80" t="s">
        <v>1177</v>
      </c>
      <c r="BD192" s="76">
        <v>413370855</v>
      </c>
      <c r="BE192" s="76"/>
      <c r="BF192" s="76"/>
      <c r="BG192" s="76"/>
      <c r="BH192" s="76"/>
      <c r="BI192" s="76"/>
      <c r="BJ192" s="76">
        <v>1</v>
      </c>
      <c r="BK192" s="75" t="str">
        <f>REPLACE(INDEX(GroupVertices[Group],MATCH("~"&amp;Edges[[#This Row],[Vertex 1]],GroupVertices[Vertex],0)),1,1,"")</f>
        <v>4</v>
      </c>
      <c r="BL192" s="75" t="str">
        <f>REPLACE(INDEX(GroupVertices[Group],MATCH("~"&amp;Edges[[#This Row],[Vertex 2]],GroupVertices[Vertex],0)),1,1,"")</f>
        <v>4</v>
      </c>
    </row>
    <row r="193" spans="1:64" ht="15">
      <c r="A193" s="61" t="s">
        <v>642</v>
      </c>
      <c r="B193" s="61" t="s">
        <v>727</v>
      </c>
      <c r="C193" s="62"/>
      <c r="D193" s="63"/>
      <c r="E193" s="64"/>
      <c r="F193" s="65"/>
      <c r="G193" s="62"/>
      <c r="H193" s="66"/>
      <c r="I193" s="67"/>
      <c r="J193" s="67"/>
      <c r="K193" s="31" t="s">
        <v>65</v>
      </c>
      <c r="L193" s="74">
        <v>193</v>
      </c>
      <c r="M193" s="74"/>
      <c r="N193" s="69"/>
      <c r="O193" s="76" t="s">
        <v>227</v>
      </c>
      <c r="P193" s="78">
        <v>42885.54835648148</v>
      </c>
      <c r="Q193" s="76" t="s">
        <v>821</v>
      </c>
      <c r="R193" s="76">
        <v>2</v>
      </c>
      <c r="S193" s="76">
        <v>1</v>
      </c>
      <c r="T193" s="76">
        <v>0</v>
      </c>
      <c r="U193" s="76">
        <v>0</v>
      </c>
      <c r="V193" s="76"/>
      <c r="W193" s="76"/>
      <c r="X193" s="76"/>
      <c r="Y193" s="76"/>
      <c r="Z193" s="76" t="s">
        <v>922</v>
      </c>
      <c r="AA193" s="76"/>
      <c r="AB193" s="76"/>
      <c r="AC193" s="80" t="s">
        <v>947</v>
      </c>
      <c r="AD193" s="76" t="s">
        <v>244</v>
      </c>
      <c r="AE193" s="81" t="str">
        <f>HYPERLINK("https://twitter.com/barnabywass/status/869541310516133888")</f>
        <v>https://twitter.com/barnabywass/status/869541310516133888</v>
      </c>
      <c r="AF193" s="78">
        <v>42885.54835648148</v>
      </c>
      <c r="AG193" s="85">
        <v>42885</v>
      </c>
      <c r="AH193" s="80" t="s">
        <v>1045</v>
      </c>
      <c r="AI193" s="76"/>
      <c r="AJ193" s="76"/>
      <c r="AK193" s="76"/>
      <c r="AL193" s="76"/>
      <c r="AM193" s="76"/>
      <c r="AN193" s="76"/>
      <c r="AO193" s="76"/>
      <c r="AP193" s="76"/>
      <c r="AQ193" s="76"/>
      <c r="AR193" s="76"/>
      <c r="AS193" s="76"/>
      <c r="AT193" s="76"/>
      <c r="AU193" s="76"/>
      <c r="AV193" s="81" t="str">
        <f>HYPERLINK("https://pbs.twimg.com/profile_images/1595048650220228612/7d0PQZ96_normal.jpg")</f>
        <v>https://pbs.twimg.com/profile_images/1595048650220228612/7d0PQZ96_normal.jpg</v>
      </c>
      <c r="AW193" s="80" t="s">
        <v>1177</v>
      </c>
      <c r="AX193" s="80" t="s">
        <v>1177</v>
      </c>
      <c r="AY193" s="76"/>
      <c r="AZ193" s="80" t="s">
        <v>252</v>
      </c>
      <c r="BA193" s="80" t="s">
        <v>252</v>
      </c>
      <c r="BB193" s="80" t="s">
        <v>252</v>
      </c>
      <c r="BC193" s="80" t="s">
        <v>1177</v>
      </c>
      <c r="BD193" s="76">
        <v>413370855</v>
      </c>
      <c r="BE193" s="76"/>
      <c r="BF193" s="76"/>
      <c r="BG193" s="76"/>
      <c r="BH193" s="76"/>
      <c r="BI193" s="76"/>
      <c r="BJ193" s="76">
        <v>1</v>
      </c>
      <c r="BK193" s="75" t="str">
        <f>REPLACE(INDEX(GroupVertices[Group],MATCH("~"&amp;Edges[[#This Row],[Vertex 1]],GroupVertices[Vertex],0)),1,1,"")</f>
        <v>4</v>
      </c>
      <c r="BL193" s="75" t="str">
        <f>REPLACE(INDEX(GroupVertices[Group],MATCH("~"&amp;Edges[[#This Row],[Vertex 2]],GroupVertices[Vertex],0)),1,1,"")</f>
        <v>4</v>
      </c>
    </row>
    <row r="194" spans="1:64" ht="15">
      <c r="A194" s="61" t="s">
        <v>642</v>
      </c>
      <c r="B194" s="61" t="s">
        <v>728</v>
      </c>
      <c r="C194" s="62"/>
      <c r="D194" s="63"/>
      <c r="E194" s="64"/>
      <c r="F194" s="65"/>
      <c r="G194" s="62"/>
      <c r="H194" s="66"/>
      <c r="I194" s="67"/>
      <c r="J194" s="67"/>
      <c r="K194" s="31" t="s">
        <v>65</v>
      </c>
      <c r="L194" s="74">
        <v>194</v>
      </c>
      <c r="M194" s="74"/>
      <c r="N194" s="69"/>
      <c r="O194" s="76" t="s">
        <v>227</v>
      </c>
      <c r="P194" s="78">
        <v>42885.54835648148</v>
      </c>
      <c r="Q194" s="76" t="s">
        <v>821</v>
      </c>
      <c r="R194" s="76">
        <v>2</v>
      </c>
      <c r="S194" s="76">
        <v>1</v>
      </c>
      <c r="T194" s="76">
        <v>0</v>
      </c>
      <c r="U194" s="76">
        <v>0</v>
      </c>
      <c r="V194" s="76"/>
      <c r="W194" s="76"/>
      <c r="X194" s="76"/>
      <c r="Y194" s="76"/>
      <c r="Z194" s="76" t="s">
        <v>922</v>
      </c>
      <c r="AA194" s="76"/>
      <c r="AB194" s="76"/>
      <c r="AC194" s="80" t="s">
        <v>947</v>
      </c>
      <c r="AD194" s="76" t="s">
        <v>244</v>
      </c>
      <c r="AE194" s="81" t="str">
        <f>HYPERLINK("https://twitter.com/barnabywass/status/869541310516133888")</f>
        <v>https://twitter.com/barnabywass/status/869541310516133888</v>
      </c>
      <c r="AF194" s="78">
        <v>42885.54835648148</v>
      </c>
      <c r="AG194" s="85">
        <v>42885</v>
      </c>
      <c r="AH194" s="80" t="s">
        <v>1045</v>
      </c>
      <c r="AI194" s="76"/>
      <c r="AJ194" s="76"/>
      <c r="AK194" s="76"/>
      <c r="AL194" s="76"/>
      <c r="AM194" s="76"/>
      <c r="AN194" s="76"/>
      <c r="AO194" s="76"/>
      <c r="AP194" s="76"/>
      <c r="AQ194" s="76"/>
      <c r="AR194" s="76"/>
      <c r="AS194" s="76"/>
      <c r="AT194" s="76"/>
      <c r="AU194" s="76"/>
      <c r="AV194" s="81" t="str">
        <f>HYPERLINK("https://pbs.twimg.com/profile_images/1595048650220228612/7d0PQZ96_normal.jpg")</f>
        <v>https://pbs.twimg.com/profile_images/1595048650220228612/7d0PQZ96_normal.jpg</v>
      </c>
      <c r="AW194" s="80" t="s">
        <v>1177</v>
      </c>
      <c r="AX194" s="80" t="s">
        <v>1177</v>
      </c>
      <c r="AY194" s="76"/>
      <c r="AZ194" s="80" t="s">
        <v>252</v>
      </c>
      <c r="BA194" s="80" t="s">
        <v>252</v>
      </c>
      <c r="BB194" s="80" t="s">
        <v>252</v>
      </c>
      <c r="BC194" s="80" t="s">
        <v>1177</v>
      </c>
      <c r="BD194" s="76">
        <v>413370855</v>
      </c>
      <c r="BE194" s="76"/>
      <c r="BF194" s="76"/>
      <c r="BG194" s="76"/>
      <c r="BH194" s="76"/>
      <c r="BI194" s="76"/>
      <c r="BJ194" s="76">
        <v>1</v>
      </c>
      <c r="BK194" s="75" t="str">
        <f>REPLACE(INDEX(GroupVertices[Group],MATCH("~"&amp;Edges[[#This Row],[Vertex 1]],GroupVertices[Vertex],0)),1,1,"")</f>
        <v>4</v>
      </c>
      <c r="BL194" s="75" t="str">
        <f>REPLACE(INDEX(GroupVertices[Group],MATCH("~"&amp;Edges[[#This Row],[Vertex 2]],GroupVertices[Vertex],0)),1,1,"")</f>
        <v>4</v>
      </c>
    </row>
    <row r="195" spans="1:64" ht="15">
      <c r="A195" s="61" t="s">
        <v>642</v>
      </c>
      <c r="B195" s="61" t="s">
        <v>224</v>
      </c>
      <c r="C195" s="62"/>
      <c r="D195" s="63"/>
      <c r="E195" s="64"/>
      <c r="F195" s="65"/>
      <c r="G195" s="62"/>
      <c r="H195" s="66"/>
      <c r="I195" s="67"/>
      <c r="J195" s="67"/>
      <c r="K195" s="31" t="s">
        <v>65</v>
      </c>
      <c r="L195" s="74">
        <v>195</v>
      </c>
      <c r="M195" s="74"/>
      <c r="N195" s="69"/>
      <c r="O195" s="76" t="s">
        <v>227</v>
      </c>
      <c r="P195" s="78">
        <v>42885.54835648148</v>
      </c>
      <c r="Q195" s="76" t="s">
        <v>821</v>
      </c>
      <c r="R195" s="76">
        <v>2</v>
      </c>
      <c r="S195" s="76">
        <v>1</v>
      </c>
      <c r="T195" s="76">
        <v>0</v>
      </c>
      <c r="U195" s="76">
        <v>0</v>
      </c>
      <c r="V195" s="76"/>
      <c r="W195" s="76"/>
      <c r="X195" s="76"/>
      <c r="Y195" s="76"/>
      <c r="Z195" s="76" t="s">
        <v>922</v>
      </c>
      <c r="AA195" s="76"/>
      <c r="AB195" s="76"/>
      <c r="AC195" s="80" t="s">
        <v>947</v>
      </c>
      <c r="AD195" s="76" t="s">
        <v>244</v>
      </c>
      <c r="AE195" s="81" t="str">
        <f>HYPERLINK("https://twitter.com/barnabywass/status/869541310516133888")</f>
        <v>https://twitter.com/barnabywass/status/869541310516133888</v>
      </c>
      <c r="AF195" s="78">
        <v>42885.54835648148</v>
      </c>
      <c r="AG195" s="85">
        <v>42885</v>
      </c>
      <c r="AH195" s="80" t="s">
        <v>1045</v>
      </c>
      <c r="AI195" s="76"/>
      <c r="AJ195" s="76"/>
      <c r="AK195" s="76"/>
      <c r="AL195" s="76"/>
      <c r="AM195" s="76"/>
      <c r="AN195" s="76"/>
      <c r="AO195" s="76"/>
      <c r="AP195" s="76"/>
      <c r="AQ195" s="76"/>
      <c r="AR195" s="76"/>
      <c r="AS195" s="76"/>
      <c r="AT195" s="76"/>
      <c r="AU195" s="76"/>
      <c r="AV195" s="81" t="str">
        <f>HYPERLINK("https://pbs.twimg.com/profile_images/1595048650220228612/7d0PQZ96_normal.jpg")</f>
        <v>https://pbs.twimg.com/profile_images/1595048650220228612/7d0PQZ96_normal.jpg</v>
      </c>
      <c r="AW195" s="80" t="s">
        <v>1177</v>
      </c>
      <c r="AX195" s="80" t="s">
        <v>1177</v>
      </c>
      <c r="AY195" s="76"/>
      <c r="AZ195" s="80" t="s">
        <v>252</v>
      </c>
      <c r="BA195" s="80" t="s">
        <v>252</v>
      </c>
      <c r="BB195" s="80" t="s">
        <v>252</v>
      </c>
      <c r="BC195" s="80" t="s">
        <v>1177</v>
      </c>
      <c r="BD195" s="76">
        <v>413370855</v>
      </c>
      <c r="BE195" s="76"/>
      <c r="BF195" s="76"/>
      <c r="BG195" s="76"/>
      <c r="BH195" s="76"/>
      <c r="BI195" s="76"/>
      <c r="BJ195" s="76">
        <v>1</v>
      </c>
      <c r="BK195" s="75" t="str">
        <f>REPLACE(INDEX(GroupVertices[Group],MATCH("~"&amp;Edges[[#This Row],[Vertex 1]],GroupVertices[Vertex],0)),1,1,"")</f>
        <v>4</v>
      </c>
      <c r="BL195" s="75" t="str">
        <f>REPLACE(INDEX(GroupVertices[Group],MATCH("~"&amp;Edges[[#This Row],[Vertex 2]],GroupVertices[Vertex],0)),1,1,"")</f>
        <v>1</v>
      </c>
    </row>
    <row r="196" spans="1:64" ht="15">
      <c r="A196" s="61" t="s">
        <v>643</v>
      </c>
      <c r="B196" s="61" t="s">
        <v>224</v>
      </c>
      <c r="C196" s="62"/>
      <c r="D196" s="63"/>
      <c r="E196" s="64"/>
      <c r="F196" s="65"/>
      <c r="G196" s="62"/>
      <c r="H196" s="66"/>
      <c r="I196" s="67"/>
      <c r="J196" s="67"/>
      <c r="K196" s="31" t="s">
        <v>65</v>
      </c>
      <c r="L196" s="74">
        <v>196</v>
      </c>
      <c r="M196" s="74"/>
      <c r="N196" s="69"/>
      <c r="O196" s="76" t="s">
        <v>227</v>
      </c>
      <c r="P196" s="78">
        <v>42956.37265046296</v>
      </c>
      <c r="Q196" s="76" t="s">
        <v>822</v>
      </c>
      <c r="R196" s="76">
        <v>0</v>
      </c>
      <c r="S196" s="76">
        <v>0</v>
      </c>
      <c r="T196" s="76">
        <v>0</v>
      </c>
      <c r="U196" s="76">
        <v>0</v>
      </c>
      <c r="V196" s="76"/>
      <c r="W196" s="76"/>
      <c r="X196" s="81" t="str">
        <f>HYPERLINK("http://www.geekrelief.com/business-analytics-website-maintenance-checklist-part-2/")</f>
        <v>http://www.geekrelief.com/business-analytics-website-maintenance-checklist-part-2/</v>
      </c>
      <c r="Y196" s="76" t="s">
        <v>889</v>
      </c>
      <c r="Z196" s="76" t="s">
        <v>224</v>
      </c>
      <c r="AA196" s="76"/>
      <c r="AB196" s="76"/>
      <c r="AC196" s="80" t="s">
        <v>945</v>
      </c>
      <c r="AD196" s="76" t="s">
        <v>244</v>
      </c>
      <c r="AE196" s="81" t="str">
        <f>HYPERLINK("https://twitter.com/getgeekrelief/status/895207175567618048")</f>
        <v>https://twitter.com/getgeekrelief/status/895207175567618048</v>
      </c>
      <c r="AF196" s="78">
        <v>42956.37265046296</v>
      </c>
      <c r="AG196" s="85">
        <v>42956</v>
      </c>
      <c r="AH196" s="80" t="s">
        <v>1046</v>
      </c>
      <c r="AI196" s="76" t="b">
        <v>0</v>
      </c>
      <c r="AJ196" s="76"/>
      <c r="AK196" s="76"/>
      <c r="AL196" s="76"/>
      <c r="AM196" s="76"/>
      <c r="AN196" s="76"/>
      <c r="AO196" s="76"/>
      <c r="AP196" s="76"/>
      <c r="AQ196" s="76"/>
      <c r="AR196" s="76"/>
      <c r="AS196" s="76"/>
      <c r="AT196" s="76"/>
      <c r="AU196" s="76"/>
      <c r="AV196" s="81" t="str">
        <f>HYPERLINK("https://pbs.twimg.com/profile_images/818840593480585216/ZT0mmvMd_normal.jpg")</f>
        <v>https://pbs.twimg.com/profile_images/818840593480585216/ZT0mmvMd_normal.jpg</v>
      </c>
      <c r="AW196" s="80" t="s">
        <v>1178</v>
      </c>
      <c r="AX196" s="80" t="s">
        <v>1178</v>
      </c>
      <c r="AY196" s="80" t="s">
        <v>251</v>
      </c>
      <c r="AZ196" s="80" t="s">
        <v>252</v>
      </c>
      <c r="BA196" s="80" t="s">
        <v>252</v>
      </c>
      <c r="BB196" s="80" t="s">
        <v>252</v>
      </c>
      <c r="BC196" s="80" t="s">
        <v>1178</v>
      </c>
      <c r="BD196" s="80" t="s">
        <v>1237</v>
      </c>
      <c r="BE196" s="76"/>
      <c r="BF196" s="76"/>
      <c r="BG196" s="76"/>
      <c r="BH196" s="76"/>
      <c r="BI196" s="76"/>
      <c r="BJ196" s="76">
        <v>1</v>
      </c>
      <c r="BK196" s="75" t="str">
        <f>REPLACE(INDEX(GroupVertices[Group],MATCH("~"&amp;Edges[[#This Row],[Vertex 1]],GroupVertices[Vertex],0)),1,1,"")</f>
        <v>1</v>
      </c>
      <c r="BL196" s="75" t="str">
        <f>REPLACE(INDEX(GroupVertices[Group],MATCH("~"&amp;Edges[[#This Row],[Vertex 2]],GroupVertices[Vertex],0)),1,1,"")</f>
        <v>1</v>
      </c>
    </row>
    <row r="197" spans="1:64" ht="15">
      <c r="A197" s="61" t="s">
        <v>644</v>
      </c>
      <c r="B197" s="61" t="s">
        <v>729</v>
      </c>
      <c r="C197" s="62"/>
      <c r="D197" s="63"/>
      <c r="E197" s="64"/>
      <c r="F197" s="65"/>
      <c r="G197" s="62"/>
      <c r="H197" s="66"/>
      <c r="I197" s="67"/>
      <c r="J197" s="67"/>
      <c r="K197" s="31" t="s">
        <v>65</v>
      </c>
      <c r="L197" s="74">
        <v>197</v>
      </c>
      <c r="M197" s="74"/>
      <c r="N197" s="69"/>
      <c r="O197" s="76" t="s">
        <v>227</v>
      </c>
      <c r="P197" s="78">
        <v>45065.54019675926</v>
      </c>
      <c r="Q197" s="76" t="s">
        <v>823</v>
      </c>
      <c r="R197" s="76">
        <v>0</v>
      </c>
      <c r="S197" s="76">
        <v>0</v>
      </c>
      <c r="T197" s="76">
        <v>0</v>
      </c>
      <c r="U197" s="76">
        <v>0</v>
      </c>
      <c r="V197" s="76">
        <v>9</v>
      </c>
      <c r="W197" s="80" t="s">
        <v>854</v>
      </c>
      <c r="X197" s="81" t="str">
        <f>HYPERLINK("http://webguruawards.com/winners")</f>
        <v>http://webguruawards.com/winners</v>
      </c>
      <c r="Y197" s="76" t="s">
        <v>890</v>
      </c>
      <c r="Z197" s="76" t="s">
        <v>923</v>
      </c>
      <c r="AA197" s="76" t="s">
        <v>941</v>
      </c>
      <c r="AB197" s="76" t="s">
        <v>238</v>
      </c>
      <c r="AC197" s="80" t="s">
        <v>239</v>
      </c>
      <c r="AD197" s="76" t="s">
        <v>244</v>
      </c>
      <c r="AE197" s="81" t="str">
        <f>HYPERLINK("https://twitter.com/webguruawards/status/1659543901219299330")</f>
        <v>https://twitter.com/webguruawards/status/1659543901219299330</v>
      </c>
      <c r="AF197" s="78">
        <v>45065.54019675926</v>
      </c>
      <c r="AG197" s="85">
        <v>45065</v>
      </c>
      <c r="AH197" s="80" t="s">
        <v>1047</v>
      </c>
      <c r="AI197" s="76" t="b">
        <v>0</v>
      </c>
      <c r="AJ197" s="76"/>
      <c r="AK197" s="76"/>
      <c r="AL197" s="76"/>
      <c r="AM197" s="76"/>
      <c r="AN197" s="76"/>
      <c r="AO197" s="76"/>
      <c r="AP197" s="76"/>
      <c r="AQ197" s="76" t="s">
        <v>1081</v>
      </c>
      <c r="AR197" s="76">
        <v>16000</v>
      </c>
      <c r="AS197" s="76"/>
      <c r="AT197" s="76"/>
      <c r="AU197" s="76"/>
      <c r="AV197" s="81" t="str">
        <f>HYPERLINK("https://pbs.twimg.com/ext_tw_video_thumb/1659543765441212417/pu/img/s2xgeU5eSt-3S9xg.jpg")</f>
        <v>https://pbs.twimg.com/ext_tw_video_thumb/1659543765441212417/pu/img/s2xgeU5eSt-3S9xg.jpg</v>
      </c>
      <c r="AW197" s="80" t="s">
        <v>1179</v>
      </c>
      <c r="AX197" s="80" t="s">
        <v>1179</v>
      </c>
      <c r="AY197" s="76"/>
      <c r="AZ197" s="80" t="s">
        <v>252</v>
      </c>
      <c r="BA197" s="80" t="s">
        <v>252</v>
      </c>
      <c r="BB197" s="80" t="s">
        <v>252</v>
      </c>
      <c r="BC197" s="80" t="s">
        <v>1179</v>
      </c>
      <c r="BD197" s="76">
        <v>3041320412</v>
      </c>
      <c r="BE197" s="76"/>
      <c r="BF197" s="76"/>
      <c r="BG197" s="76"/>
      <c r="BH197" s="76"/>
      <c r="BI197" s="76"/>
      <c r="BJ197" s="76">
        <v>1</v>
      </c>
      <c r="BK197" s="75" t="str">
        <f>REPLACE(INDEX(GroupVertices[Group],MATCH("~"&amp;Edges[[#This Row],[Vertex 1]],GroupVertices[Vertex],0)),1,1,"")</f>
        <v>10</v>
      </c>
      <c r="BL197" s="75" t="str">
        <f>REPLACE(INDEX(GroupVertices[Group],MATCH("~"&amp;Edges[[#This Row],[Vertex 2]],GroupVertices[Vertex],0)),1,1,"")</f>
        <v>10</v>
      </c>
    </row>
    <row r="198" spans="1:64" ht="15">
      <c r="A198" s="61" t="s">
        <v>224</v>
      </c>
      <c r="B198" s="61" t="s">
        <v>644</v>
      </c>
      <c r="C198" s="62"/>
      <c r="D198" s="63"/>
      <c r="E198" s="64"/>
      <c r="F198" s="65"/>
      <c r="G198" s="62"/>
      <c r="H198" s="66"/>
      <c r="I198" s="67"/>
      <c r="J198" s="67"/>
      <c r="K198" s="31" t="s">
        <v>66</v>
      </c>
      <c r="L198" s="74">
        <v>198</v>
      </c>
      <c r="M198" s="74"/>
      <c r="N198" s="69"/>
      <c r="O198" s="76" t="s">
        <v>227</v>
      </c>
      <c r="P198" s="78">
        <v>43242.176030092596</v>
      </c>
      <c r="Q198" s="76" t="s">
        <v>824</v>
      </c>
      <c r="R198" s="76">
        <v>0</v>
      </c>
      <c r="S198" s="76">
        <v>1</v>
      </c>
      <c r="T198" s="76">
        <v>0</v>
      </c>
      <c r="U198" s="76">
        <v>0</v>
      </c>
      <c r="V198" s="76"/>
      <c r="W198" s="76"/>
      <c r="X198" s="76"/>
      <c r="Y198" s="76"/>
      <c r="Z198" s="76" t="s">
        <v>924</v>
      </c>
      <c r="AA198" s="76" t="s">
        <v>942</v>
      </c>
      <c r="AB198" s="76" t="s">
        <v>237</v>
      </c>
      <c r="AC198" s="80" t="s">
        <v>947</v>
      </c>
      <c r="AD198" s="76" t="s">
        <v>245</v>
      </c>
      <c r="AE198" s="81" t="str">
        <f>HYPERLINK("https://twitter.com/inovies/status/998778853408436224")</f>
        <v>https://twitter.com/inovies/status/998778853408436224</v>
      </c>
      <c r="AF198" s="78">
        <v>43242.176030092596</v>
      </c>
      <c r="AG198" s="85">
        <v>43242</v>
      </c>
      <c r="AH198" s="80" t="s">
        <v>1048</v>
      </c>
      <c r="AI198" s="76" t="b">
        <v>0</v>
      </c>
      <c r="AJ198" s="76"/>
      <c r="AK198" s="76"/>
      <c r="AL198" s="76"/>
      <c r="AM198" s="76"/>
      <c r="AN198" s="76"/>
      <c r="AO198" s="76"/>
      <c r="AP198" s="76"/>
      <c r="AQ198" s="76" t="s">
        <v>1082</v>
      </c>
      <c r="AR198" s="76"/>
      <c r="AS198" s="76"/>
      <c r="AT198" s="76"/>
      <c r="AU198" s="76"/>
      <c r="AV198" s="81" t="str">
        <f>HYPERLINK("https://pbs.twimg.com/media/Ddxf9C7V0AA4csq.jpg")</f>
        <v>https://pbs.twimg.com/media/Ddxf9C7V0AA4csq.jpg</v>
      </c>
      <c r="AW198" s="80" t="s">
        <v>1180</v>
      </c>
      <c r="AX198" s="80" t="s">
        <v>1180</v>
      </c>
      <c r="AY198" s="80" t="s">
        <v>1223</v>
      </c>
      <c r="AZ198" s="80" t="s">
        <v>252</v>
      </c>
      <c r="BA198" s="80" t="s">
        <v>252</v>
      </c>
      <c r="BB198" s="80" t="s">
        <v>252</v>
      </c>
      <c r="BC198" s="80" t="s">
        <v>1180</v>
      </c>
      <c r="BD198" s="76">
        <v>297885438</v>
      </c>
      <c r="BE198" s="76"/>
      <c r="BF198" s="76"/>
      <c r="BG198" s="76"/>
      <c r="BH198" s="76"/>
      <c r="BI198" s="76"/>
      <c r="BJ198" s="76">
        <v>1</v>
      </c>
      <c r="BK198" s="75" t="str">
        <f>REPLACE(INDEX(GroupVertices[Group],MATCH("~"&amp;Edges[[#This Row],[Vertex 1]],GroupVertices[Vertex],0)),1,1,"")</f>
        <v>1</v>
      </c>
      <c r="BL198" s="75" t="str">
        <f>REPLACE(INDEX(GroupVertices[Group],MATCH("~"&amp;Edges[[#This Row],[Vertex 2]],GroupVertices[Vertex],0)),1,1,"")</f>
        <v>10</v>
      </c>
    </row>
    <row r="199" spans="1:64" ht="15">
      <c r="A199" s="61" t="s">
        <v>644</v>
      </c>
      <c r="B199" s="61" t="s">
        <v>224</v>
      </c>
      <c r="C199" s="62"/>
      <c r="D199" s="63"/>
      <c r="E199" s="64"/>
      <c r="F199" s="65"/>
      <c r="G199" s="62"/>
      <c r="H199" s="66"/>
      <c r="I199" s="67"/>
      <c r="J199" s="67"/>
      <c r="K199" s="31" t="s">
        <v>66</v>
      </c>
      <c r="L199" s="74">
        <v>199</v>
      </c>
      <c r="M199" s="74"/>
      <c r="N199" s="69"/>
      <c r="O199" s="76" t="s">
        <v>227</v>
      </c>
      <c r="P199" s="78">
        <v>43239.7293287037</v>
      </c>
      <c r="Q199" s="76" t="s">
        <v>825</v>
      </c>
      <c r="R199" s="76">
        <v>0</v>
      </c>
      <c r="S199" s="76">
        <v>0</v>
      </c>
      <c r="T199" s="76">
        <v>0</v>
      </c>
      <c r="U199" s="76">
        <v>0</v>
      </c>
      <c r="V199" s="76"/>
      <c r="W199" s="80" t="s">
        <v>855</v>
      </c>
      <c r="X199" s="81" t="str">
        <f>HYPERLINK("https://www.webguruawards.com/user/details/webdesignagency-1662")</f>
        <v>https://www.webguruawards.com/user/details/webdesignagency-1662</v>
      </c>
      <c r="Y199" s="76" t="s">
        <v>890</v>
      </c>
      <c r="Z199" s="76" t="s">
        <v>224</v>
      </c>
      <c r="AA199" s="76" t="s">
        <v>943</v>
      </c>
      <c r="AB199" s="76" t="s">
        <v>237</v>
      </c>
      <c r="AC199" s="80" t="s">
        <v>947</v>
      </c>
      <c r="AD199" s="76" t="s">
        <v>244</v>
      </c>
      <c r="AE199" s="81" t="str">
        <f>HYPERLINK("https://twitter.com/webguruawards/status/997892196442431488")</f>
        <v>https://twitter.com/webguruawards/status/997892196442431488</v>
      </c>
      <c r="AF199" s="78">
        <v>43239.7293287037</v>
      </c>
      <c r="AG199" s="85">
        <v>43239</v>
      </c>
      <c r="AH199" s="80" t="s">
        <v>1049</v>
      </c>
      <c r="AI199" s="76" t="b">
        <v>0</v>
      </c>
      <c r="AJ199" s="76"/>
      <c r="AK199" s="76"/>
      <c r="AL199" s="76"/>
      <c r="AM199" s="76"/>
      <c r="AN199" s="76"/>
      <c r="AO199" s="76"/>
      <c r="AP199" s="76"/>
      <c r="AQ199" s="76" t="s">
        <v>1083</v>
      </c>
      <c r="AR199" s="76"/>
      <c r="AS199" s="76"/>
      <c r="AT199" s="76"/>
      <c r="AU199" s="76"/>
      <c r="AV199" s="81" t="str">
        <f>HYPERLINK("https://pbs.twimg.com/media/Ddk5lziVMAA16C-.jpg")</f>
        <v>https://pbs.twimg.com/media/Ddk5lziVMAA16C-.jpg</v>
      </c>
      <c r="AW199" s="80" t="s">
        <v>1181</v>
      </c>
      <c r="AX199" s="80" t="s">
        <v>1181</v>
      </c>
      <c r="AY199" s="76"/>
      <c r="AZ199" s="80" t="s">
        <v>252</v>
      </c>
      <c r="BA199" s="80" t="s">
        <v>252</v>
      </c>
      <c r="BB199" s="80" t="s">
        <v>252</v>
      </c>
      <c r="BC199" s="80" t="s">
        <v>1181</v>
      </c>
      <c r="BD199" s="76">
        <v>3041320412</v>
      </c>
      <c r="BE199" s="76"/>
      <c r="BF199" s="76"/>
      <c r="BG199" s="76"/>
      <c r="BH199" s="76"/>
      <c r="BI199" s="76"/>
      <c r="BJ199" s="76">
        <v>4</v>
      </c>
      <c r="BK199" s="75" t="str">
        <f>REPLACE(INDEX(GroupVertices[Group],MATCH("~"&amp;Edges[[#This Row],[Vertex 1]],GroupVertices[Vertex],0)),1,1,"")</f>
        <v>10</v>
      </c>
      <c r="BL199" s="75" t="str">
        <f>REPLACE(INDEX(GroupVertices[Group],MATCH("~"&amp;Edges[[#This Row],[Vertex 2]],GroupVertices[Vertex],0)),1,1,"")</f>
        <v>1</v>
      </c>
    </row>
    <row r="200" spans="1:64" ht="15">
      <c r="A200" s="61" t="s">
        <v>645</v>
      </c>
      <c r="B200" s="61" t="s">
        <v>682</v>
      </c>
      <c r="C200" s="62"/>
      <c r="D200" s="63"/>
      <c r="E200" s="64"/>
      <c r="F200" s="65"/>
      <c r="G200" s="62"/>
      <c r="H200" s="66"/>
      <c r="I200" s="67"/>
      <c r="J200" s="67"/>
      <c r="K200" s="31" t="s">
        <v>65</v>
      </c>
      <c r="L200" s="74">
        <v>200</v>
      </c>
      <c r="M200" s="74"/>
      <c r="N200" s="69"/>
      <c r="O200" s="76" t="s">
        <v>227</v>
      </c>
      <c r="P200" s="78">
        <v>43185.224907407406</v>
      </c>
      <c r="Q200" s="76" t="s">
        <v>826</v>
      </c>
      <c r="R200" s="76">
        <v>0</v>
      </c>
      <c r="S200" s="76">
        <v>0</v>
      </c>
      <c r="T200" s="76">
        <v>0</v>
      </c>
      <c r="U200" s="76">
        <v>0</v>
      </c>
      <c r="V200" s="76"/>
      <c r="W200" s="80" t="s">
        <v>856</v>
      </c>
      <c r="X200" s="81" t="str">
        <f>HYPERLINK("https://customerthink.com/will-you-become-one-with-growth-hacker-marketing/")</f>
        <v>https://customerthink.com/will-you-become-one-with-growth-hacker-marketing/</v>
      </c>
      <c r="Y200" s="76" t="s">
        <v>871</v>
      </c>
      <c r="Z200" s="76" t="s">
        <v>901</v>
      </c>
      <c r="AA200" s="76"/>
      <c r="AB200" s="76"/>
      <c r="AC200" s="80" t="s">
        <v>947</v>
      </c>
      <c r="AD200" s="76" t="s">
        <v>244</v>
      </c>
      <c r="AE200" s="81" t="str">
        <f>HYPERLINK("https://twitter.com/dpanshugahlaut/status/978140455945687040")</f>
        <v>https://twitter.com/dpanshugahlaut/status/978140455945687040</v>
      </c>
      <c r="AF200" s="78">
        <v>43185.224907407406</v>
      </c>
      <c r="AG200" s="85">
        <v>43185</v>
      </c>
      <c r="AH200" s="80" t="s">
        <v>1050</v>
      </c>
      <c r="AI200" s="76" t="b">
        <v>0</v>
      </c>
      <c r="AJ200" s="76"/>
      <c r="AK200" s="76"/>
      <c r="AL200" s="76"/>
      <c r="AM200" s="76"/>
      <c r="AN200" s="76"/>
      <c r="AO200" s="76"/>
      <c r="AP200" s="76"/>
      <c r="AQ200" s="76"/>
      <c r="AR200" s="76"/>
      <c r="AS200" s="76"/>
      <c r="AT200" s="76"/>
      <c r="AU200" s="76"/>
      <c r="AV200" s="81" t="str">
        <f>HYPERLINK("https://pbs.twimg.com/profile_images/1127217665204838402/LBEFnmn5_normal.png")</f>
        <v>https://pbs.twimg.com/profile_images/1127217665204838402/LBEFnmn5_normal.png</v>
      </c>
      <c r="AW200" s="80" t="s">
        <v>1182</v>
      </c>
      <c r="AX200" s="80" t="s">
        <v>1182</v>
      </c>
      <c r="AY200" s="76"/>
      <c r="AZ200" s="80" t="s">
        <v>252</v>
      </c>
      <c r="BA200" s="80" t="s">
        <v>252</v>
      </c>
      <c r="BB200" s="80" t="s">
        <v>252</v>
      </c>
      <c r="BC200" s="80" t="s">
        <v>1182</v>
      </c>
      <c r="BD200" s="76">
        <v>2149377590</v>
      </c>
      <c r="BE200" s="76"/>
      <c r="BF200" s="76"/>
      <c r="BG200" s="76"/>
      <c r="BH200" s="76"/>
      <c r="BI200" s="76"/>
      <c r="BJ200" s="76">
        <v>1</v>
      </c>
      <c r="BK200" s="75" t="str">
        <f>REPLACE(INDEX(GroupVertices[Group],MATCH("~"&amp;Edges[[#This Row],[Vertex 1]],GroupVertices[Vertex],0)),1,1,"")</f>
        <v>1</v>
      </c>
      <c r="BL200" s="75" t="str">
        <f>REPLACE(INDEX(GroupVertices[Group],MATCH("~"&amp;Edges[[#This Row],[Vertex 2]],GroupVertices[Vertex],0)),1,1,"")</f>
        <v>1</v>
      </c>
    </row>
    <row r="201" spans="1:64" ht="15">
      <c r="A201" s="61" t="s">
        <v>645</v>
      </c>
      <c r="B201" s="61" t="s">
        <v>224</v>
      </c>
      <c r="C201" s="62"/>
      <c r="D201" s="63"/>
      <c r="E201" s="64"/>
      <c r="F201" s="65"/>
      <c r="G201" s="62"/>
      <c r="H201" s="66"/>
      <c r="I201" s="67"/>
      <c r="J201" s="67"/>
      <c r="K201" s="31" t="s">
        <v>65</v>
      </c>
      <c r="L201" s="74">
        <v>201</v>
      </c>
      <c r="M201" s="74"/>
      <c r="N201" s="69"/>
      <c r="O201" s="76" t="s">
        <v>227</v>
      </c>
      <c r="P201" s="78">
        <v>43185.224907407406</v>
      </c>
      <c r="Q201" s="76" t="s">
        <v>826</v>
      </c>
      <c r="R201" s="76">
        <v>0</v>
      </c>
      <c r="S201" s="76">
        <v>0</v>
      </c>
      <c r="T201" s="76">
        <v>0</v>
      </c>
      <c r="U201" s="76">
        <v>0</v>
      </c>
      <c r="V201" s="76"/>
      <c r="W201" s="80" t="s">
        <v>856</v>
      </c>
      <c r="X201" s="81" t="str">
        <f>HYPERLINK("https://customerthink.com/will-you-become-one-with-growth-hacker-marketing/")</f>
        <v>https://customerthink.com/will-you-become-one-with-growth-hacker-marketing/</v>
      </c>
      <c r="Y201" s="76" t="s">
        <v>871</v>
      </c>
      <c r="Z201" s="76" t="s">
        <v>901</v>
      </c>
      <c r="AA201" s="76"/>
      <c r="AB201" s="76"/>
      <c r="AC201" s="80" t="s">
        <v>947</v>
      </c>
      <c r="AD201" s="76" t="s">
        <v>244</v>
      </c>
      <c r="AE201" s="81" t="str">
        <f>HYPERLINK("https://twitter.com/dpanshugahlaut/status/978140455945687040")</f>
        <v>https://twitter.com/dpanshugahlaut/status/978140455945687040</v>
      </c>
      <c r="AF201" s="78">
        <v>43185.224907407406</v>
      </c>
      <c r="AG201" s="85">
        <v>43185</v>
      </c>
      <c r="AH201" s="80" t="s">
        <v>1050</v>
      </c>
      <c r="AI201" s="76" t="b">
        <v>0</v>
      </c>
      <c r="AJ201" s="76"/>
      <c r="AK201" s="76"/>
      <c r="AL201" s="76"/>
      <c r="AM201" s="76"/>
      <c r="AN201" s="76"/>
      <c r="AO201" s="76"/>
      <c r="AP201" s="76"/>
      <c r="AQ201" s="76"/>
      <c r="AR201" s="76"/>
      <c r="AS201" s="76"/>
      <c r="AT201" s="76"/>
      <c r="AU201" s="76"/>
      <c r="AV201" s="81" t="str">
        <f>HYPERLINK("https://pbs.twimg.com/profile_images/1127217665204838402/LBEFnmn5_normal.png")</f>
        <v>https://pbs.twimg.com/profile_images/1127217665204838402/LBEFnmn5_normal.png</v>
      </c>
      <c r="AW201" s="80" t="s">
        <v>1182</v>
      </c>
      <c r="AX201" s="80" t="s">
        <v>1182</v>
      </c>
      <c r="AY201" s="76"/>
      <c r="AZ201" s="80" t="s">
        <v>252</v>
      </c>
      <c r="BA201" s="80" t="s">
        <v>252</v>
      </c>
      <c r="BB201" s="80" t="s">
        <v>252</v>
      </c>
      <c r="BC201" s="80" t="s">
        <v>1182</v>
      </c>
      <c r="BD201" s="76">
        <v>2149377590</v>
      </c>
      <c r="BE201" s="76"/>
      <c r="BF201" s="76"/>
      <c r="BG201" s="76"/>
      <c r="BH201" s="76"/>
      <c r="BI201" s="76"/>
      <c r="BJ201" s="76">
        <v>1</v>
      </c>
      <c r="BK201" s="75" t="str">
        <f>REPLACE(INDEX(GroupVertices[Group],MATCH("~"&amp;Edges[[#This Row],[Vertex 1]],GroupVertices[Vertex],0)),1,1,"")</f>
        <v>1</v>
      </c>
      <c r="BL201" s="75" t="str">
        <f>REPLACE(INDEX(GroupVertices[Group],MATCH("~"&amp;Edges[[#This Row],[Vertex 2]],GroupVertices[Vertex],0)),1,1,"")</f>
        <v>1</v>
      </c>
    </row>
    <row r="202" spans="1:64" ht="15">
      <c r="A202" s="61" t="s">
        <v>646</v>
      </c>
      <c r="B202" s="61" t="s">
        <v>224</v>
      </c>
      <c r="C202" s="62"/>
      <c r="D202" s="63"/>
      <c r="E202" s="64"/>
      <c r="F202" s="65"/>
      <c r="G202" s="62"/>
      <c r="H202" s="66"/>
      <c r="I202" s="67"/>
      <c r="J202" s="67"/>
      <c r="K202" s="31" t="s">
        <v>65</v>
      </c>
      <c r="L202" s="74">
        <v>202</v>
      </c>
      <c r="M202" s="74"/>
      <c r="N202" s="69"/>
      <c r="O202" s="76" t="s">
        <v>227</v>
      </c>
      <c r="P202" s="78">
        <v>42945.491944444446</v>
      </c>
      <c r="Q202" s="76" t="s">
        <v>827</v>
      </c>
      <c r="R202" s="76">
        <v>0</v>
      </c>
      <c r="S202" s="76">
        <v>0</v>
      </c>
      <c r="T202" s="76">
        <v>0</v>
      </c>
      <c r="U202" s="76">
        <v>0</v>
      </c>
      <c r="V202" s="76"/>
      <c r="W202" s="76"/>
      <c r="X202" s="81" t="str">
        <f>HYPERLINK("https://commun.it/?aid=thankyou162")</f>
        <v>https://commun.it/?aid=thankyou162</v>
      </c>
      <c r="Y202" s="76" t="s">
        <v>874</v>
      </c>
      <c r="Z202" s="76" t="s">
        <v>925</v>
      </c>
      <c r="AA202" s="76"/>
      <c r="AB202" s="76"/>
      <c r="AC202" s="80" t="s">
        <v>952</v>
      </c>
      <c r="AD202" s="76" t="s">
        <v>244</v>
      </c>
      <c r="AE202" s="81" t="str">
        <f>HYPERLINK("https://twitter.com/zerocoollatte/status/891264141415067650")</f>
        <v>https://twitter.com/zerocoollatte/status/891264141415067650</v>
      </c>
      <c r="AF202" s="78">
        <v>42945.491944444446</v>
      </c>
      <c r="AG202" s="85">
        <v>42945</v>
      </c>
      <c r="AH202" s="80" t="s">
        <v>1051</v>
      </c>
      <c r="AI202" s="76" t="b">
        <v>0</v>
      </c>
      <c r="AJ202" s="76"/>
      <c r="AK202" s="76"/>
      <c r="AL202" s="76"/>
      <c r="AM202" s="76"/>
      <c r="AN202" s="76"/>
      <c r="AO202" s="76"/>
      <c r="AP202" s="76"/>
      <c r="AQ202" s="76"/>
      <c r="AR202" s="76"/>
      <c r="AS202" s="76"/>
      <c r="AT202" s="76"/>
      <c r="AU202" s="76"/>
      <c r="AV202" s="81" t="str">
        <f>HYPERLINK("https://pbs.twimg.com/profile_images/1473321911908122627/TL3cRWaX_normal.jpg")</f>
        <v>https://pbs.twimg.com/profile_images/1473321911908122627/TL3cRWaX_normal.jpg</v>
      </c>
      <c r="AW202" s="80" t="s">
        <v>1183</v>
      </c>
      <c r="AX202" s="80" t="s">
        <v>1183</v>
      </c>
      <c r="AY202" s="76"/>
      <c r="AZ202" s="80" t="s">
        <v>252</v>
      </c>
      <c r="BA202" s="80" t="s">
        <v>252</v>
      </c>
      <c r="BB202" s="80" t="s">
        <v>252</v>
      </c>
      <c r="BC202" s="80" t="s">
        <v>1183</v>
      </c>
      <c r="BD202" s="76">
        <v>2347548374</v>
      </c>
      <c r="BE202" s="76"/>
      <c r="BF202" s="76"/>
      <c r="BG202" s="76"/>
      <c r="BH202" s="76"/>
      <c r="BI202" s="76"/>
      <c r="BJ202" s="76">
        <v>1</v>
      </c>
      <c r="BK202" s="75" t="str">
        <f>REPLACE(INDEX(GroupVertices[Group],MATCH("~"&amp;Edges[[#This Row],[Vertex 1]],GroupVertices[Vertex],0)),1,1,"")</f>
        <v>1</v>
      </c>
      <c r="BL202" s="75" t="str">
        <f>REPLACE(INDEX(GroupVertices[Group],MATCH("~"&amp;Edges[[#This Row],[Vertex 2]],GroupVertices[Vertex],0)),1,1,"")</f>
        <v>1</v>
      </c>
    </row>
    <row r="203" spans="1:64" ht="15">
      <c r="A203" s="61" t="s">
        <v>647</v>
      </c>
      <c r="B203" s="61" t="s">
        <v>391</v>
      </c>
      <c r="C203" s="62"/>
      <c r="D203" s="63"/>
      <c r="E203" s="64"/>
      <c r="F203" s="65"/>
      <c r="G203" s="62"/>
      <c r="H203" s="66"/>
      <c r="I203" s="67"/>
      <c r="J203" s="67"/>
      <c r="K203" s="31" t="s">
        <v>65</v>
      </c>
      <c r="L203" s="74">
        <v>203</v>
      </c>
      <c r="M203" s="74"/>
      <c r="N203" s="69"/>
      <c r="O203" s="76" t="s">
        <v>227</v>
      </c>
      <c r="P203" s="78">
        <v>43479.71686342593</v>
      </c>
      <c r="Q203" s="76" t="s">
        <v>828</v>
      </c>
      <c r="R203" s="76">
        <v>1</v>
      </c>
      <c r="S203" s="76">
        <v>0</v>
      </c>
      <c r="T203" s="76">
        <v>0</v>
      </c>
      <c r="U203" s="76">
        <v>0</v>
      </c>
      <c r="V203" s="76"/>
      <c r="W203" s="80" t="s">
        <v>857</v>
      </c>
      <c r="X203" s="81" t="str">
        <f>HYPERLINK("https://www.dreamcreationsevents.com/event/tcpl-season-2/")</f>
        <v>https://www.dreamcreationsevents.com/event/tcpl-season-2/</v>
      </c>
      <c r="Y203" s="76" t="s">
        <v>891</v>
      </c>
      <c r="Z203" s="76" t="s">
        <v>926</v>
      </c>
      <c r="AA203" s="76" t="s">
        <v>944</v>
      </c>
      <c r="AB203" s="76" t="s">
        <v>237</v>
      </c>
      <c r="AC203" s="80" t="s">
        <v>947</v>
      </c>
      <c r="AD203" s="76" t="s">
        <v>244</v>
      </c>
      <c r="AE203" s="81" t="str">
        <f>HYPERLINK("https://twitter.com/dc_dreamsevents/status/1084860769051660290")</f>
        <v>https://twitter.com/dc_dreamsevents/status/1084860769051660290</v>
      </c>
      <c r="AF203" s="78">
        <v>43479.71686342593</v>
      </c>
      <c r="AG203" s="85">
        <v>43479</v>
      </c>
      <c r="AH203" s="80" t="s">
        <v>409</v>
      </c>
      <c r="AI203" s="76" t="b">
        <v>0</v>
      </c>
      <c r="AJ203" s="76"/>
      <c r="AK203" s="76"/>
      <c r="AL203" s="76"/>
      <c r="AM203" s="76"/>
      <c r="AN203" s="76"/>
      <c r="AO203" s="76"/>
      <c r="AP203" s="76"/>
      <c r="AQ203" s="76" t="s">
        <v>1084</v>
      </c>
      <c r="AR203" s="76"/>
      <c r="AS203" s="76"/>
      <c r="AT203" s="76"/>
      <c r="AU203" s="76"/>
      <c r="AV203" s="81" t="str">
        <f>HYPERLINK("https://pbs.twimg.com/media/Dw4ys3_UwAA-Uqv.jpg")</f>
        <v>https://pbs.twimg.com/media/Dw4ys3_UwAA-Uqv.jpg</v>
      </c>
      <c r="AW203" s="80" t="s">
        <v>1184</v>
      </c>
      <c r="AX203" s="80" t="s">
        <v>1184</v>
      </c>
      <c r="AY203" s="76"/>
      <c r="AZ203" s="80" t="s">
        <v>252</v>
      </c>
      <c r="BA203" s="80" t="s">
        <v>252</v>
      </c>
      <c r="BB203" s="80" t="s">
        <v>252</v>
      </c>
      <c r="BC203" s="80" t="s">
        <v>1184</v>
      </c>
      <c r="BD203" s="80" t="s">
        <v>1238</v>
      </c>
      <c r="BE203" s="76"/>
      <c r="BF203" s="76"/>
      <c r="BG203" s="76"/>
      <c r="BH203" s="76"/>
      <c r="BI203" s="76"/>
      <c r="BJ203" s="76">
        <v>1</v>
      </c>
      <c r="BK203" s="75" t="str">
        <f>REPLACE(INDEX(GroupVertices[Group],MATCH("~"&amp;Edges[[#This Row],[Vertex 1]],GroupVertices[Vertex],0)),1,1,"")</f>
        <v>6</v>
      </c>
      <c r="BL203" s="75" t="str">
        <f>REPLACE(INDEX(GroupVertices[Group],MATCH("~"&amp;Edges[[#This Row],[Vertex 2]],GroupVertices[Vertex],0)),1,1,"")</f>
        <v>6</v>
      </c>
    </row>
    <row r="204" spans="1:64" ht="15">
      <c r="A204" s="61" t="s">
        <v>647</v>
      </c>
      <c r="B204" s="61" t="s">
        <v>730</v>
      </c>
      <c r="C204" s="62"/>
      <c r="D204" s="63"/>
      <c r="E204" s="64"/>
      <c r="F204" s="65"/>
      <c r="G204" s="62"/>
      <c r="H204" s="66"/>
      <c r="I204" s="67"/>
      <c r="J204" s="67"/>
      <c r="K204" s="31" t="s">
        <v>65</v>
      </c>
      <c r="L204" s="74">
        <v>204</v>
      </c>
      <c r="M204" s="74"/>
      <c r="N204" s="69"/>
      <c r="O204" s="76" t="s">
        <v>227</v>
      </c>
      <c r="P204" s="78">
        <v>43479.71686342593</v>
      </c>
      <c r="Q204" s="76" t="s">
        <v>828</v>
      </c>
      <c r="R204" s="76">
        <v>1</v>
      </c>
      <c r="S204" s="76">
        <v>0</v>
      </c>
      <c r="T204" s="76">
        <v>0</v>
      </c>
      <c r="U204" s="76">
        <v>0</v>
      </c>
      <c r="V204" s="76"/>
      <c r="W204" s="80" t="s">
        <v>857</v>
      </c>
      <c r="X204" s="81" t="str">
        <f>HYPERLINK("https://www.dreamcreationsevents.com/event/tcpl-season-2/")</f>
        <v>https://www.dreamcreationsevents.com/event/tcpl-season-2/</v>
      </c>
      <c r="Y204" s="76" t="s">
        <v>891</v>
      </c>
      <c r="Z204" s="76" t="s">
        <v>926</v>
      </c>
      <c r="AA204" s="76" t="s">
        <v>944</v>
      </c>
      <c r="AB204" s="76" t="s">
        <v>237</v>
      </c>
      <c r="AC204" s="80" t="s">
        <v>947</v>
      </c>
      <c r="AD204" s="76" t="s">
        <v>244</v>
      </c>
      <c r="AE204" s="81" t="str">
        <f>HYPERLINK("https://twitter.com/dc_dreamsevents/status/1084860769051660290")</f>
        <v>https://twitter.com/dc_dreamsevents/status/1084860769051660290</v>
      </c>
      <c r="AF204" s="78">
        <v>43479.71686342593</v>
      </c>
      <c r="AG204" s="85">
        <v>43479</v>
      </c>
      <c r="AH204" s="80" t="s">
        <v>409</v>
      </c>
      <c r="AI204" s="76" t="b">
        <v>0</v>
      </c>
      <c r="AJ204" s="76"/>
      <c r="AK204" s="76"/>
      <c r="AL204" s="76"/>
      <c r="AM204" s="76"/>
      <c r="AN204" s="76"/>
      <c r="AO204" s="76"/>
      <c r="AP204" s="76"/>
      <c r="AQ204" s="76" t="s">
        <v>1084</v>
      </c>
      <c r="AR204" s="76"/>
      <c r="AS204" s="76"/>
      <c r="AT204" s="76"/>
      <c r="AU204" s="76"/>
      <c r="AV204" s="81" t="str">
        <f>HYPERLINK("https://pbs.twimg.com/media/Dw4ys3_UwAA-Uqv.jpg")</f>
        <v>https://pbs.twimg.com/media/Dw4ys3_UwAA-Uqv.jpg</v>
      </c>
      <c r="AW204" s="80" t="s">
        <v>1184</v>
      </c>
      <c r="AX204" s="80" t="s">
        <v>1184</v>
      </c>
      <c r="AY204" s="76"/>
      <c r="AZ204" s="80" t="s">
        <v>252</v>
      </c>
      <c r="BA204" s="80" t="s">
        <v>252</v>
      </c>
      <c r="BB204" s="80" t="s">
        <v>252</v>
      </c>
      <c r="BC204" s="80" t="s">
        <v>1184</v>
      </c>
      <c r="BD204" s="80" t="s">
        <v>1238</v>
      </c>
      <c r="BE204" s="76"/>
      <c r="BF204" s="76"/>
      <c r="BG204" s="76"/>
      <c r="BH204" s="76"/>
      <c r="BI204" s="76"/>
      <c r="BJ204" s="76">
        <v>1</v>
      </c>
      <c r="BK204" s="75" t="str">
        <f>REPLACE(INDEX(GroupVertices[Group],MATCH("~"&amp;Edges[[#This Row],[Vertex 1]],GroupVertices[Vertex],0)),1,1,"")</f>
        <v>6</v>
      </c>
      <c r="BL204" s="75" t="str">
        <f>REPLACE(INDEX(GroupVertices[Group],MATCH("~"&amp;Edges[[#This Row],[Vertex 2]],GroupVertices[Vertex],0)),1,1,"")</f>
        <v>6</v>
      </c>
    </row>
    <row r="205" spans="1:64" ht="15">
      <c r="A205" s="61" t="s">
        <v>647</v>
      </c>
      <c r="B205" s="61" t="s">
        <v>731</v>
      </c>
      <c r="C205" s="62"/>
      <c r="D205" s="63"/>
      <c r="E205" s="64"/>
      <c r="F205" s="65"/>
      <c r="G205" s="62"/>
      <c r="H205" s="66"/>
      <c r="I205" s="67"/>
      <c r="J205" s="67"/>
      <c r="K205" s="31" t="s">
        <v>65</v>
      </c>
      <c r="L205" s="74">
        <v>205</v>
      </c>
      <c r="M205" s="74"/>
      <c r="N205" s="69"/>
      <c r="O205" s="76" t="s">
        <v>227</v>
      </c>
      <c r="P205" s="78">
        <v>43479.71686342593</v>
      </c>
      <c r="Q205" s="76" t="s">
        <v>828</v>
      </c>
      <c r="R205" s="76">
        <v>1</v>
      </c>
      <c r="S205" s="76">
        <v>0</v>
      </c>
      <c r="T205" s="76">
        <v>0</v>
      </c>
      <c r="U205" s="76">
        <v>0</v>
      </c>
      <c r="V205" s="76"/>
      <c r="W205" s="80" t="s">
        <v>857</v>
      </c>
      <c r="X205" s="81" t="str">
        <f>HYPERLINK("https://www.dreamcreationsevents.com/event/tcpl-season-2/")</f>
        <v>https://www.dreamcreationsevents.com/event/tcpl-season-2/</v>
      </c>
      <c r="Y205" s="76" t="s">
        <v>891</v>
      </c>
      <c r="Z205" s="76" t="s">
        <v>926</v>
      </c>
      <c r="AA205" s="76" t="s">
        <v>944</v>
      </c>
      <c r="AB205" s="76" t="s">
        <v>237</v>
      </c>
      <c r="AC205" s="80" t="s">
        <v>947</v>
      </c>
      <c r="AD205" s="76" t="s">
        <v>244</v>
      </c>
      <c r="AE205" s="81" t="str">
        <f>HYPERLINK("https://twitter.com/dc_dreamsevents/status/1084860769051660290")</f>
        <v>https://twitter.com/dc_dreamsevents/status/1084860769051660290</v>
      </c>
      <c r="AF205" s="78">
        <v>43479.71686342593</v>
      </c>
      <c r="AG205" s="85">
        <v>43479</v>
      </c>
      <c r="AH205" s="80" t="s">
        <v>409</v>
      </c>
      <c r="AI205" s="76" t="b">
        <v>0</v>
      </c>
      <c r="AJ205" s="76"/>
      <c r="AK205" s="76"/>
      <c r="AL205" s="76"/>
      <c r="AM205" s="76"/>
      <c r="AN205" s="76"/>
      <c r="AO205" s="76"/>
      <c r="AP205" s="76"/>
      <c r="AQ205" s="76" t="s">
        <v>1084</v>
      </c>
      <c r="AR205" s="76"/>
      <c r="AS205" s="76"/>
      <c r="AT205" s="76"/>
      <c r="AU205" s="76"/>
      <c r="AV205" s="81" t="str">
        <f>HYPERLINK("https://pbs.twimg.com/media/Dw4ys3_UwAA-Uqv.jpg")</f>
        <v>https://pbs.twimg.com/media/Dw4ys3_UwAA-Uqv.jpg</v>
      </c>
      <c r="AW205" s="80" t="s">
        <v>1184</v>
      </c>
      <c r="AX205" s="80" t="s">
        <v>1184</v>
      </c>
      <c r="AY205" s="76"/>
      <c r="AZ205" s="80" t="s">
        <v>252</v>
      </c>
      <c r="BA205" s="80" t="s">
        <v>252</v>
      </c>
      <c r="BB205" s="80" t="s">
        <v>252</v>
      </c>
      <c r="BC205" s="80" t="s">
        <v>1184</v>
      </c>
      <c r="BD205" s="80" t="s">
        <v>1238</v>
      </c>
      <c r="BE205" s="76"/>
      <c r="BF205" s="76"/>
      <c r="BG205" s="76"/>
      <c r="BH205" s="76"/>
      <c r="BI205" s="76"/>
      <c r="BJ205" s="76">
        <v>1</v>
      </c>
      <c r="BK205" s="75" t="str">
        <f>REPLACE(INDEX(GroupVertices[Group],MATCH("~"&amp;Edges[[#This Row],[Vertex 1]],GroupVertices[Vertex],0)),1,1,"")</f>
        <v>6</v>
      </c>
      <c r="BL205" s="75" t="str">
        <f>REPLACE(INDEX(GroupVertices[Group],MATCH("~"&amp;Edges[[#This Row],[Vertex 2]],GroupVertices[Vertex],0)),1,1,"")</f>
        <v>6</v>
      </c>
    </row>
    <row r="206" spans="1:64" ht="15">
      <c r="A206" s="61" t="s">
        <v>224</v>
      </c>
      <c r="B206" s="61" t="s">
        <v>224</v>
      </c>
      <c r="C206" s="62"/>
      <c r="D206" s="63"/>
      <c r="E206" s="64"/>
      <c r="F206" s="65"/>
      <c r="G206" s="62"/>
      <c r="H206" s="66"/>
      <c r="I206" s="67"/>
      <c r="J206" s="67"/>
      <c r="K206" s="31" t="s">
        <v>65</v>
      </c>
      <c r="L206" s="74">
        <v>206</v>
      </c>
      <c r="M206" s="74"/>
      <c r="N206" s="69"/>
      <c r="O206" s="76" t="s">
        <v>227</v>
      </c>
      <c r="P206" s="78">
        <v>45269.164560185185</v>
      </c>
      <c r="Q206" s="76" t="s">
        <v>829</v>
      </c>
      <c r="R206" s="76">
        <v>0</v>
      </c>
      <c r="S206" s="76">
        <v>0</v>
      </c>
      <c r="T206" s="76">
        <v>0</v>
      </c>
      <c r="U206" s="76">
        <v>0</v>
      </c>
      <c r="V206" s="76">
        <v>16</v>
      </c>
      <c r="W206" s="80" t="s">
        <v>858</v>
      </c>
      <c r="X206" s="76"/>
      <c r="Y206" s="76"/>
      <c r="Z206" s="76" t="s">
        <v>224</v>
      </c>
      <c r="AA206" s="76"/>
      <c r="AB206" s="76"/>
      <c r="AC206" s="80" t="s">
        <v>239</v>
      </c>
      <c r="AD206" s="76" t="s">
        <v>244</v>
      </c>
      <c r="AE206" s="81" t="str">
        <f>HYPERLINK("https://twitter.com/inovies/status/1733334898306392355")</f>
        <v>https://twitter.com/inovies/status/1733334898306392355</v>
      </c>
      <c r="AF206" s="78">
        <v>45269.164560185185</v>
      </c>
      <c r="AG206" s="85">
        <v>45269</v>
      </c>
      <c r="AH206" s="80" t="s">
        <v>1052</v>
      </c>
      <c r="AI206" s="76" t="b">
        <v>0</v>
      </c>
      <c r="AJ206" s="76"/>
      <c r="AK206" s="76"/>
      <c r="AL206" s="76"/>
      <c r="AM206" s="76"/>
      <c r="AN206" s="76"/>
      <c r="AO206" s="76"/>
      <c r="AP206" s="76"/>
      <c r="AQ206" s="76"/>
      <c r="AR206" s="76"/>
      <c r="AS206" s="76"/>
      <c r="AT206" s="76"/>
      <c r="AU206" s="76"/>
      <c r="AV206" s="81" t="str">
        <f>HYPERLINK("https://pbs.twimg.com/profile_images/833576943677214720/5ZyUgpEJ_normal.jpg")</f>
        <v>https://pbs.twimg.com/profile_images/833576943677214720/5ZyUgpEJ_normal.jpg</v>
      </c>
      <c r="AW206" s="80" t="s">
        <v>1185</v>
      </c>
      <c r="AX206" s="80" t="s">
        <v>1185</v>
      </c>
      <c r="AY206" s="76"/>
      <c r="AZ206" s="80" t="s">
        <v>252</v>
      </c>
      <c r="BA206" s="80" t="s">
        <v>252</v>
      </c>
      <c r="BB206" s="80" t="s">
        <v>252</v>
      </c>
      <c r="BC206" s="80" t="s">
        <v>1185</v>
      </c>
      <c r="BD206" s="76">
        <v>297885438</v>
      </c>
      <c r="BE206" s="76" t="s">
        <v>1239</v>
      </c>
      <c r="BF206" s="76" t="s">
        <v>1240</v>
      </c>
      <c r="BG206" s="76">
        <v>1440</v>
      </c>
      <c r="BH206" s="76" t="s">
        <v>1241</v>
      </c>
      <c r="BI206" s="76" t="s">
        <v>1242</v>
      </c>
      <c r="BJ206" s="76">
        <v>355</v>
      </c>
      <c r="BK206" s="75" t="str">
        <f>REPLACE(INDEX(GroupVertices[Group],MATCH("~"&amp;Edges[[#This Row],[Vertex 1]],GroupVertices[Vertex],0)),1,1,"")</f>
        <v>1</v>
      </c>
      <c r="BL206" s="75" t="str">
        <f>REPLACE(INDEX(GroupVertices[Group],MATCH("~"&amp;Edges[[#This Row],[Vertex 2]],GroupVertices[Vertex],0)),1,1,"")</f>
        <v>1</v>
      </c>
    </row>
    <row r="207" spans="1:64" ht="15">
      <c r="A207" s="61" t="s">
        <v>647</v>
      </c>
      <c r="B207" s="61" t="s">
        <v>224</v>
      </c>
      <c r="C207" s="62"/>
      <c r="D207" s="63"/>
      <c r="E207" s="64"/>
      <c r="F207" s="65"/>
      <c r="G207" s="62"/>
      <c r="H207" s="66"/>
      <c r="I207" s="67"/>
      <c r="J207" s="67"/>
      <c r="K207" s="31" t="s">
        <v>65</v>
      </c>
      <c r="L207" s="74">
        <v>207</v>
      </c>
      <c r="M207" s="74"/>
      <c r="N207" s="69"/>
      <c r="O207" s="76" t="s">
        <v>227</v>
      </c>
      <c r="P207" s="78">
        <v>43479.71686342593</v>
      </c>
      <c r="Q207" s="76" t="s">
        <v>828</v>
      </c>
      <c r="R207" s="76">
        <v>1</v>
      </c>
      <c r="S207" s="76">
        <v>0</v>
      </c>
      <c r="T207" s="76">
        <v>0</v>
      </c>
      <c r="U207" s="76">
        <v>0</v>
      </c>
      <c r="V207" s="76"/>
      <c r="W207" s="80" t="s">
        <v>857</v>
      </c>
      <c r="X207" s="81" t="str">
        <f>HYPERLINK("https://www.dreamcreationsevents.com/event/tcpl-season-2/")</f>
        <v>https://www.dreamcreationsevents.com/event/tcpl-season-2/</v>
      </c>
      <c r="Y207" s="76" t="s">
        <v>891</v>
      </c>
      <c r="Z207" s="76" t="s">
        <v>926</v>
      </c>
      <c r="AA207" s="76" t="s">
        <v>944</v>
      </c>
      <c r="AB207" s="76" t="s">
        <v>237</v>
      </c>
      <c r="AC207" s="80" t="s">
        <v>947</v>
      </c>
      <c r="AD207" s="76" t="s">
        <v>244</v>
      </c>
      <c r="AE207" s="81" t="str">
        <f>HYPERLINK("https://twitter.com/dc_dreamsevents/status/1084860769051660290")</f>
        <v>https://twitter.com/dc_dreamsevents/status/1084860769051660290</v>
      </c>
      <c r="AF207" s="78">
        <v>43479.71686342593</v>
      </c>
      <c r="AG207" s="85">
        <v>43479</v>
      </c>
      <c r="AH207" s="80" t="s">
        <v>409</v>
      </c>
      <c r="AI207" s="76" t="b">
        <v>0</v>
      </c>
      <c r="AJ207" s="76"/>
      <c r="AK207" s="76"/>
      <c r="AL207" s="76"/>
      <c r="AM207" s="76"/>
      <c r="AN207" s="76"/>
      <c r="AO207" s="76"/>
      <c r="AP207" s="76"/>
      <c r="AQ207" s="76" t="s">
        <v>1084</v>
      </c>
      <c r="AR207" s="76"/>
      <c r="AS207" s="76"/>
      <c r="AT207" s="76"/>
      <c r="AU207" s="76"/>
      <c r="AV207" s="81" t="str">
        <f>HYPERLINK("https://pbs.twimg.com/media/Dw4ys3_UwAA-Uqv.jpg")</f>
        <v>https://pbs.twimg.com/media/Dw4ys3_UwAA-Uqv.jpg</v>
      </c>
      <c r="AW207" s="80" t="s">
        <v>1184</v>
      </c>
      <c r="AX207" s="80" t="s">
        <v>1184</v>
      </c>
      <c r="AY207" s="76"/>
      <c r="AZ207" s="80" t="s">
        <v>252</v>
      </c>
      <c r="BA207" s="80" t="s">
        <v>252</v>
      </c>
      <c r="BB207" s="80" t="s">
        <v>252</v>
      </c>
      <c r="BC207" s="80" t="s">
        <v>1184</v>
      </c>
      <c r="BD207" s="80" t="s">
        <v>1238</v>
      </c>
      <c r="BE207" s="76"/>
      <c r="BF207" s="76"/>
      <c r="BG207" s="76"/>
      <c r="BH207" s="76"/>
      <c r="BI207" s="76"/>
      <c r="BJ207" s="76">
        <v>1</v>
      </c>
      <c r="BK207" s="75" t="str">
        <f>REPLACE(INDEX(GroupVertices[Group],MATCH("~"&amp;Edges[[#This Row],[Vertex 1]],GroupVertices[Vertex],0)),1,1,"")</f>
        <v>6</v>
      </c>
      <c r="BL207" s="75" t="str">
        <f>REPLACE(INDEX(GroupVertices[Group],MATCH("~"&amp;Edges[[#This Row],[Vertex 2]],GroupVertices[Vertex],0)),1,1,"")</f>
        <v>1</v>
      </c>
    </row>
    <row r="208" spans="1:64" ht="15">
      <c r="A208" s="61" t="s">
        <v>647</v>
      </c>
      <c r="B208" s="61" t="s">
        <v>732</v>
      </c>
      <c r="C208" s="62"/>
      <c r="D208" s="63"/>
      <c r="E208" s="64"/>
      <c r="F208" s="65"/>
      <c r="G208" s="62"/>
      <c r="H208" s="66"/>
      <c r="I208" s="67"/>
      <c r="J208" s="67"/>
      <c r="K208" s="31" t="s">
        <v>65</v>
      </c>
      <c r="L208" s="74">
        <v>208</v>
      </c>
      <c r="M208" s="74"/>
      <c r="N208" s="69"/>
      <c r="O208" s="76" t="s">
        <v>227</v>
      </c>
      <c r="P208" s="78">
        <v>43479.71686342593</v>
      </c>
      <c r="Q208" s="76" t="s">
        <v>828</v>
      </c>
      <c r="R208" s="76">
        <v>1</v>
      </c>
      <c r="S208" s="76">
        <v>0</v>
      </c>
      <c r="T208" s="76">
        <v>0</v>
      </c>
      <c r="U208" s="76">
        <v>0</v>
      </c>
      <c r="V208" s="76"/>
      <c r="W208" s="80" t="s">
        <v>857</v>
      </c>
      <c r="X208" s="81" t="str">
        <f>HYPERLINK("https://www.dreamcreationsevents.com/event/tcpl-season-2/")</f>
        <v>https://www.dreamcreationsevents.com/event/tcpl-season-2/</v>
      </c>
      <c r="Y208" s="76" t="s">
        <v>891</v>
      </c>
      <c r="Z208" s="76" t="s">
        <v>926</v>
      </c>
      <c r="AA208" s="76" t="s">
        <v>944</v>
      </c>
      <c r="AB208" s="76" t="s">
        <v>237</v>
      </c>
      <c r="AC208" s="80" t="s">
        <v>947</v>
      </c>
      <c r="AD208" s="76" t="s">
        <v>244</v>
      </c>
      <c r="AE208" s="81" t="str">
        <f>HYPERLINK("https://twitter.com/dc_dreamsevents/status/1084860769051660290")</f>
        <v>https://twitter.com/dc_dreamsevents/status/1084860769051660290</v>
      </c>
      <c r="AF208" s="78">
        <v>43479.71686342593</v>
      </c>
      <c r="AG208" s="85">
        <v>43479</v>
      </c>
      <c r="AH208" s="80" t="s">
        <v>409</v>
      </c>
      <c r="AI208" s="76" t="b">
        <v>0</v>
      </c>
      <c r="AJ208" s="76"/>
      <c r="AK208" s="76"/>
      <c r="AL208" s="76"/>
      <c r="AM208" s="76"/>
      <c r="AN208" s="76"/>
      <c r="AO208" s="76"/>
      <c r="AP208" s="76"/>
      <c r="AQ208" s="76" t="s">
        <v>1084</v>
      </c>
      <c r="AR208" s="76"/>
      <c r="AS208" s="76"/>
      <c r="AT208" s="76"/>
      <c r="AU208" s="76"/>
      <c r="AV208" s="81" t="str">
        <f>HYPERLINK("https://pbs.twimg.com/media/Dw4ys3_UwAA-Uqv.jpg")</f>
        <v>https://pbs.twimg.com/media/Dw4ys3_UwAA-Uqv.jpg</v>
      </c>
      <c r="AW208" s="80" t="s">
        <v>1184</v>
      </c>
      <c r="AX208" s="80" t="s">
        <v>1184</v>
      </c>
      <c r="AY208" s="76"/>
      <c r="AZ208" s="80" t="s">
        <v>252</v>
      </c>
      <c r="BA208" s="80" t="s">
        <v>252</v>
      </c>
      <c r="BB208" s="80" t="s">
        <v>252</v>
      </c>
      <c r="BC208" s="80" t="s">
        <v>1184</v>
      </c>
      <c r="BD208" s="80" t="s">
        <v>1238</v>
      </c>
      <c r="BE208" s="76"/>
      <c r="BF208" s="76"/>
      <c r="BG208" s="76"/>
      <c r="BH208" s="76"/>
      <c r="BI208" s="76"/>
      <c r="BJ208" s="76">
        <v>1</v>
      </c>
      <c r="BK208" s="75" t="str">
        <f>REPLACE(INDEX(GroupVertices[Group],MATCH("~"&amp;Edges[[#This Row],[Vertex 1]],GroupVertices[Vertex],0)),1,1,"")</f>
        <v>6</v>
      </c>
      <c r="BL208" s="75" t="str">
        <f>REPLACE(INDEX(GroupVertices[Group],MATCH("~"&amp;Edges[[#This Row],[Vertex 2]],GroupVertices[Vertex],0)),1,1,"")</f>
        <v>6</v>
      </c>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EFCB-AEA8-44CA-AD66-48DEF4CBD12C}">
  <dimension ref="A1:C3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579</v>
      </c>
      <c r="B2" s="103" t="s">
        <v>580</v>
      </c>
      <c r="C2" s="50" t="s">
        <v>581</v>
      </c>
    </row>
    <row r="3" spans="1:3" ht="15">
      <c r="A3" s="102" t="s">
        <v>440</v>
      </c>
      <c r="B3" s="102" t="s">
        <v>440</v>
      </c>
      <c r="C3" s="31">
        <v>84</v>
      </c>
    </row>
    <row r="4" spans="1:3" ht="15">
      <c r="A4" s="102" t="s">
        <v>440</v>
      </c>
      <c r="B4" s="115" t="s">
        <v>449</v>
      </c>
      <c r="C4" s="31">
        <v>1</v>
      </c>
    </row>
    <row r="5" spans="1:3" ht="15">
      <c r="A5" s="102" t="s">
        <v>441</v>
      </c>
      <c r="B5" s="115" t="s">
        <v>440</v>
      </c>
      <c r="C5" s="31">
        <v>5</v>
      </c>
    </row>
    <row r="6" spans="1:3" ht="15">
      <c r="A6" s="102" t="s">
        <v>441</v>
      </c>
      <c r="B6" s="115" t="s">
        <v>441</v>
      </c>
      <c r="C6" s="31">
        <v>63</v>
      </c>
    </row>
    <row r="7" spans="1:3" ht="15">
      <c r="A7" s="102" t="s">
        <v>442</v>
      </c>
      <c r="B7" s="115" t="s">
        <v>440</v>
      </c>
      <c r="C7" s="31">
        <v>2</v>
      </c>
    </row>
    <row r="8" spans="1:3" ht="15">
      <c r="A8" s="102" t="s">
        <v>442</v>
      </c>
      <c r="B8" s="115" t="s">
        <v>442</v>
      </c>
      <c r="C8" s="31">
        <v>10</v>
      </c>
    </row>
    <row r="9" spans="1:3" ht="15">
      <c r="A9" s="102" t="s">
        <v>443</v>
      </c>
      <c r="B9" s="115" t="s">
        <v>440</v>
      </c>
      <c r="C9" s="31">
        <v>1</v>
      </c>
    </row>
    <row r="10" spans="1:3" ht="15">
      <c r="A10" s="102" t="s">
        <v>443</v>
      </c>
      <c r="B10" s="115" t="s">
        <v>443</v>
      </c>
      <c r="C10" s="31">
        <v>5</v>
      </c>
    </row>
    <row r="11" spans="1:3" ht="15">
      <c r="A11" s="102" t="s">
        <v>444</v>
      </c>
      <c r="B11" s="115" t="s">
        <v>440</v>
      </c>
      <c r="C11" s="31">
        <v>1</v>
      </c>
    </row>
    <row r="12" spans="1:3" ht="15">
      <c r="A12" s="102" t="s">
        <v>444</v>
      </c>
      <c r="B12" s="115" t="s">
        <v>444</v>
      </c>
      <c r="C12" s="31">
        <v>5</v>
      </c>
    </row>
    <row r="13" spans="1:3" ht="15">
      <c r="A13" s="102" t="s">
        <v>445</v>
      </c>
      <c r="B13" s="115" t="s">
        <v>440</v>
      </c>
      <c r="C13" s="31">
        <v>1</v>
      </c>
    </row>
    <row r="14" spans="1:3" ht="15">
      <c r="A14" s="102" t="s">
        <v>445</v>
      </c>
      <c r="B14" s="115" t="s">
        <v>445</v>
      </c>
      <c r="C14" s="31">
        <v>4</v>
      </c>
    </row>
    <row r="15" spans="1:3" ht="15">
      <c r="A15" s="102" t="s">
        <v>446</v>
      </c>
      <c r="B15" s="115" t="s">
        <v>440</v>
      </c>
      <c r="C15" s="31">
        <v>1</v>
      </c>
    </row>
    <row r="16" spans="1:3" ht="15">
      <c r="A16" s="102" t="s">
        <v>446</v>
      </c>
      <c r="B16" s="115" t="s">
        <v>446</v>
      </c>
      <c r="C16" s="31">
        <v>3</v>
      </c>
    </row>
    <row r="17" spans="1:3" ht="15">
      <c r="A17" s="102" t="s">
        <v>447</v>
      </c>
      <c r="B17" s="115" t="s">
        <v>440</v>
      </c>
      <c r="C17" s="31">
        <v>1</v>
      </c>
    </row>
    <row r="18" spans="1:3" ht="15">
      <c r="A18" s="102" t="s">
        <v>447</v>
      </c>
      <c r="B18" s="115" t="s">
        <v>447</v>
      </c>
      <c r="C18" s="31">
        <v>2</v>
      </c>
    </row>
    <row r="19" spans="1:3" ht="15">
      <c r="A19" s="102" t="s">
        <v>448</v>
      </c>
      <c r="B19" s="115" t="s">
        <v>440</v>
      </c>
      <c r="C19" s="31">
        <v>1</v>
      </c>
    </row>
    <row r="20" spans="1:3" ht="15">
      <c r="A20" s="102" t="s">
        <v>448</v>
      </c>
      <c r="B20" s="115" t="s">
        <v>448</v>
      </c>
      <c r="C20" s="31">
        <v>2</v>
      </c>
    </row>
    <row r="21" spans="1:3" ht="15">
      <c r="A21" s="102" t="s">
        <v>449</v>
      </c>
      <c r="B21" s="115" t="s">
        <v>440</v>
      </c>
      <c r="C21" s="31">
        <v>1</v>
      </c>
    </row>
    <row r="22" spans="1:3" ht="15">
      <c r="A22" s="102" t="s">
        <v>449</v>
      </c>
      <c r="B22" s="115" t="s">
        <v>449</v>
      </c>
      <c r="C22" s="31">
        <v>1</v>
      </c>
    </row>
    <row r="23" spans="1:3" ht="15">
      <c r="A23" s="102" t="s">
        <v>450</v>
      </c>
      <c r="B23" s="115" t="s">
        <v>440</v>
      </c>
      <c r="C23" s="31">
        <v>1</v>
      </c>
    </row>
    <row r="24" spans="1:3" ht="15">
      <c r="A24" s="102" t="s">
        <v>450</v>
      </c>
      <c r="B24" s="115" t="s">
        <v>450</v>
      </c>
      <c r="C24" s="31">
        <v>1</v>
      </c>
    </row>
    <row r="25" spans="1:3" ht="15">
      <c r="A25" s="102" t="s">
        <v>451</v>
      </c>
      <c r="B25" s="115" t="s">
        <v>440</v>
      </c>
      <c r="C25" s="31">
        <v>1</v>
      </c>
    </row>
    <row r="26" spans="1:3" ht="15">
      <c r="A26" s="102" t="s">
        <v>451</v>
      </c>
      <c r="B26" s="115" t="s">
        <v>451</v>
      </c>
      <c r="C26" s="31">
        <v>1</v>
      </c>
    </row>
    <row r="27" spans="1:3" ht="15">
      <c r="A27" s="102" t="s">
        <v>452</v>
      </c>
      <c r="B27" s="115" t="s">
        <v>440</v>
      </c>
      <c r="C27" s="31">
        <v>1</v>
      </c>
    </row>
    <row r="28" spans="1:3" ht="15">
      <c r="A28" s="102" t="s">
        <v>452</v>
      </c>
      <c r="B28" s="115" t="s">
        <v>452</v>
      </c>
      <c r="C28" s="31">
        <v>1</v>
      </c>
    </row>
    <row r="29" spans="1:3" ht="15">
      <c r="A29" s="102" t="s">
        <v>453</v>
      </c>
      <c r="B29" s="115" t="s">
        <v>440</v>
      </c>
      <c r="C29" s="31">
        <v>1</v>
      </c>
    </row>
    <row r="30" spans="1:3" ht="15">
      <c r="A30" s="102" t="s">
        <v>453</v>
      </c>
      <c r="B30" s="115" t="s">
        <v>453</v>
      </c>
      <c r="C30" s="31">
        <v>1</v>
      </c>
    </row>
    <row r="31" spans="1:3" ht="15">
      <c r="A31" s="102" t="s">
        <v>454</v>
      </c>
      <c r="B31" s="115" t="s">
        <v>440</v>
      </c>
      <c r="C31" s="31">
        <v>1</v>
      </c>
    </row>
    <row r="32" spans="1:3" ht="15">
      <c r="A32" s="102" t="s">
        <v>454</v>
      </c>
      <c r="B32" s="115" t="s">
        <v>454</v>
      </c>
      <c r="C32" s="31">
        <v>1</v>
      </c>
    </row>
    <row r="33" spans="1:3" ht="15">
      <c r="A33" s="102" t="s">
        <v>455</v>
      </c>
      <c r="B33" s="115" t="s">
        <v>440</v>
      </c>
      <c r="C33" s="31">
        <v>1</v>
      </c>
    </row>
    <row r="34" spans="1:3" ht="15">
      <c r="A34" s="116" t="s">
        <v>455</v>
      </c>
      <c r="B34" s="115" t="s">
        <v>455</v>
      </c>
      <c r="C34" s="31">
        <v>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848"/>
  <sheetViews>
    <sheetView tabSelected="1" workbookViewId="0" topLeftCell="A1">
      <pane xSplit="1" ySplit="2" topLeftCell="B6"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0"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140625" style="0" customWidth="1"/>
    <col min="32" max="32" width="9.28125" style="0" customWidth="1"/>
    <col min="33" max="33" width="11.140625" style="0" customWidth="1"/>
    <col min="34" max="34" width="10.7109375" style="0" customWidth="1"/>
    <col min="35" max="35" width="9.140625" style="0" customWidth="1"/>
    <col min="36" max="36" width="8.421875" style="0" customWidth="1"/>
    <col min="37" max="37" width="17.140625" style="0" customWidth="1"/>
    <col min="38" max="38" width="13.7109375" style="0" customWidth="1"/>
    <col min="39" max="39" width="9.57421875" style="0" customWidth="1"/>
    <col min="40" max="40" width="15.28125" style="0" customWidth="1"/>
    <col min="41" max="41" width="10.28125" style="0" customWidth="1"/>
    <col min="42" max="42" width="12.421875" style="0" customWidth="1"/>
    <col min="43" max="43" width="9.8515625" style="0" customWidth="1"/>
    <col min="44" max="44" width="16.28125" style="0" customWidth="1"/>
    <col min="45" max="45" width="14.00390625" style="0" customWidth="1"/>
    <col min="46" max="46" width="14.421875" style="0" customWidth="1"/>
    <col min="47" max="47" width="21.421875" style="0" customWidth="1"/>
    <col min="48" max="48" width="19.28125" style="0" customWidth="1"/>
    <col min="49" max="49" width="10.57421875" style="0" customWidth="1"/>
    <col min="50" max="50" width="6.57421875" style="0" customWidth="1"/>
    <col min="51" max="51" width="9.57421875" style="0" customWidth="1"/>
    <col min="52" max="52" width="13.140625" style="0" customWidth="1"/>
    <col min="53" max="53" width="11.00390625" style="0" customWidth="1"/>
    <col min="54" max="54" width="9.7109375" style="0" customWidth="1"/>
    <col min="55" max="55" width="12.28125" style="0" customWidth="1"/>
    <col min="56" max="56" width="9.7109375" style="0" customWidth="1"/>
    <col min="57" max="57" width="15.57421875" style="0" customWidth="1"/>
    <col min="58" max="59" width="13.28125" style="0" customWidth="1"/>
    <col min="60" max="60" width="10.28125" style="0" customWidth="1"/>
    <col min="61" max="61" width="12.7109375" style="0" customWidth="1"/>
    <col min="62" max="62" width="17.8515625" style="0" customWidth="1"/>
    <col min="63" max="63" width="12.00390625" style="0" customWidth="1"/>
    <col min="64" max="64" width="10.8515625" style="0" customWidth="1"/>
    <col min="65" max="65" width="10.57421875" style="0" customWidth="1"/>
    <col min="66" max="66" width="14.28125" style="0" customWidth="1"/>
    <col min="67" max="68" width="15.00390625" style="0" customWidth="1"/>
    <col min="69" max="69" width="16.140625" style="0" customWidth="1"/>
    <col min="70" max="70" width="17.8515625" style="0" customWidth="1"/>
    <col min="71" max="71" width="16.28125" style="0" customWidth="1"/>
    <col min="72" max="72" width="17.8515625" style="0" customWidth="1"/>
    <col min="73" max="73" width="16.57421875" style="0" customWidth="1"/>
    <col min="74" max="74" width="17.8515625" style="0" customWidth="1"/>
    <col min="75" max="75" width="16.140625" style="0" customWidth="1"/>
    <col min="76" max="76" width="17.8515625" style="0" customWidth="1"/>
    <col min="77" max="77" width="18.00390625" style="0" customWidth="1"/>
    <col min="78" max="78" width="18.140625" style="0" customWidth="1"/>
    <col min="79" max="79" width="9.003906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2305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253</v>
      </c>
      <c r="AF2" s="7" t="s">
        <v>254</v>
      </c>
      <c r="AG2" s="7" t="s">
        <v>255</v>
      </c>
      <c r="AH2" s="7" t="s">
        <v>256</v>
      </c>
      <c r="AI2" s="7" t="s">
        <v>257</v>
      </c>
      <c r="AJ2" s="7" t="s">
        <v>258</v>
      </c>
      <c r="AK2" s="7" t="s">
        <v>259</v>
      </c>
      <c r="AL2" s="7" t="s">
        <v>260</v>
      </c>
      <c r="AM2" s="7" t="s">
        <v>261</v>
      </c>
      <c r="AN2" s="7" t="s">
        <v>262</v>
      </c>
      <c r="AO2" s="7" t="s">
        <v>263</v>
      </c>
      <c r="AP2" s="7" t="s">
        <v>264</v>
      </c>
      <c r="AQ2" s="7" t="s">
        <v>265</v>
      </c>
      <c r="AR2" s="7" t="s">
        <v>266</v>
      </c>
      <c r="AS2" s="7" t="s">
        <v>267</v>
      </c>
      <c r="AT2" s="7" t="s">
        <v>268</v>
      </c>
      <c r="AU2" s="7" t="s">
        <v>269</v>
      </c>
      <c r="AV2" s="7" t="s">
        <v>270</v>
      </c>
      <c r="AW2" s="7" t="s">
        <v>271</v>
      </c>
      <c r="AX2" s="7" t="s">
        <v>272</v>
      </c>
      <c r="AY2" s="7" t="s">
        <v>273</v>
      </c>
      <c r="AZ2" s="7" t="s">
        <v>274</v>
      </c>
      <c r="BA2" s="7" t="s">
        <v>275</v>
      </c>
      <c r="BB2" s="7" t="s">
        <v>276</v>
      </c>
      <c r="BC2" s="7" t="s">
        <v>277</v>
      </c>
      <c r="BD2" s="7" t="s">
        <v>278</v>
      </c>
      <c r="BE2" s="7" t="s">
        <v>279</v>
      </c>
      <c r="BF2" s="7" t="s">
        <v>280</v>
      </c>
      <c r="BG2" s="7" t="s">
        <v>281</v>
      </c>
      <c r="BH2" s="7" t="s">
        <v>197</v>
      </c>
      <c r="BI2" s="7" t="s">
        <v>282</v>
      </c>
      <c r="BJ2" s="7" t="s">
        <v>283</v>
      </c>
      <c r="BK2" s="7" t="s">
        <v>284</v>
      </c>
      <c r="BL2" s="7" t="s">
        <v>285</v>
      </c>
      <c r="BM2" s="7" t="s">
        <v>286</v>
      </c>
      <c r="BN2" s="7" t="s">
        <v>287</v>
      </c>
      <c r="BO2" s="7" t="s">
        <v>288</v>
      </c>
      <c r="BP2" s="7" t="s">
        <v>289</v>
      </c>
      <c r="BQ2" s="89" t="s">
        <v>355</v>
      </c>
      <c r="BR2" s="89" t="s">
        <v>356</v>
      </c>
      <c r="BS2" s="89" t="s">
        <v>357</v>
      </c>
      <c r="BT2" s="89" t="s">
        <v>358</v>
      </c>
      <c r="BU2" s="89" t="s">
        <v>359</v>
      </c>
      <c r="BV2" s="89" t="s">
        <v>360</v>
      </c>
      <c r="BW2" s="89" t="s">
        <v>361</v>
      </c>
      <c r="BX2" s="89" t="s">
        <v>362</v>
      </c>
      <c r="BY2" s="89" t="s">
        <v>363</v>
      </c>
      <c r="BZ2" s="89" t="s">
        <v>364</v>
      </c>
      <c r="CA2" s="7" t="s">
        <v>468</v>
      </c>
    </row>
    <row r="3" spans="1:79" ht="34.05" customHeight="1">
      <c r="A3" s="61" t="s">
        <v>648</v>
      </c>
      <c r="C3" s="62"/>
      <c r="D3" s="62"/>
      <c r="E3" s="63"/>
      <c r="F3" s="65"/>
      <c r="G3" s="86" t="str">
        <f>HYPERLINK("https://pbs.twimg.com/profile_images/1235364542/favicon_normal.png")</f>
        <v>https://pbs.twimg.com/profile_images/1235364542/favicon_normal.png</v>
      </c>
      <c r="H3" s="62"/>
      <c r="I3" s="66"/>
      <c r="J3" s="67"/>
      <c r="K3" s="67"/>
      <c r="L3" s="66" t="s">
        <v>1980</v>
      </c>
      <c r="M3" s="70"/>
      <c r="N3" s="71">
        <v>3283.194091796875</v>
      </c>
      <c r="O3" s="71">
        <v>4092.47900390625</v>
      </c>
      <c r="P3" s="72"/>
      <c r="Q3" s="73"/>
      <c r="R3" s="73"/>
      <c r="S3" s="45"/>
      <c r="T3" s="45">
        <v>0</v>
      </c>
      <c r="U3" s="45">
        <v>1</v>
      </c>
      <c r="V3" s="46">
        <v>0</v>
      </c>
      <c r="W3" s="46">
        <v>0.41555</v>
      </c>
      <c r="X3" s="46">
        <v>0.065898</v>
      </c>
      <c r="Y3" s="46">
        <v>0.005556</v>
      </c>
      <c r="Z3" s="46">
        <v>0</v>
      </c>
      <c r="AA3" s="46">
        <v>0</v>
      </c>
      <c r="AB3" s="68">
        <v>3</v>
      </c>
      <c r="AC3" s="68"/>
      <c r="AD3" s="69"/>
      <c r="AE3" s="75" t="s">
        <v>1388</v>
      </c>
      <c r="AF3" s="79" t="s">
        <v>1504</v>
      </c>
      <c r="AG3" s="75">
        <v>2649</v>
      </c>
      <c r="AH3" s="75">
        <v>2084</v>
      </c>
      <c r="AI3" s="75">
        <v>3783</v>
      </c>
      <c r="AJ3" s="75">
        <v>53</v>
      </c>
      <c r="AK3" s="75">
        <v>1114</v>
      </c>
      <c r="AL3" s="75">
        <v>564</v>
      </c>
      <c r="AM3" s="75" t="b">
        <v>0</v>
      </c>
      <c r="AN3" s="77">
        <v>40554.82680555555</v>
      </c>
      <c r="AO3" s="75" t="s">
        <v>303</v>
      </c>
      <c r="AP3" s="75" t="s">
        <v>1701</v>
      </c>
      <c r="AQ3" s="83" t="str">
        <f>HYPERLINK("http://t.co/lAPFYOLbJQ")</f>
        <v>http://t.co/lAPFYOLbJQ</v>
      </c>
      <c r="AR3" s="83" t="str">
        <f>HYPERLINK("http://www.followupthen.com")</f>
        <v>http://www.followupthen.com</v>
      </c>
      <c r="AS3" s="75" t="s">
        <v>892</v>
      </c>
      <c r="AT3" s="75"/>
      <c r="AU3" s="75"/>
      <c r="AV3" s="75"/>
      <c r="AW3" s="75">
        <v>1.65380301299162E+18</v>
      </c>
      <c r="AX3" s="83" t="str">
        <f>HYPERLINK("http://t.co/lAPFYOLbJQ")</f>
        <v>http://t.co/lAPFYOLbJQ</v>
      </c>
      <c r="AY3" s="75" t="b">
        <v>0</v>
      </c>
      <c r="AZ3" s="75"/>
      <c r="BA3" s="75"/>
      <c r="BB3" s="75" t="b">
        <v>1</v>
      </c>
      <c r="BC3" s="75" t="b">
        <v>1</v>
      </c>
      <c r="BD3" s="75" t="b">
        <v>1</v>
      </c>
      <c r="BE3" s="75" t="b">
        <v>0</v>
      </c>
      <c r="BF3" s="75" t="b">
        <v>1</v>
      </c>
      <c r="BG3" s="75" t="b">
        <v>0</v>
      </c>
      <c r="BH3" s="75" t="b">
        <v>0</v>
      </c>
      <c r="BI3" s="83" t="str">
        <f>HYPERLINK("https://pbs.twimg.com/profile_banners/236971013/1607650839")</f>
        <v>https://pbs.twimg.com/profile_banners/236971013/1607650839</v>
      </c>
      <c r="BJ3" s="75"/>
      <c r="BK3" s="75" t="s">
        <v>330</v>
      </c>
      <c r="BL3" s="75" t="b">
        <v>0</v>
      </c>
      <c r="BM3" s="75"/>
      <c r="BN3" s="75" t="s">
        <v>66</v>
      </c>
      <c r="BO3" s="75" t="s">
        <v>332</v>
      </c>
      <c r="BP3" s="83" t="str">
        <f>HYPERLINK("https://twitter.com/followupthen")</f>
        <v>https://twitter.com/followupthen</v>
      </c>
      <c r="BQ3" s="45" t="s">
        <v>2117</v>
      </c>
      <c r="BR3" s="45" t="s">
        <v>2117</v>
      </c>
      <c r="BS3" s="45" t="s">
        <v>892</v>
      </c>
      <c r="BT3" s="45" t="s">
        <v>892</v>
      </c>
      <c r="BU3" s="45"/>
      <c r="BV3" s="45"/>
      <c r="BW3" s="90" t="s">
        <v>2164</v>
      </c>
      <c r="BX3" s="90" t="s">
        <v>2164</v>
      </c>
      <c r="BY3" s="90" t="s">
        <v>2234</v>
      </c>
      <c r="BZ3" s="90" t="s">
        <v>2234</v>
      </c>
      <c r="CA3" s="79" t="str">
        <f>REPLACE(INDEX(GroupVertices[Group],MATCH("~"&amp;Vertices[[#This Row],[Vertex]],GroupVertices[Vertex],0)),1,1,"")</f>
        <v>1</v>
      </c>
    </row>
    <row r="4" spans="1:80" ht="34.05" customHeight="1">
      <c r="A4" s="61" t="s">
        <v>224</v>
      </c>
      <c r="C4" s="62"/>
      <c r="D4" s="62"/>
      <c r="E4" s="63"/>
      <c r="F4" s="92"/>
      <c r="G4" s="86" t="str">
        <f>HYPERLINK("https://pbs.twimg.com/profile_images/833576943677214720/5ZyUgpEJ_normal.jpg")</f>
        <v>https://pbs.twimg.com/profile_images/833576943677214720/5ZyUgpEJ_normal.jpg</v>
      </c>
      <c r="H4" s="93"/>
      <c r="I4" s="66"/>
      <c r="J4" s="67"/>
      <c r="K4" s="94"/>
      <c r="L4" s="66" t="s">
        <v>1827</v>
      </c>
      <c r="M4" s="95"/>
      <c r="N4" s="71">
        <v>5083.00341796875</v>
      </c>
      <c r="O4" s="71">
        <v>4947.52978515625</v>
      </c>
      <c r="P4" s="72"/>
      <c r="Q4" s="73"/>
      <c r="R4" s="73"/>
      <c r="S4" s="96"/>
      <c r="T4" s="45">
        <v>67</v>
      </c>
      <c r="U4" s="45">
        <v>29</v>
      </c>
      <c r="V4" s="46">
        <v>22666.222222</v>
      </c>
      <c r="W4" s="46">
        <v>0.707763</v>
      </c>
      <c r="X4" s="46">
        <v>0.687717</v>
      </c>
      <c r="Y4" s="46">
        <v>0.066104</v>
      </c>
      <c r="Z4" s="46">
        <v>0.0017094017094017094</v>
      </c>
      <c r="AA4" s="46">
        <v>0.03296703296703297</v>
      </c>
      <c r="AB4" s="68">
        <v>4</v>
      </c>
      <c r="AC4" s="68"/>
      <c r="AD4" s="69"/>
      <c r="AE4" s="76" t="s">
        <v>290</v>
      </c>
      <c r="AF4" s="80" t="s">
        <v>251</v>
      </c>
      <c r="AG4" s="76">
        <v>543</v>
      </c>
      <c r="AH4" s="76">
        <v>886</v>
      </c>
      <c r="AI4" s="76">
        <v>587</v>
      </c>
      <c r="AJ4" s="76">
        <v>7</v>
      </c>
      <c r="AK4" s="76">
        <v>351</v>
      </c>
      <c r="AL4" s="76">
        <v>265</v>
      </c>
      <c r="AM4" s="76" t="b">
        <v>0</v>
      </c>
      <c r="AN4" s="78">
        <v>40676.37194444444</v>
      </c>
      <c r="AO4" s="76" t="s">
        <v>318</v>
      </c>
      <c r="AP4" s="76" t="s">
        <v>329</v>
      </c>
      <c r="AQ4" s="81" t="str">
        <f>HYPERLINK("https://t.co/xhCIaTxSx3")</f>
        <v>https://t.co/xhCIaTxSx3</v>
      </c>
      <c r="AR4" s="81" t="str">
        <f>HYPERLINK("https://www.inovies.com")</f>
        <v>https://www.inovies.com</v>
      </c>
      <c r="AS4" s="76" t="s">
        <v>236</v>
      </c>
      <c r="AT4" s="76"/>
      <c r="AU4" s="76"/>
      <c r="AV4" s="76"/>
      <c r="AW4" s="76"/>
      <c r="AX4" s="81" t="str">
        <f>HYPERLINK("https://t.co/xhCIaTxSx3")</f>
        <v>https://t.co/xhCIaTxSx3</v>
      </c>
      <c r="AY4" s="76" t="b">
        <v>0</v>
      </c>
      <c r="AZ4" s="76"/>
      <c r="BA4" s="76"/>
      <c r="BB4" s="76" t="b">
        <v>1</v>
      </c>
      <c r="BC4" s="76" t="b">
        <v>1</v>
      </c>
      <c r="BD4" s="76" t="b">
        <v>0</v>
      </c>
      <c r="BE4" s="76" t="b">
        <v>0</v>
      </c>
      <c r="BF4" s="76" t="b">
        <v>1</v>
      </c>
      <c r="BG4" s="76" t="b">
        <v>0</v>
      </c>
      <c r="BH4" s="76" t="b">
        <v>0</v>
      </c>
      <c r="BI4" s="81" t="str">
        <f>HYPERLINK("https://pbs.twimg.com/profile_banners/297885438/1702020136")</f>
        <v>https://pbs.twimg.com/profile_banners/297885438/1702020136</v>
      </c>
      <c r="BJ4" s="76"/>
      <c r="BK4" s="76" t="s">
        <v>330</v>
      </c>
      <c r="BL4" s="76" t="b">
        <v>0</v>
      </c>
      <c r="BM4" s="76"/>
      <c r="BN4" s="76" t="s">
        <v>66</v>
      </c>
      <c r="BO4" s="76" t="s">
        <v>332</v>
      </c>
      <c r="BP4" s="97" t="str">
        <f>HYPERLINK("https://twitter.com/inovies")</f>
        <v>https://twitter.com/inovies</v>
      </c>
      <c r="BQ4" s="45" t="s">
        <v>2118</v>
      </c>
      <c r="BR4" s="45" t="s">
        <v>2139</v>
      </c>
      <c r="BS4" s="45" t="s">
        <v>2143</v>
      </c>
      <c r="BT4" s="45" t="s">
        <v>2144</v>
      </c>
      <c r="BU4" s="45" t="s">
        <v>2148</v>
      </c>
      <c r="BV4" s="45" t="s">
        <v>2153</v>
      </c>
      <c r="BW4" s="90" t="s">
        <v>2165</v>
      </c>
      <c r="BX4" s="90" t="s">
        <v>2228</v>
      </c>
      <c r="BY4" s="90" t="s">
        <v>2235</v>
      </c>
      <c r="BZ4" s="90" t="s">
        <v>2235</v>
      </c>
      <c r="CA4" s="75" t="str">
        <f>REPLACE(INDEX(GroupVertices[Group],MATCH("~"&amp;Vertices[[#This Row],[Vertex]],GroupVertices[Vertex],0)),1,1,"")</f>
        <v>1</v>
      </c>
      <c r="CB4" s="2"/>
    </row>
    <row r="5" spans="1:80" ht="34.05" customHeight="1">
      <c r="A5" s="61" t="s">
        <v>583</v>
      </c>
      <c r="C5" s="62"/>
      <c r="D5" s="62"/>
      <c r="E5" s="63"/>
      <c r="F5" s="92"/>
      <c r="G5" s="86" t="str">
        <f>HYPERLINK("https://pbs.twimg.com/profile_images/1610277897662771203/qqkeWNv9_normal.jpg")</f>
        <v>https://pbs.twimg.com/profile_images/1610277897662771203/qqkeWNv9_normal.jpg</v>
      </c>
      <c r="H5" s="93"/>
      <c r="I5" s="66"/>
      <c r="J5" s="67"/>
      <c r="K5" s="94"/>
      <c r="L5" s="66" t="s">
        <v>1828</v>
      </c>
      <c r="M5" s="95"/>
      <c r="N5" s="71">
        <v>5704.12451171875</v>
      </c>
      <c r="O5" s="71">
        <v>3635.173095703125</v>
      </c>
      <c r="P5" s="72"/>
      <c r="Q5" s="73"/>
      <c r="R5" s="73"/>
      <c r="S5" s="96"/>
      <c r="T5" s="45">
        <v>0</v>
      </c>
      <c r="U5" s="45">
        <v>1</v>
      </c>
      <c r="V5" s="46">
        <v>0</v>
      </c>
      <c r="W5" s="46">
        <v>0.41555</v>
      </c>
      <c r="X5" s="46">
        <v>0.065898</v>
      </c>
      <c r="Y5" s="46">
        <v>0.005556</v>
      </c>
      <c r="Z5" s="46">
        <v>0</v>
      </c>
      <c r="AA5" s="46">
        <v>0</v>
      </c>
      <c r="AB5" s="68">
        <v>5</v>
      </c>
      <c r="AC5" s="68"/>
      <c r="AD5" s="69"/>
      <c r="AE5" s="76" t="s">
        <v>1243</v>
      </c>
      <c r="AF5" s="80" t="s">
        <v>1389</v>
      </c>
      <c r="AG5" s="76">
        <v>147</v>
      </c>
      <c r="AH5" s="76">
        <v>423</v>
      </c>
      <c r="AI5" s="76">
        <v>949</v>
      </c>
      <c r="AJ5" s="76">
        <v>1</v>
      </c>
      <c r="AK5" s="76">
        <v>287</v>
      </c>
      <c r="AL5" s="76">
        <v>119</v>
      </c>
      <c r="AM5" s="76" t="b">
        <v>0</v>
      </c>
      <c r="AN5" s="78">
        <v>39985.26834490741</v>
      </c>
      <c r="AO5" s="76" t="s">
        <v>1505</v>
      </c>
      <c r="AP5" s="76" t="s">
        <v>1564</v>
      </c>
      <c r="AQ5" s="81" t="str">
        <f>HYPERLINK("https://t.co/am2K7JphiV")</f>
        <v>https://t.co/am2K7JphiV</v>
      </c>
      <c r="AR5" s="81" t="str">
        <f>HYPERLINK("http://www.facebook.com/Navvuko")</f>
        <v>http://www.facebook.com/Navvuko</v>
      </c>
      <c r="AS5" s="76" t="s">
        <v>1702</v>
      </c>
      <c r="AT5" s="76"/>
      <c r="AU5" s="76"/>
      <c r="AV5" s="76"/>
      <c r="AW5" s="76">
        <v>1.70418932096449E+18</v>
      </c>
      <c r="AX5" s="81" t="str">
        <f>HYPERLINK("https://t.co/am2K7JphiV")</f>
        <v>https://t.co/am2K7JphiV</v>
      </c>
      <c r="AY5" s="76" t="b">
        <v>0</v>
      </c>
      <c r="AZ5" s="76" t="b">
        <v>1</v>
      </c>
      <c r="BA5" s="76"/>
      <c r="BB5" s="76" t="b">
        <v>1</v>
      </c>
      <c r="BC5" s="76" t="b">
        <v>1</v>
      </c>
      <c r="BD5" s="76" t="b">
        <v>1</v>
      </c>
      <c r="BE5" s="76" t="b">
        <v>0</v>
      </c>
      <c r="BF5" s="76" t="b">
        <v>1</v>
      </c>
      <c r="BG5" s="76" t="b">
        <v>0</v>
      </c>
      <c r="BH5" s="76" t="b">
        <v>0</v>
      </c>
      <c r="BI5" s="81" t="str">
        <f>HYPERLINK("https://pbs.twimg.com/profile_banners/49252261/1426826632")</f>
        <v>https://pbs.twimg.com/profile_banners/49252261/1426826632</v>
      </c>
      <c r="BJ5" s="76"/>
      <c r="BK5" s="76" t="s">
        <v>330</v>
      </c>
      <c r="BL5" s="76" t="b">
        <v>0</v>
      </c>
      <c r="BM5" s="76"/>
      <c r="BN5" s="76" t="s">
        <v>66</v>
      </c>
      <c r="BO5" s="76" t="s">
        <v>332</v>
      </c>
      <c r="BP5" s="97" t="str">
        <f>HYPERLINK("https://twitter.com/sumanthch")</f>
        <v>https://twitter.com/sumanthch</v>
      </c>
      <c r="BQ5" s="45"/>
      <c r="BR5" s="45"/>
      <c r="BS5" s="45"/>
      <c r="BT5" s="45"/>
      <c r="BU5" s="45"/>
      <c r="BV5" s="45"/>
      <c r="BW5" s="90" t="s">
        <v>224</v>
      </c>
      <c r="BX5" s="90" t="s">
        <v>224</v>
      </c>
      <c r="BY5" s="90" t="s">
        <v>252</v>
      </c>
      <c r="BZ5" s="90" t="s">
        <v>252</v>
      </c>
      <c r="CA5" s="75" t="str">
        <f>REPLACE(INDEX(GroupVertices[Group],MATCH("~"&amp;Vertices[[#This Row],[Vertex]],GroupVertices[Vertex],0)),1,1,"")</f>
        <v>1</v>
      </c>
      <c r="CB5" s="2"/>
    </row>
    <row r="6" spans="1:80" ht="34.05" customHeight="1">
      <c r="A6" s="61" t="s">
        <v>584</v>
      </c>
      <c r="C6" s="62"/>
      <c r="D6" s="62"/>
      <c r="E6" s="63"/>
      <c r="F6" s="92"/>
      <c r="G6" s="86" t="str">
        <f>HYPERLINK("https://pbs.twimg.com/profile_images/932576222298509312/xDIyhVn3_normal.jpg")</f>
        <v>https://pbs.twimg.com/profile_images/932576222298509312/xDIyhVn3_normal.jpg</v>
      </c>
      <c r="H6" s="93"/>
      <c r="I6" s="66"/>
      <c r="J6" s="67"/>
      <c r="K6" s="94"/>
      <c r="L6" s="66" t="s">
        <v>1829</v>
      </c>
      <c r="M6" s="95"/>
      <c r="N6" s="71">
        <v>4368.71875</v>
      </c>
      <c r="O6" s="71">
        <v>5115.52783203125</v>
      </c>
      <c r="P6" s="72"/>
      <c r="Q6" s="73"/>
      <c r="R6" s="73"/>
      <c r="S6" s="96"/>
      <c r="T6" s="45">
        <v>0</v>
      </c>
      <c r="U6" s="45">
        <v>2</v>
      </c>
      <c r="V6" s="46">
        <v>0</v>
      </c>
      <c r="W6" s="46">
        <v>0.416667</v>
      </c>
      <c r="X6" s="46">
        <v>0.074257</v>
      </c>
      <c r="Y6" s="46">
        <v>0.005814</v>
      </c>
      <c r="Z6" s="46">
        <v>0.5</v>
      </c>
      <c r="AA6" s="46">
        <v>0</v>
      </c>
      <c r="AB6" s="68">
        <v>6</v>
      </c>
      <c r="AC6" s="68"/>
      <c r="AD6" s="69"/>
      <c r="AE6" s="76" t="s">
        <v>1244</v>
      </c>
      <c r="AF6" s="80" t="s">
        <v>1226</v>
      </c>
      <c r="AG6" s="76">
        <v>17</v>
      </c>
      <c r="AH6" s="76">
        <v>3</v>
      </c>
      <c r="AI6" s="76">
        <v>1762</v>
      </c>
      <c r="AJ6" s="76">
        <v>2</v>
      </c>
      <c r="AK6" s="76">
        <v>0</v>
      </c>
      <c r="AL6" s="76">
        <v>1714</v>
      </c>
      <c r="AM6" s="76" t="b">
        <v>0</v>
      </c>
      <c r="AN6" s="78">
        <v>43059.46440972222</v>
      </c>
      <c r="AO6" s="76" t="s">
        <v>1506</v>
      </c>
      <c r="AP6" s="76" t="s">
        <v>1565</v>
      </c>
      <c r="AQ6" s="81" t="str">
        <f>HYPERLINK("https://t.co/bHvzBLoEjn")</f>
        <v>https://t.co/bHvzBLoEjn</v>
      </c>
      <c r="AR6" s="81" t="str">
        <f>HYPERLINK("https://sites.google.com/site/seoserviceslky/")</f>
        <v>https://sites.google.com/site/seoserviceslky/</v>
      </c>
      <c r="AS6" s="76" t="s">
        <v>1703</v>
      </c>
      <c r="AT6" s="76"/>
      <c r="AU6" s="76"/>
      <c r="AV6" s="76"/>
      <c r="AW6" s="76"/>
      <c r="AX6" s="81" t="str">
        <f>HYPERLINK("https://t.co/bHvzBLoEjn")</f>
        <v>https://t.co/bHvzBLoEjn</v>
      </c>
      <c r="AY6" s="76" t="b">
        <v>0</v>
      </c>
      <c r="AZ6" s="76"/>
      <c r="BA6" s="76"/>
      <c r="BB6" s="76" t="b">
        <v>0</v>
      </c>
      <c r="BC6" s="76" t="b">
        <v>1</v>
      </c>
      <c r="BD6" s="76" t="b">
        <v>0</v>
      </c>
      <c r="BE6" s="76" t="b">
        <v>0</v>
      </c>
      <c r="BF6" s="76" t="b">
        <v>0</v>
      </c>
      <c r="BG6" s="76" t="b">
        <v>0</v>
      </c>
      <c r="BH6" s="76" t="b">
        <v>0</v>
      </c>
      <c r="BI6" s="81" t="str">
        <f>HYPERLINK("https://pbs.twimg.com/profile_banners/932566379030462464/1511178516")</f>
        <v>https://pbs.twimg.com/profile_banners/932566379030462464/1511178516</v>
      </c>
      <c r="BJ6" s="76"/>
      <c r="BK6" s="76" t="s">
        <v>330</v>
      </c>
      <c r="BL6" s="76" t="b">
        <v>0</v>
      </c>
      <c r="BM6" s="76"/>
      <c r="BN6" s="76" t="s">
        <v>66</v>
      </c>
      <c r="BO6" s="76" t="s">
        <v>332</v>
      </c>
      <c r="BP6" s="97" t="str">
        <f>HYPERLINK("https://twitter.com/jameslbrower2")</f>
        <v>https://twitter.com/jameslbrower2</v>
      </c>
      <c r="BQ6" s="45" t="s">
        <v>859</v>
      </c>
      <c r="BR6" s="45" t="s">
        <v>859</v>
      </c>
      <c r="BS6" s="45" t="s">
        <v>577</v>
      </c>
      <c r="BT6" s="45" t="s">
        <v>578</v>
      </c>
      <c r="BU6" s="45" t="s">
        <v>831</v>
      </c>
      <c r="BV6" s="45" t="s">
        <v>2154</v>
      </c>
      <c r="BW6" s="90" t="s">
        <v>2166</v>
      </c>
      <c r="BX6" s="90" t="s">
        <v>2166</v>
      </c>
      <c r="BY6" s="90" t="s">
        <v>2236</v>
      </c>
      <c r="BZ6" s="90" t="s">
        <v>2236</v>
      </c>
      <c r="CA6" s="75" t="str">
        <f>REPLACE(INDEX(GroupVertices[Group],MATCH("~"&amp;Vertices[[#This Row],[Vertex]],GroupVertices[Vertex],0)),1,1,"")</f>
        <v>1</v>
      </c>
      <c r="CB6" s="2"/>
    </row>
    <row r="7" spans="1:80" ht="34.05" customHeight="1">
      <c r="A7" s="61" t="s">
        <v>627</v>
      </c>
      <c r="C7" s="62"/>
      <c r="D7" s="62"/>
      <c r="E7" s="63"/>
      <c r="F7" s="92"/>
      <c r="G7" s="86" t="str">
        <f>HYPERLINK("https://pbs.twimg.com/profile_images/1402842160508981252/1dGsTHpA_normal.jpg")</f>
        <v>https://pbs.twimg.com/profile_images/1402842160508981252/1dGsTHpA_normal.jpg</v>
      </c>
      <c r="H7" s="93"/>
      <c r="I7" s="66"/>
      <c r="J7" s="67"/>
      <c r="K7" s="94"/>
      <c r="L7" s="66" t="s">
        <v>1830</v>
      </c>
      <c r="M7" s="95"/>
      <c r="N7" s="71">
        <v>4613.9091796875</v>
      </c>
      <c r="O7" s="71">
        <v>4194.5751953125</v>
      </c>
      <c r="P7" s="72"/>
      <c r="Q7" s="73"/>
      <c r="R7" s="73"/>
      <c r="S7" s="96"/>
      <c r="T7" s="45">
        <v>3</v>
      </c>
      <c r="U7" s="45">
        <v>1</v>
      </c>
      <c r="V7" s="46">
        <v>3</v>
      </c>
      <c r="W7" s="46">
        <v>0.418919</v>
      </c>
      <c r="X7" s="46">
        <v>0.087244</v>
      </c>
      <c r="Y7" s="46">
        <v>0.006865</v>
      </c>
      <c r="Z7" s="46">
        <v>0.25</v>
      </c>
      <c r="AA7" s="46">
        <v>0</v>
      </c>
      <c r="AB7" s="68">
        <v>7</v>
      </c>
      <c r="AC7" s="68"/>
      <c r="AD7" s="69"/>
      <c r="AE7" s="76" t="s">
        <v>1245</v>
      </c>
      <c r="AF7" s="80" t="s">
        <v>1235</v>
      </c>
      <c r="AG7" s="76">
        <v>153</v>
      </c>
      <c r="AH7" s="76">
        <v>230</v>
      </c>
      <c r="AI7" s="76">
        <v>211</v>
      </c>
      <c r="AJ7" s="76">
        <v>5</v>
      </c>
      <c r="AK7" s="76">
        <v>2</v>
      </c>
      <c r="AL7" s="76">
        <v>147</v>
      </c>
      <c r="AM7" s="76" t="b">
        <v>0</v>
      </c>
      <c r="AN7" s="78">
        <v>42873.277592592596</v>
      </c>
      <c r="AO7" s="76" t="s">
        <v>319</v>
      </c>
      <c r="AP7" s="76" t="s">
        <v>1566</v>
      </c>
      <c r="AQ7" s="81" t="str">
        <f>HYPERLINK("https://t.co/eTxVigLedP")</f>
        <v>https://t.co/eTxVigLedP</v>
      </c>
      <c r="AR7" s="81" t="str">
        <f>HYPERLINK("http://inovies.com")</f>
        <v>http://inovies.com</v>
      </c>
      <c r="AS7" s="76" t="s">
        <v>236</v>
      </c>
      <c r="AT7" s="76"/>
      <c r="AU7" s="76"/>
      <c r="AV7" s="76"/>
      <c r="AW7" s="76"/>
      <c r="AX7" s="81" t="str">
        <f>HYPERLINK("https://t.co/eTxVigLedP")</f>
        <v>https://t.co/eTxVigLedP</v>
      </c>
      <c r="AY7" s="76" t="b">
        <v>0</v>
      </c>
      <c r="AZ7" s="76"/>
      <c r="BA7" s="76" t="b">
        <v>1</v>
      </c>
      <c r="BB7" s="76" t="b">
        <v>0</v>
      </c>
      <c r="BC7" s="76" t="b">
        <v>1</v>
      </c>
      <c r="BD7" s="76" t="b">
        <v>0</v>
      </c>
      <c r="BE7" s="76" t="b">
        <v>0</v>
      </c>
      <c r="BF7" s="76" t="b">
        <v>0</v>
      </c>
      <c r="BG7" s="76" t="b">
        <v>0</v>
      </c>
      <c r="BH7" s="76" t="b">
        <v>0</v>
      </c>
      <c r="BI7" s="81" t="str">
        <f>HYPERLINK("https://pbs.twimg.com/profile_banners/865094534073524224/1623298707")</f>
        <v>https://pbs.twimg.com/profile_banners/865094534073524224/1623298707</v>
      </c>
      <c r="BJ7" s="76"/>
      <c r="BK7" s="76" t="s">
        <v>330</v>
      </c>
      <c r="BL7" s="76" t="b">
        <v>1</v>
      </c>
      <c r="BM7" s="76"/>
      <c r="BN7" s="76" t="s">
        <v>66</v>
      </c>
      <c r="BO7" s="76" t="s">
        <v>332</v>
      </c>
      <c r="BP7" s="97" t="str">
        <f>HYPERLINK("https://twitter.com/suryakotianu")</f>
        <v>https://twitter.com/suryakotianu</v>
      </c>
      <c r="BQ7" s="45" t="s">
        <v>2119</v>
      </c>
      <c r="BR7" s="45" t="s">
        <v>2119</v>
      </c>
      <c r="BS7" s="45" t="s">
        <v>400</v>
      </c>
      <c r="BT7" s="45" t="s">
        <v>400</v>
      </c>
      <c r="BU7" s="45" t="s">
        <v>2149</v>
      </c>
      <c r="BV7" s="45" t="s">
        <v>2155</v>
      </c>
      <c r="BW7" s="90" t="s">
        <v>2167</v>
      </c>
      <c r="BX7" s="90" t="s">
        <v>2167</v>
      </c>
      <c r="BY7" s="90" t="s">
        <v>2237</v>
      </c>
      <c r="BZ7" s="90" t="s">
        <v>2237</v>
      </c>
      <c r="CA7" s="75" t="str">
        <f>REPLACE(INDEX(GroupVertices[Group],MATCH("~"&amp;Vertices[[#This Row],[Vertex]],GroupVertices[Vertex],0)),1,1,"")</f>
        <v>1</v>
      </c>
      <c r="CB7" s="2"/>
    </row>
    <row r="8" spans="1:80" ht="34.05" customHeight="1">
      <c r="A8" s="61" t="s">
        <v>585</v>
      </c>
      <c r="C8" s="62"/>
      <c r="D8" s="62"/>
      <c r="E8" s="63"/>
      <c r="F8" s="92"/>
      <c r="G8" s="86" t="str">
        <f>HYPERLINK("https://pbs.twimg.com/profile_images/1681728559948374016/_t3jmHTd_normal.jpg")</f>
        <v>https://pbs.twimg.com/profile_images/1681728559948374016/_t3jmHTd_normal.jpg</v>
      </c>
      <c r="H8" s="93"/>
      <c r="I8" s="66"/>
      <c r="J8" s="67"/>
      <c r="K8" s="94"/>
      <c r="L8" s="66" t="s">
        <v>1831</v>
      </c>
      <c r="M8" s="95"/>
      <c r="N8" s="71">
        <v>5622.35107421875</v>
      </c>
      <c r="O8" s="71">
        <v>6876.15625</v>
      </c>
      <c r="P8" s="72"/>
      <c r="Q8" s="73"/>
      <c r="R8" s="73"/>
      <c r="S8" s="96"/>
      <c r="T8" s="45">
        <v>0</v>
      </c>
      <c r="U8" s="45">
        <v>2</v>
      </c>
      <c r="V8" s="46">
        <v>0</v>
      </c>
      <c r="W8" s="46">
        <v>0.416667</v>
      </c>
      <c r="X8" s="46">
        <v>0.072881</v>
      </c>
      <c r="Y8" s="46">
        <v>0.006007</v>
      </c>
      <c r="Z8" s="46">
        <v>0.5</v>
      </c>
      <c r="AA8" s="46">
        <v>0</v>
      </c>
      <c r="AB8" s="68">
        <v>8</v>
      </c>
      <c r="AC8" s="68"/>
      <c r="AD8" s="69"/>
      <c r="AE8" s="76" t="s">
        <v>1246</v>
      </c>
      <c r="AF8" s="80" t="s">
        <v>1227</v>
      </c>
      <c r="AG8" s="76">
        <v>6564</v>
      </c>
      <c r="AH8" s="76">
        <v>308</v>
      </c>
      <c r="AI8" s="76">
        <v>10670</v>
      </c>
      <c r="AJ8" s="76">
        <v>7</v>
      </c>
      <c r="AK8" s="76">
        <v>13689</v>
      </c>
      <c r="AL8" s="76">
        <v>1084</v>
      </c>
      <c r="AM8" s="76" t="b">
        <v>0</v>
      </c>
      <c r="AN8" s="78">
        <v>44114.26694444445</v>
      </c>
      <c r="AO8" s="76"/>
      <c r="AP8" s="76" t="s">
        <v>1567</v>
      </c>
      <c r="AQ8" s="76"/>
      <c r="AR8" s="76"/>
      <c r="AS8" s="76"/>
      <c r="AT8" s="76"/>
      <c r="AU8" s="76"/>
      <c r="AV8" s="76"/>
      <c r="AW8" s="76">
        <v>1.44066199230226E+18</v>
      </c>
      <c r="AX8" s="76"/>
      <c r="AY8" s="76" t="b">
        <v>0</v>
      </c>
      <c r="AZ8" s="76"/>
      <c r="BA8" s="76"/>
      <c r="BB8" s="76" t="b">
        <v>0</v>
      </c>
      <c r="BC8" s="76" t="b">
        <v>0</v>
      </c>
      <c r="BD8" s="76" t="b">
        <v>1</v>
      </c>
      <c r="BE8" s="76" t="b">
        <v>0</v>
      </c>
      <c r="BF8" s="76" t="b">
        <v>1</v>
      </c>
      <c r="BG8" s="76" t="b">
        <v>0</v>
      </c>
      <c r="BH8" s="76" t="b">
        <v>0</v>
      </c>
      <c r="BI8" s="81" t="str">
        <f>HYPERLINK("https://pbs.twimg.com/profile_banners/1314813937666256896/1626770014")</f>
        <v>https://pbs.twimg.com/profile_banners/1314813937666256896/1626770014</v>
      </c>
      <c r="BJ8" s="76"/>
      <c r="BK8" s="76" t="s">
        <v>330</v>
      </c>
      <c r="BL8" s="76" t="b">
        <v>0</v>
      </c>
      <c r="BM8" s="76"/>
      <c r="BN8" s="76" t="s">
        <v>66</v>
      </c>
      <c r="BO8" s="76" t="s">
        <v>332</v>
      </c>
      <c r="BP8" s="97" t="str">
        <f>HYPERLINK("https://twitter.com/narenadarswaero")</f>
        <v>https://twitter.com/narenadarswaero</v>
      </c>
      <c r="BQ8" s="45"/>
      <c r="BR8" s="45"/>
      <c r="BS8" s="45"/>
      <c r="BT8" s="45"/>
      <c r="BU8" s="45" t="s">
        <v>2150</v>
      </c>
      <c r="BV8" s="45" t="s">
        <v>2150</v>
      </c>
      <c r="BW8" s="90" t="s">
        <v>2168</v>
      </c>
      <c r="BX8" s="90" t="s">
        <v>2168</v>
      </c>
      <c r="BY8" s="90" t="s">
        <v>2238</v>
      </c>
      <c r="BZ8" s="90" t="s">
        <v>2238</v>
      </c>
      <c r="CA8" s="75" t="str">
        <f>REPLACE(INDEX(GroupVertices[Group],MATCH("~"&amp;Vertices[[#This Row],[Vertex]],GroupVertices[Vertex],0)),1,1,"")</f>
        <v>1</v>
      </c>
      <c r="CB8" s="2"/>
    </row>
    <row r="9" spans="1:80" ht="34.05" customHeight="1">
      <c r="A9" s="61" t="s">
        <v>649</v>
      </c>
      <c r="C9" s="62"/>
      <c r="D9" s="62"/>
      <c r="E9" s="63"/>
      <c r="F9" s="92"/>
      <c r="G9" s="86" t="str">
        <f>HYPERLINK("https://pbs.twimg.com/profile_images/1544250191695708161/2s6bHOLl_normal.jpg")</f>
        <v>https://pbs.twimg.com/profile_images/1544250191695708161/2s6bHOLl_normal.jpg</v>
      </c>
      <c r="H9" s="93"/>
      <c r="I9" s="66"/>
      <c r="J9" s="67"/>
      <c r="K9" s="94"/>
      <c r="L9" s="66" t="s">
        <v>1832</v>
      </c>
      <c r="M9" s="95"/>
      <c r="N9" s="71">
        <v>5536.7373046875</v>
      </c>
      <c r="O9" s="71">
        <v>6430.20751953125</v>
      </c>
      <c r="P9" s="72"/>
      <c r="Q9" s="73"/>
      <c r="R9" s="73"/>
      <c r="S9" s="96"/>
      <c r="T9" s="45">
        <v>2</v>
      </c>
      <c r="U9" s="45">
        <v>0</v>
      </c>
      <c r="V9" s="46">
        <v>0</v>
      </c>
      <c r="W9" s="46">
        <v>0.416667</v>
      </c>
      <c r="X9" s="46">
        <v>0.072881</v>
      </c>
      <c r="Y9" s="46">
        <v>0.006007</v>
      </c>
      <c r="Z9" s="46">
        <v>0.5</v>
      </c>
      <c r="AA9" s="46">
        <v>0</v>
      </c>
      <c r="AB9" s="68">
        <v>9</v>
      </c>
      <c r="AC9" s="68"/>
      <c r="AD9" s="69"/>
      <c r="AE9" s="76" t="s">
        <v>1247</v>
      </c>
      <c r="AF9" s="80" t="s">
        <v>1203</v>
      </c>
      <c r="AG9" s="76">
        <v>199663</v>
      </c>
      <c r="AH9" s="76">
        <v>292</v>
      </c>
      <c r="AI9" s="76">
        <v>4051</v>
      </c>
      <c r="AJ9" s="76">
        <v>66</v>
      </c>
      <c r="AK9" s="76">
        <v>59369</v>
      </c>
      <c r="AL9" s="76">
        <v>2428</v>
      </c>
      <c r="AM9" s="76" t="b">
        <v>0</v>
      </c>
      <c r="AN9" s="78">
        <v>42234.711550925924</v>
      </c>
      <c r="AO9" s="76" t="s">
        <v>318</v>
      </c>
      <c r="AP9" s="76" t="s">
        <v>1568</v>
      </c>
      <c r="AQ9" s="76"/>
      <c r="AR9" s="76"/>
      <c r="AS9" s="76"/>
      <c r="AT9" s="81" t="str">
        <f>HYPERLINK("https://t.co/u5D2MghJaD")</f>
        <v>https://t.co/u5D2MghJaD</v>
      </c>
      <c r="AU9" s="81" t="str">
        <f>HYPERLINK("http://www.rsp4all.org")</f>
        <v>http://www.rsp4all.org</v>
      </c>
      <c r="AV9" s="76" t="s">
        <v>1815</v>
      </c>
      <c r="AW9" s="76"/>
      <c r="AX9" s="76"/>
      <c r="AY9" s="76" t="b">
        <v>1</v>
      </c>
      <c r="AZ9" s="76"/>
      <c r="BA9" s="76" t="b">
        <v>1</v>
      </c>
      <c r="BB9" s="76" t="b">
        <v>0</v>
      </c>
      <c r="BC9" s="76" t="b">
        <v>1</v>
      </c>
      <c r="BD9" s="76" t="b">
        <v>1</v>
      </c>
      <c r="BE9" s="76" t="b">
        <v>0</v>
      </c>
      <c r="BF9" s="76" t="b">
        <v>0</v>
      </c>
      <c r="BG9" s="76" t="b">
        <v>0</v>
      </c>
      <c r="BH9" s="76" t="b">
        <v>0</v>
      </c>
      <c r="BI9" s="81" t="str">
        <f>HYPERLINK("https://pbs.twimg.com/profile_banners/3318942674/1690911884")</f>
        <v>https://pbs.twimg.com/profile_banners/3318942674/1690911884</v>
      </c>
      <c r="BJ9" s="76"/>
      <c r="BK9" s="76" t="s">
        <v>330</v>
      </c>
      <c r="BL9" s="76" t="b">
        <v>1</v>
      </c>
      <c r="BM9" s="76"/>
      <c r="BN9" s="76" t="s">
        <v>65</v>
      </c>
      <c r="BO9" s="76" t="s">
        <v>332</v>
      </c>
      <c r="BP9" s="97" t="str">
        <f>HYPERLINK("https://twitter.com/rspraveenswaero")</f>
        <v>https://twitter.com/rspraveenswaero</v>
      </c>
      <c r="BQ9" s="45"/>
      <c r="BR9" s="45"/>
      <c r="BS9" s="45"/>
      <c r="BT9" s="45"/>
      <c r="BU9" s="45"/>
      <c r="BV9" s="45"/>
      <c r="BW9" s="45"/>
      <c r="BX9" s="45"/>
      <c r="BY9" s="45"/>
      <c r="BZ9" s="45"/>
      <c r="CA9" s="75" t="str">
        <f>REPLACE(INDEX(GroupVertices[Group],MATCH("~"&amp;Vertices[[#This Row],[Vertex]],GroupVertices[Vertex],0)),1,1,"")</f>
        <v>1</v>
      </c>
      <c r="CB9" s="2"/>
    </row>
    <row r="10" spans="1:80" ht="34.05" customHeight="1">
      <c r="A10" s="61" t="s">
        <v>586</v>
      </c>
      <c r="C10" s="62"/>
      <c r="D10" s="62"/>
      <c r="E10" s="63"/>
      <c r="F10" s="92"/>
      <c r="G10" s="86" t="str">
        <f>HYPERLINK("https://pbs.twimg.com/profile_images/911331537433501696/YDUbiWr1_normal.jpg")</f>
        <v>https://pbs.twimg.com/profile_images/911331537433501696/YDUbiWr1_normal.jpg</v>
      </c>
      <c r="H10" s="93"/>
      <c r="I10" s="66"/>
      <c r="J10" s="67"/>
      <c r="K10" s="94"/>
      <c r="L10" s="66" t="s">
        <v>1833</v>
      </c>
      <c r="M10" s="95"/>
      <c r="N10" s="71">
        <v>4566.0673828125</v>
      </c>
      <c r="O10" s="71">
        <v>4717.94091796875</v>
      </c>
      <c r="P10" s="72"/>
      <c r="Q10" s="73"/>
      <c r="R10" s="73"/>
      <c r="S10" s="96"/>
      <c r="T10" s="45">
        <v>0</v>
      </c>
      <c r="U10" s="45">
        <v>2</v>
      </c>
      <c r="V10" s="46">
        <v>0</v>
      </c>
      <c r="W10" s="46">
        <v>0.416667</v>
      </c>
      <c r="X10" s="46">
        <v>0.074257</v>
      </c>
      <c r="Y10" s="46">
        <v>0.005814</v>
      </c>
      <c r="Z10" s="46">
        <v>0.5</v>
      </c>
      <c r="AA10" s="46">
        <v>0</v>
      </c>
      <c r="AB10" s="68">
        <v>10</v>
      </c>
      <c r="AC10" s="68"/>
      <c r="AD10" s="69"/>
      <c r="AE10" s="76" t="s">
        <v>1248</v>
      </c>
      <c r="AF10" s="80" t="s">
        <v>1390</v>
      </c>
      <c r="AG10" s="76">
        <v>230</v>
      </c>
      <c r="AH10" s="76">
        <v>238</v>
      </c>
      <c r="AI10" s="76">
        <v>36584</v>
      </c>
      <c r="AJ10" s="76">
        <v>4</v>
      </c>
      <c r="AK10" s="76">
        <v>2</v>
      </c>
      <c r="AL10" s="76">
        <v>34723</v>
      </c>
      <c r="AM10" s="76" t="b">
        <v>0</v>
      </c>
      <c r="AN10" s="78">
        <v>41215.19534722222</v>
      </c>
      <c r="AO10" s="76" t="s">
        <v>300</v>
      </c>
      <c r="AP10" s="76" t="s">
        <v>1569</v>
      </c>
      <c r="AQ10" s="81" t="str">
        <f>HYPERLINK("http://t.co/tw5SGYwoNW")</f>
        <v>http://t.co/tw5SGYwoNW</v>
      </c>
      <c r="AR10" s="81" t="str">
        <f>HYPERLINK("http://www.dbmwebmarketing.com")</f>
        <v>http://www.dbmwebmarketing.com</v>
      </c>
      <c r="AS10" s="76" t="s">
        <v>1704</v>
      </c>
      <c r="AT10" s="76"/>
      <c r="AU10" s="76"/>
      <c r="AV10" s="76"/>
      <c r="AW10" s="76"/>
      <c r="AX10" s="81" t="str">
        <f>HYPERLINK("http://t.co/tw5SGYwoNW")</f>
        <v>http://t.co/tw5SGYwoNW</v>
      </c>
      <c r="AY10" s="76" t="b">
        <v>0</v>
      </c>
      <c r="AZ10" s="76"/>
      <c r="BA10" s="76"/>
      <c r="BB10" s="76" t="b">
        <v>0</v>
      </c>
      <c r="BC10" s="76" t="b">
        <v>1</v>
      </c>
      <c r="BD10" s="76" t="b">
        <v>0</v>
      </c>
      <c r="BE10" s="76" t="b">
        <v>0</v>
      </c>
      <c r="BF10" s="76" t="b">
        <v>0</v>
      </c>
      <c r="BG10" s="76" t="b">
        <v>0</v>
      </c>
      <c r="BH10" s="76" t="b">
        <v>0</v>
      </c>
      <c r="BI10" s="81" t="str">
        <f>HYPERLINK("https://pbs.twimg.com/profile_banners/920365416/1506112996")</f>
        <v>https://pbs.twimg.com/profile_banners/920365416/1506112996</v>
      </c>
      <c r="BJ10" s="76"/>
      <c r="BK10" s="76" t="s">
        <v>330</v>
      </c>
      <c r="BL10" s="76" t="b">
        <v>0</v>
      </c>
      <c r="BM10" s="76"/>
      <c r="BN10" s="76" t="s">
        <v>66</v>
      </c>
      <c r="BO10" s="76" t="s">
        <v>332</v>
      </c>
      <c r="BP10" s="97" t="str">
        <f>HYPERLINK("https://twitter.com/dbmwebmarketing")</f>
        <v>https://twitter.com/dbmwebmarketing</v>
      </c>
      <c r="BQ10" s="45" t="s">
        <v>859</v>
      </c>
      <c r="BR10" s="45" t="s">
        <v>859</v>
      </c>
      <c r="BS10" s="45" t="s">
        <v>577</v>
      </c>
      <c r="BT10" s="45" t="s">
        <v>578</v>
      </c>
      <c r="BU10" s="45" t="s">
        <v>831</v>
      </c>
      <c r="BV10" s="45" t="s">
        <v>2154</v>
      </c>
      <c r="BW10" s="90" t="s">
        <v>2166</v>
      </c>
      <c r="BX10" s="90" t="s">
        <v>2166</v>
      </c>
      <c r="BY10" s="90" t="s">
        <v>2239</v>
      </c>
      <c r="BZ10" s="90" t="s">
        <v>2239</v>
      </c>
      <c r="CA10" s="75" t="str">
        <f>REPLACE(INDEX(GroupVertices[Group],MATCH("~"&amp;Vertices[[#This Row],[Vertex]],GroupVertices[Vertex],0)),1,1,"")</f>
        <v>1</v>
      </c>
      <c r="CB10" s="2"/>
    </row>
    <row r="11" spans="1:80" ht="34.05" customHeight="1">
      <c r="A11" s="61" t="s">
        <v>587</v>
      </c>
      <c r="C11" s="62"/>
      <c r="D11" s="62"/>
      <c r="E11" s="63"/>
      <c r="F11" s="92"/>
      <c r="G11" s="86" t="str">
        <f>HYPERLINK("https://pbs.twimg.com/profile_images/1703406086269644800/jvdMyk9f_normal.jpg")</f>
        <v>https://pbs.twimg.com/profile_images/1703406086269644800/jvdMyk9f_normal.jpg</v>
      </c>
      <c r="H11" s="93"/>
      <c r="I11" s="66"/>
      <c r="J11" s="67"/>
      <c r="K11" s="94"/>
      <c r="L11" s="66" t="s">
        <v>1834</v>
      </c>
      <c r="M11" s="95"/>
      <c r="N11" s="71">
        <v>6232.9951171875</v>
      </c>
      <c r="O11" s="71">
        <v>7437.11767578125</v>
      </c>
      <c r="P11" s="72"/>
      <c r="Q11" s="73"/>
      <c r="R11" s="73"/>
      <c r="S11" s="96"/>
      <c r="T11" s="45">
        <v>0</v>
      </c>
      <c r="U11" s="45">
        <v>7</v>
      </c>
      <c r="V11" s="46">
        <v>1666</v>
      </c>
      <c r="W11" s="46">
        <v>0.429363</v>
      </c>
      <c r="X11" s="46">
        <v>0.070405</v>
      </c>
      <c r="Y11" s="46">
        <v>0.010254</v>
      </c>
      <c r="Z11" s="46">
        <v>0</v>
      </c>
      <c r="AA11" s="46">
        <v>0</v>
      </c>
      <c r="AB11" s="68">
        <v>11</v>
      </c>
      <c r="AC11" s="68"/>
      <c r="AD11" s="69"/>
      <c r="AE11" s="76" t="s">
        <v>1249</v>
      </c>
      <c r="AF11" s="80" t="s">
        <v>1228</v>
      </c>
      <c r="AG11" s="76">
        <v>198</v>
      </c>
      <c r="AH11" s="76">
        <v>192</v>
      </c>
      <c r="AI11" s="76">
        <v>8072</v>
      </c>
      <c r="AJ11" s="76">
        <v>0</v>
      </c>
      <c r="AK11" s="76">
        <v>4743</v>
      </c>
      <c r="AL11" s="76">
        <v>7</v>
      </c>
      <c r="AM11" s="76" t="b">
        <v>0</v>
      </c>
      <c r="AN11" s="78">
        <v>43921.71074074074</v>
      </c>
      <c r="AO11" s="76" t="s">
        <v>1507</v>
      </c>
      <c r="AP11" s="76" t="s">
        <v>1570</v>
      </c>
      <c r="AQ11" s="76"/>
      <c r="AR11" s="76"/>
      <c r="AS11" s="76"/>
      <c r="AT11" s="76"/>
      <c r="AU11" s="76"/>
      <c r="AV11" s="76"/>
      <c r="AW11" s="76">
        <v>1.63165726809249E+18</v>
      </c>
      <c r="AX11" s="76"/>
      <c r="AY11" s="76" t="b">
        <v>0</v>
      </c>
      <c r="AZ11" s="76"/>
      <c r="BA11" s="76"/>
      <c r="BB11" s="76" t="b">
        <v>0</v>
      </c>
      <c r="BC11" s="76" t="b">
        <v>1</v>
      </c>
      <c r="BD11" s="76" t="b">
        <v>1</v>
      </c>
      <c r="BE11" s="76" t="b">
        <v>0</v>
      </c>
      <c r="BF11" s="76" t="b">
        <v>1</v>
      </c>
      <c r="BG11" s="76" t="b">
        <v>0</v>
      </c>
      <c r="BH11" s="76" t="b">
        <v>0</v>
      </c>
      <c r="BI11" s="81" t="str">
        <f>HYPERLINK("https://pbs.twimg.com/profile_banners/1245033866974429184/1651035333")</f>
        <v>https://pbs.twimg.com/profile_banners/1245033866974429184/1651035333</v>
      </c>
      <c r="BJ11" s="76"/>
      <c r="BK11" s="76" t="s">
        <v>330</v>
      </c>
      <c r="BL11" s="76" t="b">
        <v>0</v>
      </c>
      <c r="BM11" s="76"/>
      <c r="BN11" s="76" t="s">
        <v>66</v>
      </c>
      <c r="BO11" s="76" t="s">
        <v>332</v>
      </c>
      <c r="BP11" s="97" t="str">
        <f>HYPERLINK("https://twitter.com/garcias_jmichel")</f>
        <v>https://twitter.com/garcias_jmichel</v>
      </c>
      <c r="BQ11" s="45"/>
      <c r="BR11" s="45"/>
      <c r="BS11" s="45"/>
      <c r="BT11" s="45"/>
      <c r="BU11" s="45"/>
      <c r="BV11" s="45"/>
      <c r="BW11" s="90" t="s">
        <v>2169</v>
      </c>
      <c r="BX11" s="90" t="s">
        <v>2169</v>
      </c>
      <c r="BY11" s="90" t="s">
        <v>2240</v>
      </c>
      <c r="BZ11" s="90" t="s">
        <v>2240</v>
      </c>
      <c r="CA11" s="75" t="str">
        <f>REPLACE(INDEX(GroupVertices[Group],MATCH("~"&amp;Vertices[[#This Row],[Vertex]],GroupVertices[Vertex],0)),1,1,"")</f>
        <v>3</v>
      </c>
      <c r="CB11" s="2"/>
    </row>
    <row r="12" spans="1:80" ht="34.05" customHeight="1">
      <c r="A12" s="61" t="s">
        <v>650</v>
      </c>
      <c r="C12" s="62"/>
      <c r="D12" s="62"/>
      <c r="E12" s="63"/>
      <c r="F12" s="92"/>
      <c r="G12" s="86" t="str">
        <f>HYPERLINK("https://pbs.twimg.com/profile_images/1082750409758846976/SmYDBeDq_normal.jpg")</f>
        <v>https://pbs.twimg.com/profile_images/1082750409758846976/SmYDBeDq_normal.jpg</v>
      </c>
      <c r="H12" s="93"/>
      <c r="I12" s="66"/>
      <c r="J12" s="67"/>
      <c r="K12" s="94"/>
      <c r="L12" s="66" t="s">
        <v>1835</v>
      </c>
      <c r="M12" s="95"/>
      <c r="N12" s="71">
        <v>6049.095703125</v>
      </c>
      <c r="O12" s="71">
        <v>9804.140625</v>
      </c>
      <c r="P12" s="72"/>
      <c r="Q12" s="73"/>
      <c r="R12" s="73"/>
      <c r="S12" s="96"/>
      <c r="T12" s="45">
        <v>1</v>
      </c>
      <c r="U12" s="45">
        <v>0</v>
      </c>
      <c r="V12" s="46">
        <v>0</v>
      </c>
      <c r="W12" s="46">
        <v>0.300971</v>
      </c>
      <c r="X12" s="46">
        <v>0.006746</v>
      </c>
      <c r="Y12" s="46">
        <v>0.005668</v>
      </c>
      <c r="Z12" s="46">
        <v>0</v>
      </c>
      <c r="AA12" s="46">
        <v>0</v>
      </c>
      <c r="AB12" s="68">
        <v>12</v>
      </c>
      <c r="AC12" s="68"/>
      <c r="AD12" s="69"/>
      <c r="AE12" s="76" t="s">
        <v>1250</v>
      </c>
      <c r="AF12" s="80" t="s">
        <v>1391</v>
      </c>
      <c r="AG12" s="76">
        <v>1587</v>
      </c>
      <c r="AH12" s="76">
        <v>1574</v>
      </c>
      <c r="AI12" s="76">
        <v>2187</v>
      </c>
      <c r="AJ12" s="76">
        <v>32</v>
      </c>
      <c r="AK12" s="76">
        <v>181</v>
      </c>
      <c r="AL12" s="76">
        <v>655</v>
      </c>
      <c r="AM12" s="76" t="b">
        <v>0</v>
      </c>
      <c r="AN12" s="78">
        <v>40591.94167824074</v>
      </c>
      <c r="AO12" s="76"/>
      <c r="AP12" s="76" t="s">
        <v>1571</v>
      </c>
      <c r="AQ12" s="81" t="str">
        <f>HYPERLINK("https://t.co/tJtiPy14S2")</f>
        <v>https://t.co/tJtiPy14S2</v>
      </c>
      <c r="AR12" s="81" t="str">
        <f>HYPERLINK("http://www.eag.com")</f>
        <v>http://www.eag.com</v>
      </c>
      <c r="AS12" s="76" t="s">
        <v>1705</v>
      </c>
      <c r="AT12" s="76"/>
      <c r="AU12" s="76"/>
      <c r="AV12" s="76"/>
      <c r="AW12" s="76"/>
      <c r="AX12" s="81" t="str">
        <f>HYPERLINK("https://t.co/tJtiPy14S2")</f>
        <v>https://t.co/tJtiPy14S2</v>
      </c>
      <c r="AY12" s="76" t="b">
        <v>0</v>
      </c>
      <c r="AZ12" s="76"/>
      <c r="BA12" s="76"/>
      <c r="BB12" s="76" t="b">
        <v>0</v>
      </c>
      <c r="BC12" s="76" t="b">
        <v>1</v>
      </c>
      <c r="BD12" s="76" t="b">
        <v>0</v>
      </c>
      <c r="BE12" s="76" t="b">
        <v>0</v>
      </c>
      <c r="BF12" s="76" t="b">
        <v>0</v>
      </c>
      <c r="BG12" s="76" t="b">
        <v>0</v>
      </c>
      <c r="BH12" s="76" t="b">
        <v>0</v>
      </c>
      <c r="BI12" s="81" t="str">
        <f>HYPERLINK("https://pbs.twimg.com/profile_banners/253761297/1624919234")</f>
        <v>https://pbs.twimg.com/profile_banners/253761297/1624919234</v>
      </c>
      <c r="BJ12" s="76"/>
      <c r="BK12" s="76" t="s">
        <v>330</v>
      </c>
      <c r="BL12" s="76" t="b">
        <v>0</v>
      </c>
      <c r="BM12" s="76"/>
      <c r="BN12" s="76" t="s">
        <v>65</v>
      </c>
      <c r="BO12" s="76" t="s">
        <v>332</v>
      </c>
      <c r="BP12" s="97" t="str">
        <f>HYPERLINK("https://twitter.com/eaglaboratories")</f>
        <v>https://twitter.com/eaglaboratories</v>
      </c>
      <c r="BQ12" s="45"/>
      <c r="BR12" s="45"/>
      <c r="BS12" s="45"/>
      <c r="BT12" s="45"/>
      <c r="BU12" s="45"/>
      <c r="BV12" s="45"/>
      <c r="BW12" s="45"/>
      <c r="BX12" s="45"/>
      <c r="BY12" s="45"/>
      <c r="BZ12" s="45"/>
      <c r="CA12" s="75" t="str">
        <f>REPLACE(INDEX(GroupVertices[Group],MATCH("~"&amp;Vertices[[#This Row],[Vertex]],GroupVertices[Vertex],0)),1,1,"")</f>
        <v>3</v>
      </c>
      <c r="CB12" s="2"/>
    </row>
    <row r="13" spans="1:80" ht="34.05" customHeight="1">
      <c r="A13" s="61" t="s">
        <v>651</v>
      </c>
      <c r="C13" s="62"/>
      <c r="D13" s="62"/>
      <c r="E13" s="63"/>
      <c r="F13" s="92"/>
      <c r="G13" s="86" t="str">
        <f>HYPERLINK("https://pbs.twimg.com/profile_images/1585956092366004225/g_p9s50h_normal.png")</f>
        <v>https://pbs.twimg.com/profile_images/1585956092366004225/g_p9s50h_normal.png</v>
      </c>
      <c r="H13" s="93"/>
      <c r="I13" s="66"/>
      <c r="J13" s="67"/>
      <c r="K13" s="94"/>
      <c r="L13" s="66" t="s">
        <v>1836</v>
      </c>
      <c r="M13" s="95"/>
      <c r="N13" s="71">
        <v>7593.93017578125</v>
      </c>
      <c r="O13" s="71">
        <v>9305.8740234375</v>
      </c>
      <c r="P13" s="72"/>
      <c r="Q13" s="73"/>
      <c r="R13" s="73"/>
      <c r="S13" s="96"/>
      <c r="T13" s="45">
        <v>1</v>
      </c>
      <c r="U13" s="45">
        <v>0</v>
      </c>
      <c r="V13" s="46">
        <v>0</v>
      </c>
      <c r="W13" s="46">
        <v>0.300971</v>
      </c>
      <c r="X13" s="46">
        <v>0.006746</v>
      </c>
      <c r="Y13" s="46">
        <v>0.005668</v>
      </c>
      <c r="Z13" s="46">
        <v>0</v>
      </c>
      <c r="AA13" s="46">
        <v>0</v>
      </c>
      <c r="AB13" s="68">
        <v>13</v>
      </c>
      <c r="AC13" s="68"/>
      <c r="AD13" s="69"/>
      <c r="AE13" s="76" t="s">
        <v>1251</v>
      </c>
      <c r="AF13" s="80" t="s">
        <v>1392</v>
      </c>
      <c r="AG13" s="76">
        <v>26</v>
      </c>
      <c r="AH13" s="76">
        <v>25</v>
      </c>
      <c r="AI13" s="76">
        <v>54</v>
      </c>
      <c r="AJ13" s="76">
        <v>0</v>
      </c>
      <c r="AK13" s="76">
        <v>0</v>
      </c>
      <c r="AL13" s="76">
        <v>51</v>
      </c>
      <c r="AM13" s="76" t="b">
        <v>0</v>
      </c>
      <c r="AN13" s="78">
        <v>44862.47652777778</v>
      </c>
      <c r="AO13" s="76"/>
      <c r="AP13" s="76" t="s">
        <v>1572</v>
      </c>
      <c r="AQ13" s="81" t="str">
        <f>HYPERLINK("https://t.co/Bt6L9ll7Zb")</f>
        <v>https://t.co/Bt6L9ll7Zb</v>
      </c>
      <c r="AR13" s="81" t="str">
        <f>HYPERLINK("https://www.cerballiance.fr/fr")</f>
        <v>https://www.cerballiance.fr/fr</v>
      </c>
      <c r="AS13" s="76" t="s">
        <v>1706</v>
      </c>
      <c r="AT13" s="76"/>
      <c r="AU13" s="76"/>
      <c r="AV13" s="76"/>
      <c r="AW13" s="76"/>
      <c r="AX13" s="81" t="str">
        <f>HYPERLINK("https://t.co/Bt6L9ll7Zb")</f>
        <v>https://t.co/Bt6L9ll7Zb</v>
      </c>
      <c r="AY13" s="76" t="b">
        <v>0</v>
      </c>
      <c r="AZ13" s="76"/>
      <c r="BA13" s="76"/>
      <c r="BB13" s="76" t="b">
        <v>0</v>
      </c>
      <c r="BC13" s="76" t="b">
        <v>1</v>
      </c>
      <c r="BD13" s="76" t="b">
        <v>1</v>
      </c>
      <c r="BE13" s="76" t="b">
        <v>0</v>
      </c>
      <c r="BF13" s="76" t="b">
        <v>0</v>
      </c>
      <c r="BG13" s="76" t="b">
        <v>0</v>
      </c>
      <c r="BH13" s="76" t="b">
        <v>0</v>
      </c>
      <c r="BI13" s="81" t="str">
        <f>HYPERLINK("https://pbs.twimg.com/profile_banners/1585956012141514757/1686934894")</f>
        <v>https://pbs.twimg.com/profile_banners/1585956012141514757/1686934894</v>
      </c>
      <c r="BJ13" s="76"/>
      <c r="BK13" s="76" t="s">
        <v>330</v>
      </c>
      <c r="BL13" s="76" t="b">
        <v>0</v>
      </c>
      <c r="BM13" s="76"/>
      <c r="BN13" s="76" t="s">
        <v>65</v>
      </c>
      <c r="BO13" s="76" t="s">
        <v>332</v>
      </c>
      <c r="BP13" s="97" t="str">
        <f>HYPERLINK("https://twitter.com/cerballiance")</f>
        <v>https://twitter.com/cerballiance</v>
      </c>
      <c r="BQ13" s="45"/>
      <c r="BR13" s="45"/>
      <c r="BS13" s="45"/>
      <c r="BT13" s="45"/>
      <c r="BU13" s="45"/>
      <c r="BV13" s="45"/>
      <c r="BW13" s="45"/>
      <c r="BX13" s="45"/>
      <c r="BY13" s="45"/>
      <c r="BZ13" s="45"/>
      <c r="CA13" s="75" t="str">
        <f>REPLACE(INDEX(GroupVertices[Group],MATCH("~"&amp;Vertices[[#This Row],[Vertex]],GroupVertices[Vertex],0)),1,1,"")</f>
        <v>3</v>
      </c>
      <c r="CB13" s="2"/>
    </row>
    <row r="14" spans="1:80" ht="34.05" customHeight="1">
      <c r="A14" s="61" t="s">
        <v>652</v>
      </c>
      <c r="C14" s="62"/>
      <c r="D14" s="62"/>
      <c r="E14" s="63"/>
      <c r="F14" s="92"/>
      <c r="G14" s="86" t="str">
        <f>HYPERLINK("https://pbs.twimg.com/profile_images/1404145807935279105/5eIbcBtA_normal.jpg")</f>
        <v>https://pbs.twimg.com/profile_images/1404145807935279105/5eIbcBtA_normal.jpg</v>
      </c>
      <c r="H14" s="93"/>
      <c r="I14" s="66"/>
      <c r="J14" s="67"/>
      <c r="K14" s="94"/>
      <c r="L14" s="66" t="s">
        <v>1837</v>
      </c>
      <c r="M14" s="95"/>
      <c r="N14" s="71">
        <v>6521.681640625</v>
      </c>
      <c r="O14" s="71">
        <v>9724.767578125</v>
      </c>
      <c r="P14" s="72"/>
      <c r="Q14" s="73"/>
      <c r="R14" s="73"/>
      <c r="S14" s="96"/>
      <c r="T14" s="45">
        <v>1</v>
      </c>
      <c r="U14" s="45">
        <v>0</v>
      </c>
      <c r="V14" s="46">
        <v>0</v>
      </c>
      <c r="W14" s="46">
        <v>0.300971</v>
      </c>
      <c r="X14" s="46">
        <v>0.006746</v>
      </c>
      <c r="Y14" s="46">
        <v>0.005668</v>
      </c>
      <c r="Z14" s="46">
        <v>0</v>
      </c>
      <c r="AA14" s="46">
        <v>0</v>
      </c>
      <c r="AB14" s="68">
        <v>14</v>
      </c>
      <c r="AC14" s="68"/>
      <c r="AD14" s="69"/>
      <c r="AE14" s="76" t="s">
        <v>1252</v>
      </c>
      <c r="AF14" s="80" t="s">
        <v>1393</v>
      </c>
      <c r="AG14" s="76">
        <v>173204</v>
      </c>
      <c r="AH14" s="76">
        <v>1045</v>
      </c>
      <c r="AI14" s="76">
        <v>4001</v>
      </c>
      <c r="AJ14" s="76">
        <v>1135</v>
      </c>
      <c r="AK14" s="76">
        <v>3847</v>
      </c>
      <c r="AL14" s="76">
        <v>1391</v>
      </c>
      <c r="AM14" s="76" t="b">
        <v>0</v>
      </c>
      <c r="AN14" s="78">
        <v>40811.53858796296</v>
      </c>
      <c r="AO14" s="76" t="s">
        <v>1508</v>
      </c>
      <c r="AP14" s="76" t="s">
        <v>1573</v>
      </c>
      <c r="AQ14" s="81" t="str">
        <f>HYPERLINK("https://t.co/IgF5AFqBHg")</f>
        <v>https://t.co/IgF5AFqBHg</v>
      </c>
      <c r="AR14" s="81" t="str">
        <f>HYPERLINK("https://t.me/gabriel_attal")</f>
        <v>https://t.me/gabriel_attal</v>
      </c>
      <c r="AS14" s="76" t="s">
        <v>1707</v>
      </c>
      <c r="AT14" s="76"/>
      <c r="AU14" s="76"/>
      <c r="AV14" s="76"/>
      <c r="AW14" s="76">
        <v>1.73204102086988E+18</v>
      </c>
      <c r="AX14" s="81" t="str">
        <f>HYPERLINK("https://t.co/IgF5AFqBHg")</f>
        <v>https://t.co/IgF5AFqBHg</v>
      </c>
      <c r="AY14" s="76" t="b">
        <v>1</v>
      </c>
      <c r="AZ14" s="76"/>
      <c r="BA14" s="76"/>
      <c r="BB14" s="76" t="b">
        <v>0</v>
      </c>
      <c r="BC14" s="76" t="b">
        <v>1</v>
      </c>
      <c r="BD14" s="76" t="b">
        <v>1</v>
      </c>
      <c r="BE14" s="76" t="b">
        <v>0</v>
      </c>
      <c r="BF14" s="76" t="b">
        <v>1</v>
      </c>
      <c r="BG14" s="76" t="b">
        <v>0</v>
      </c>
      <c r="BH14" s="76" t="b">
        <v>0</v>
      </c>
      <c r="BI14" s="81" t="str">
        <f>HYPERLINK("https://pbs.twimg.com/profile_banners/379718466/1596233167")</f>
        <v>https://pbs.twimg.com/profile_banners/379718466/1596233167</v>
      </c>
      <c r="BJ14" s="76"/>
      <c r="BK14" s="76" t="s">
        <v>330</v>
      </c>
      <c r="BL14" s="76" t="b">
        <v>0</v>
      </c>
      <c r="BM14" s="76"/>
      <c r="BN14" s="76" t="s">
        <v>65</v>
      </c>
      <c r="BO14" s="76" t="s">
        <v>332</v>
      </c>
      <c r="BP14" s="97" t="str">
        <f>HYPERLINK("https://twitter.com/gabrielattal")</f>
        <v>https://twitter.com/gabrielattal</v>
      </c>
      <c r="BQ14" s="45"/>
      <c r="BR14" s="45"/>
      <c r="BS14" s="45"/>
      <c r="BT14" s="45"/>
      <c r="BU14" s="45"/>
      <c r="BV14" s="45"/>
      <c r="BW14" s="45"/>
      <c r="BX14" s="45"/>
      <c r="BY14" s="45"/>
      <c r="BZ14" s="45"/>
      <c r="CA14" s="75" t="str">
        <f>REPLACE(INDEX(GroupVertices[Group],MATCH("~"&amp;Vertices[[#This Row],[Vertex]],GroupVertices[Vertex],0)),1,1,"")</f>
        <v>3</v>
      </c>
      <c r="CB14" s="2"/>
    </row>
    <row r="15" spans="1:80" ht="34.05" customHeight="1">
      <c r="A15" s="61" t="s">
        <v>653</v>
      </c>
      <c r="C15" s="62"/>
      <c r="D15" s="62"/>
      <c r="E15" s="63"/>
      <c r="F15" s="92"/>
      <c r="G15" s="86" t="str">
        <f>HYPERLINK("https://pbs.twimg.com/profile_images/1115175445052428289/dmqW4yun_normal.png")</f>
        <v>https://pbs.twimg.com/profile_images/1115175445052428289/dmqW4yun_normal.png</v>
      </c>
      <c r="H15" s="93"/>
      <c r="I15" s="66"/>
      <c r="J15" s="67"/>
      <c r="K15" s="94"/>
      <c r="L15" s="66" t="s">
        <v>1838</v>
      </c>
      <c r="M15" s="95"/>
      <c r="N15" s="71">
        <v>7000.5400390625</v>
      </c>
      <c r="O15" s="71">
        <v>9596.8193359375</v>
      </c>
      <c r="P15" s="72"/>
      <c r="Q15" s="73"/>
      <c r="R15" s="73"/>
      <c r="S15" s="96"/>
      <c r="T15" s="45">
        <v>1</v>
      </c>
      <c r="U15" s="45">
        <v>0</v>
      </c>
      <c r="V15" s="46">
        <v>0</v>
      </c>
      <c r="W15" s="46">
        <v>0.300971</v>
      </c>
      <c r="X15" s="46">
        <v>0.006746</v>
      </c>
      <c r="Y15" s="46">
        <v>0.005668</v>
      </c>
      <c r="Z15" s="46">
        <v>0</v>
      </c>
      <c r="AA15" s="46">
        <v>0</v>
      </c>
      <c r="AB15" s="68">
        <v>15</v>
      </c>
      <c r="AC15" s="68"/>
      <c r="AD15" s="69"/>
      <c r="AE15" s="76" t="s">
        <v>1253</v>
      </c>
      <c r="AF15" s="80" t="s">
        <v>1394</v>
      </c>
      <c r="AG15" s="76">
        <v>666090</v>
      </c>
      <c r="AH15" s="76">
        <v>1040</v>
      </c>
      <c r="AI15" s="76">
        <v>179290</v>
      </c>
      <c r="AJ15" s="76">
        <v>3130</v>
      </c>
      <c r="AK15" s="76">
        <v>2278</v>
      </c>
      <c r="AL15" s="76">
        <v>142222</v>
      </c>
      <c r="AM15" s="76" t="b">
        <v>0</v>
      </c>
      <c r="AN15" s="78">
        <v>39895.948287037034</v>
      </c>
      <c r="AO15" s="76"/>
      <c r="AP15" s="76" t="s">
        <v>1574</v>
      </c>
      <c r="AQ15" s="81" t="str">
        <f>HYPERLINK("https://t.co/RR7j3RomJ6")</f>
        <v>https://t.co/RR7j3RomJ6</v>
      </c>
      <c r="AR15" s="81" t="str">
        <f>HYPERLINK("http://TF1info.fr")</f>
        <v>http://TF1info.fr</v>
      </c>
      <c r="AS15" s="76" t="s">
        <v>1708</v>
      </c>
      <c r="AT15" s="76"/>
      <c r="AU15" s="76"/>
      <c r="AV15" s="76"/>
      <c r="AW15" s="76"/>
      <c r="AX15" s="81" t="str">
        <f>HYPERLINK("https://t.co/RR7j3RomJ6")</f>
        <v>https://t.co/RR7j3RomJ6</v>
      </c>
      <c r="AY15" s="76" t="b">
        <v>0</v>
      </c>
      <c r="AZ15" s="76"/>
      <c r="BA15" s="76"/>
      <c r="BB15" s="76" t="b">
        <v>0</v>
      </c>
      <c r="BC15" s="76" t="b">
        <v>1</v>
      </c>
      <c r="BD15" s="76" t="b">
        <v>0</v>
      </c>
      <c r="BE15" s="76" t="b">
        <v>0</v>
      </c>
      <c r="BF15" s="76" t="b">
        <v>0</v>
      </c>
      <c r="BG15" s="76" t="b">
        <v>0</v>
      </c>
      <c r="BH15" s="76" t="b">
        <v>0</v>
      </c>
      <c r="BI15" s="81" t="str">
        <f>HYPERLINK("https://pbs.twimg.com/profile_banners/26110930/1636494465")</f>
        <v>https://pbs.twimg.com/profile_banners/26110930/1636494465</v>
      </c>
      <c r="BJ15" s="76"/>
      <c r="BK15" s="76" t="s">
        <v>330</v>
      </c>
      <c r="BL15" s="76" t="b">
        <v>0</v>
      </c>
      <c r="BM15" s="76"/>
      <c r="BN15" s="76" t="s">
        <v>65</v>
      </c>
      <c r="BO15" s="76" t="s">
        <v>332</v>
      </c>
      <c r="BP15" s="97" t="str">
        <f>HYPERLINK("https://twitter.com/lci")</f>
        <v>https://twitter.com/lci</v>
      </c>
      <c r="BQ15" s="45"/>
      <c r="BR15" s="45"/>
      <c r="BS15" s="45"/>
      <c r="BT15" s="45"/>
      <c r="BU15" s="45"/>
      <c r="BV15" s="45"/>
      <c r="BW15" s="45"/>
      <c r="BX15" s="45"/>
      <c r="BY15" s="45"/>
      <c r="BZ15" s="45"/>
      <c r="CA15" s="75" t="str">
        <f>REPLACE(INDEX(GroupVertices[Group],MATCH("~"&amp;Vertices[[#This Row],[Vertex]],GroupVertices[Vertex],0)),1,1,"")</f>
        <v>3</v>
      </c>
      <c r="CB15" s="2"/>
    </row>
    <row r="16" spans="1:80" ht="34.05" customHeight="1">
      <c r="A16" s="61" t="s">
        <v>654</v>
      </c>
      <c r="C16" s="62"/>
      <c r="D16" s="62"/>
      <c r="E16" s="63"/>
      <c r="F16" s="92"/>
      <c r="G16" s="86" t="str">
        <f>HYPERLINK("https://pbs.twimg.com/profile_images/1518930322427191296/3fCTms11_normal.jpg")</f>
        <v>https://pbs.twimg.com/profile_images/1518930322427191296/3fCTms11_normal.jpg</v>
      </c>
      <c r="H16" s="93"/>
      <c r="I16" s="66"/>
      <c r="J16" s="67"/>
      <c r="K16" s="94"/>
      <c r="L16" s="66" t="s">
        <v>1839</v>
      </c>
      <c r="M16" s="95"/>
      <c r="N16" s="71">
        <v>7990.15966796875</v>
      </c>
      <c r="O16" s="71">
        <v>9056.6728515625</v>
      </c>
      <c r="P16" s="72"/>
      <c r="Q16" s="73"/>
      <c r="R16" s="73"/>
      <c r="S16" s="96"/>
      <c r="T16" s="45">
        <v>1</v>
      </c>
      <c r="U16" s="45">
        <v>0</v>
      </c>
      <c r="V16" s="46">
        <v>0</v>
      </c>
      <c r="W16" s="46">
        <v>0.300971</v>
      </c>
      <c r="X16" s="46">
        <v>0.006746</v>
      </c>
      <c r="Y16" s="46">
        <v>0.005668</v>
      </c>
      <c r="Z16" s="46">
        <v>0</v>
      </c>
      <c r="AA16" s="46">
        <v>0</v>
      </c>
      <c r="AB16" s="68">
        <v>16</v>
      </c>
      <c r="AC16" s="68"/>
      <c r="AD16" s="69"/>
      <c r="AE16" s="76" t="s">
        <v>1254</v>
      </c>
      <c r="AF16" s="80" t="s">
        <v>1204</v>
      </c>
      <c r="AG16" s="76">
        <v>33174</v>
      </c>
      <c r="AH16" s="76">
        <v>5161</v>
      </c>
      <c r="AI16" s="76">
        <v>11752</v>
      </c>
      <c r="AJ16" s="76">
        <v>402</v>
      </c>
      <c r="AK16" s="76">
        <v>1576</v>
      </c>
      <c r="AL16" s="76">
        <v>462</v>
      </c>
      <c r="AM16" s="76" t="b">
        <v>0</v>
      </c>
      <c r="AN16" s="78">
        <v>40191.67288194445</v>
      </c>
      <c r="AO16" s="76" t="s">
        <v>326</v>
      </c>
      <c r="AP16" s="76" t="s">
        <v>1575</v>
      </c>
      <c r="AQ16" s="81" t="str">
        <f>HYPERLINK("https://t.co/C5OafpyYPC")</f>
        <v>https://t.co/C5OafpyYPC</v>
      </c>
      <c r="AR16" s="81" t="str">
        <f>HYPERLINK("http://www.tf1info.fr")</f>
        <v>http://www.tf1info.fr</v>
      </c>
      <c r="AS16" s="76" t="s">
        <v>1709</v>
      </c>
      <c r="AT16" s="76"/>
      <c r="AU16" s="76"/>
      <c r="AV16" s="76"/>
      <c r="AW16" s="76"/>
      <c r="AX16" s="81" t="str">
        <f>HYPERLINK("https://t.co/C5OafpyYPC")</f>
        <v>https://t.co/C5OafpyYPC</v>
      </c>
      <c r="AY16" s="76" t="b">
        <v>0</v>
      </c>
      <c r="AZ16" s="76"/>
      <c r="BA16" s="76"/>
      <c r="BB16" s="76" t="b">
        <v>0</v>
      </c>
      <c r="BC16" s="76" t="b">
        <v>1</v>
      </c>
      <c r="BD16" s="76" t="b">
        <v>1</v>
      </c>
      <c r="BE16" s="76" t="b">
        <v>0</v>
      </c>
      <c r="BF16" s="76" t="b">
        <v>0</v>
      </c>
      <c r="BG16" s="76" t="b">
        <v>0</v>
      </c>
      <c r="BH16" s="76" t="b">
        <v>0</v>
      </c>
      <c r="BI16" s="81" t="str">
        <f>HYPERLINK("https://pbs.twimg.com/profile_banners/104526776/1661605335")</f>
        <v>https://pbs.twimg.com/profile_banners/104526776/1661605335</v>
      </c>
      <c r="BJ16" s="76"/>
      <c r="BK16" s="76" t="s">
        <v>330</v>
      </c>
      <c r="BL16" s="76" t="b">
        <v>0</v>
      </c>
      <c r="BM16" s="76"/>
      <c r="BN16" s="76" t="s">
        <v>65</v>
      </c>
      <c r="BO16" s="76" t="s">
        <v>332</v>
      </c>
      <c r="BP16" s="97" t="str">
        <f>HYPERLINK("https://twitter.com/agindre")</f>
        <v>https://twitter.com/agindre</v>
      </c>
      <c r="BQ16" s="45"/>
      <c r="BR16" s="45"/>
      <c r="BS16" s="45"/>
      <c r="BT16" s="45"/>
      <c r="BU16" s="45"/>
      <c r="BV16" s="45"/>
      <c r="BW16" s="45"/>
      <c r="BX16" s="45"/>
      <c r="BY16" s="45"/>
      <c r="BZ16" s="45"/>
      <c r="CA16" s="75" t="str">
        <f>REPLACE(INDEX(GroupVertices[Group],MATCH("~"&amp;Vertices[[#This Row],[Vertex]],GroupVertices[Vertex],0)),1,1,"")</f>
        <v>3</v>
      </c>
      <c r="CB16" s="2"/>
    </row>
    <row r="17" spans="1:80" ht="34.05" customHeight="1">
      <c r="A17" s="61" t="s">
        <v>655</v>
      </c>
      <c r="C17" s="62"/>
      <c r="D17" s="62"/>
      <c r="E17" s="63"/>
      <c r="F17" s="92"/>
      <c r="G17" s="86" t="str">
        <f>HYPERLINK("https://pbs.twimg.com/profile_images/1587720565997162496/Svjrui6j_normal.png")</f>
        <v>https://pbs.twimg.com/profile_images/1587720565997162496/Svjrui6j_normal.png</v>
      </c>
      <c r="H17" s="93"/>
      <c r="I17" s="66"/>
      <c r="J17" s="67"/>
      <c r="K17" s="94"/>
      <c r="L17" s="66" t="s">
        <v>1840</v>
      </c>
      <c r="M17" s="95"/>
      <c r="N17" s="71">
        <v>8373.37890625</v>
      </c>
      <c r="O17" s="71">
        <v>8503.029296875</v>
      </c>
      <c r="P17" s="72"/>
      <c r="Q17" s="73"/>
      <c r="R17" s="73"/>
      <c r="S17" s="96"/>
      <c r="T17" s="45">
        <v>2</v>
      </c>
      <c r="U17" s="45">
        <v>0</v>
      </c>
      <c r="V17" s="46">
        <v>18</v>
      </c>
      <c r="W17" s="46">
        <v>0.304519</v>
      </c>
      <c r="X17" s="46">
        <v>0.01331</v>
      </c>
      <c r="Y17" s="46">
        <v>0.005943</v>
      </c>
      <c r="Z17" s="46">
        <v>0</v>
      </c>
      <c r="AA17" s="46">
        <v>0</v>
      </c>
      <c r="AB17" s="68">
        <v>17</v>
      </c>
      <c r="AC17" s="68"/>
      <c r="AD17" s="69"/>
      <c r="AE17" s="76" t="s">
        <v>1255</v>
      </c>
      <c r="AF17" s="80" t="s">
        <v>1218</v>
      </c>
      <c r="AG17" s="76">
        <v>721</v>
      </c>
      <c r="AH17" s="76">
        <v>379</v>
      </c>
      <c r="AI17" s="76">
        <v>525</v>
      </c>
      <c r="AJ17" s="76">
        <v>11</v>
      </c>
      <c r="AK17" s="76">
        <v>51</v>
      </c>
      <c r="AL17" s="76">
        <v>219</v>
      </c>
      <c r="AM17" s="76" t="b">
        <v>0</v>
      </c>
      <c r="AN17" s="78">
        <v>43578.31420138889</v>
      </c>
      <c r="AO17" s="76"/>
      <c r="AP17" s="76" t="s">
        <v>1576</v>
      </c>
      <c r="AQ17" s="81" t="str">
        <f>HYPERLINK("https://t.co/KwVcLTJy8H")</f>
        <v>https://t.co/KwVcLTJy8H</v>
      </c>
      <c r="AR17" s="81" t="str">
        <f>HYPERLINK("https://biogroup.fr/")</f>
        <v>https://biogroup.fr/</v>
      </c>
      <c r="AS17" s="76" t="s">
        <v>1710</v>
      </c>
      <c r="AT17" s="76"/>
      <c r="AU17" s="76"/>
      <c r="AV17" s="76"/>
      <c r="AW17" s="76"/>
      <c r="AX17" s="81" t="str">
        <f>HYPERLINK("https://t.co/KwVcLTJy8H")</f>
        <v>https://t.co/KwVcLTJy8H</v>
      </c>
      <c r="AY17" s="76" t="b">
        <v>0</v>
      </c>
      <c r="AZ17" s="76"/>
      <c r="BA17" s="76"/>
      <c r="BB17" s="76" t="b">
        <v>1</v>
      </c>
      <c r="BC17" s="76" t="b">
        <v>1</v>
      </c>
      <c r="BD17" s="76" t="b">
        <v>0</v>
      </c>
      <c r="BE17" s="76" t="b">
        <v>0</v>
      </c>
      <c r="BF17" s="76" t="b">
        <v>1</v>
      </c>
      <c r="BG17" s="76" t="b">
        <v>0</v>
      </c>
      <c r="BH17" s="76" t="b">
        <v>0</v>
      </c>
      <c r="BI17" s="81" t="str">
        <f>HYPERLINK("https://pbs.twimg.com/profile_banners/1120591247016640513/1662557568")</f>
        <v>https://pbs.twimg.com/profile_banners/1120591247016640513/1662557568</v>
      </c>
      <c r="BJ17" s="76"/>
      <c r="BK17" s="76" t="s">
        <v>330</v>
      </c>
      <c r="BL17" s="76" t="b">
        <v>0</v>
      </c>
      <c r="BM17" s="76"/>
      <c r="BN17" s="76" t="s">
        <v>65</v>
      </c>
      <c r="BO17" s="76" t="s">
        <v>332</v>
      </c>
      <c r="BP17" s="97" t="str">
        <f>HYPERLINK("https://twitter.com/biogroup_labo")</f>
        <v>https://twitter.com/biogroup_labo</v>
      </c>
      <c r="BQ17" s="45"/>
      <c r="BR17" s="45"/>
      <c r="BS17" s="45"/>
      <c r="BT17" s="45"/>
      <c r="BU17" s="45"/>
      <c r="BV17" s="45"/>
      <c r="BW17" s="45"/>
      <c r="BX17" s="45"/>
      <c r="BY17" s="45"/>
      <c r="BZ17" s="45"/>
      <c r="CA17" s="75" t="str">
        <f>REPLACE(INDEX(GroupVertices[Group],MATCH("~"&amp;Vertices[[#This Row],[Vertex]],GroupVertices[Vertex],0)),1,1,"")</f>
        <v>3</v>
      </c>
      <c r="CB17" s="2"/>
    </row>
    <row r="18" spans="1:80" ht="34.05" customHeight="1">
      <c r="A18" s="61" t="s">
        <v>588</v>
      </c>
      <c r="C18" s="62"/>
      <c r="D18" s="62"/>
      <c r="E18" s="63"/>
      <c r="F18" s="92"/>
      <c r="G18" s="86" t="str">
        <f>HYPERLINK("https://pbs.twimg.com/profile_images/847289329361616896/5iVjgPZL_normal.jpg")</f>
        <v>https://pbs.twimg.com/profile_images/847289329361616896/5iVjgPZL_normal.jpg</v>
      </c>
      <c r="H18" s="93"/>
      <c r="I18" s="66"/>
      <c r="J18" s="67"/>
      <c r="K18" s="94"/>
      <c r="L18" s="66" t="s">
        <v>1841</v>
      </c>
      <c r="M18" s="95"/>
      <c r="N18" s="71">
        <v>5164.24853515625</v>
      </c>
      <c r="O18" s="71">
        <v>4377.0859375</v>
      </c>
      <c r="P18" s="72"/>
      <c r="Q18" s="73"/>
      <c r="R18" s="73"/>
      <c r="S18" s="96"/>
      <c r="T18" s="45">
        <v>0</v>
      </c>
      <c r="U18" s="45">
        <v>1</v>
      </c>
      <c r="V18" s="46">
        <v>0</v>
      </c>
      <c r="W18" s="46">
        <v>0.41555</v>
      </c>
      <c r="X18" s="46">
        <v>0.065898</v>
      </c>
      <c r="Y18" s="46">
        <v>0.005556</v>
      </c>
      <c r="Z18" s="46">
        <v>0</v>
      </c>
      <c r="AA18" s="46">
        <v>0</v>
      </c>
      <c r="AB18" s="68">
        <v>18</v>
      </c>
      <c r="AC18" s="68"/>
      <c r="AD18" s="69"/>
      <c r="AE18" s="76" t="s">
        <v>1256</v>
      </c>
      <c r="AF18" s="80" t="s">
        <v>1395</v>
      </c>
      <c r="AG18" s="76">
        <v>6676</v>
      </c>
      <c r="AH18" s="76">
        <v>6886</v>
      </c>
      <c r="AI18" s="76">
        <v>22174</v>
      </c>
      <c r="AJ18" s="76">
        <v>142</v>
      </c>
      <c r="AK18" s="76">
        <v>149</v>
      </c>
      <c r="AL18" s="76">
        <v>2800</v>
      </c>
      <c r="AM18" s="76" t="b">
        <v>0</v>
      </c>
      <c r="AN18" s="78">
        <v>41227.122141203705</v>
      </c>
      <c r="AO18" s="76" t="s">
        <v>1509</v>
      </c>
      <c r="AP18" s="76" t="s">
        <v>1577</v>
      </c>
      <c r="AQ18" s="81" t="str">
        <f>HYPERLINK("https://t.co/r8uqkOFqqd")</f>
        <v>https://t.co/r8uqkOFqqd</v>
      </c>
      <c r="AR18" s="81" t="str">
        <f>HYPERLINK("http://www.micromanager.io")</f>
        <v>http://www.micromanager.io</v>
      </c>
      <c r="AS18" s="76" t="s">
        <v>1711</v>
      </c>
      <c r="AT18" s="76"/>
      <c r="AU18" s="76"/>
      <c r="AV18" s="76"/>
      <c r="AW18" s="76"/>
      <c r="AX18" s="81" t="str">
        <f>HYPERLINK("https://t.co/r8uqkOFqqd")</f>
        <v>https://t.co/r8uqkOFqqd</v>
      </c>
      <c r="AY18" s="76" t="b">
        <v>0</v>
      </c>
      <c r="AZ18" s="76"/>
      <c r="BA18" s="76"/>
      <c r="BB18" s="76" t="b">
        <v>0</v>
      </c>
      <c r="BC18" s="76" t="b">
        <v>1</v>
      </c>
      <c r="BD18" s="76" t="b">
        <v>0</v>
      </c>
      <c r="BE18" s="76" t="b">
        <v>0</v>
      </c>
      <c r="BF18" s="76" t="b">
        <v>0</v>
      </c>
      <c r="BG18" s="76" t="b">
        <v>0</v>
      </c>
      <c r="BH18" s="76" t="b">
        <v>0</v>
      </c>
      <c r="BI18" s="81" t="str">
        <f>HYPERLINK("https://pbs.twimg.com/profile_banners/946954957/1547175574")</f>
        <v>https://pbs.twimg.com/profile_banners/946954957/1547175574</v>
      </c>
      <c r="BJ18" s="76"/>
      <c r="BK18" s="76" t="s">
        <v>330</v>
      </c>
      <c r="BL18" s="76" t="b">
        <v>0</v>
      </c>
      <c r="BM18" s="76"/>
      <c r="BN18" s="76" t="s">
        <v>66</v>
      </c>
      <c r="BO18" s="76" t="s">
        <v>332</v>
      </c>
      <c r="BP18" s="97" t="str">
        <f>HYPERLINK("https://twitter.com/bullrushapp")</f>
        <v>https://twitter.com/bullrushapp</v>
      </c>
      <c r="BQ18" s="45" t="s">
        <v>2120</v>
      </c>
      <c r="BR18" s="45" t="s">
        <v>2120</v>
      </c>
      <c r="BS18" s="45" t="s">
        <v>867</v>
      </c>
      <c r="BT18" s="45" t="s">
        <v>867</v>
      </c>
      <c r="BU18" s="45"/>
      <c r="BV18" s="45"/>
      <c r="BW18" s="90" t="s">
        <v>2170</v>
      </c>
      <c r="BX18" s="90" t="s">
        <v>2170</v>
      </c>
      <c r="BY18" s="90" t="s">
        <v>2241</v>
      </c>
      <c r="BZ18" s="90" t="s">
        <v>2241</v>
      </c>
      <c r="CA18" s="75" t="str">
        <f>REPLACE(INDEX(GroupVertices[Group],MATCH("~"&amp;Vertices[[#This Row],[Vertex]],GroupVertices[Vertex],0)),1,1,"")</f>
        <v>1</v>
      </c>
      <c r="CB18" s="2"/>
    </row>
    <row r="19" spans="1:80" ht="34.05" customHeight="1">
      <c r="A19" s="61" t="s">
        <v>589</v>
      </c>
      <c r="C19" s="62"/>
      <c r="D19" s="62"/>
      <c r="E19" s="63"/>
      <c r="F19" s="92"/>
      <c r="G19" s="86" t="str">
        <f>HYPERLINK("https://pbs.twimg.com/profile_images/1239883131261292545/ajX2pve3_normal.jpg")</f>
        <v>https://pbs.twimg.com/profile_images/1239883131261292545/ajX2pve3_normal.jpg</v>
      </c>
      <c r="H19" s="93"/>
      <c r="I19" s="66"/>
      <c r="J19" s="67"/>
      <c r="K19" s="94"/>
      <c r="L19" s="66" t="s">
        <v>1842</v>
      </c>
      <c r="M19" s="95"/>
      <c r="N19" s="71">
        <v>4089.751220703125</v>
      </c>
      <c r="O19" s="71">
        <v>2610.82470703125</v>
      </c>
      <c r="P19" s="72"/>
      <c r="Q19" s="73"/>
      <c r="R19" s="73"/>
      <c r="S19" s="96"/>
      <c r="T19" s="45">
        <v>0</v>
      </c>
      <c r="U19" s="45">
        <v>6</v>
      </c>
      <c r="V19" s="46">
        <v>1520</v>
      </c>
      <c r="W19" s="46">
        <v>0.426997</v>
      </c>
      <c r="X19" s="46">
        <v>0.069068</v>
      </c>
      <c r="Y19" s="46">
        <v>0.009827</v>
      </c>
      <c r="Z19" s="46">
        <v>0</v>
      </c>
      <c r="AA19" s="46">
        <v>0</v>
      </c>
      <c r="AB19" s="68">
        <v>19</v>
      </c>
      <c r="AC19" s="68"/>
      <c r="AD19" s="69"/>
      <c r="AE19" s="76" t="s">
        <v>1257</v>
      </c>
      <c r="AF19" s="80" t="s">
        <v>1229</v>
      </c>
      <c r="AG19" s="76">
        <v>631</v>
      </c>
      <c r="AH19" s="76">
        <v>992</v>
      </c>
      <c r="AI19" s="76">
        <v>2092</v>
      </c>
      <c r="AJ19" s="76">
        <v>1</v>
      </c>
      <c r="AK19" s="76">
        <v>2478</v>
      </c>
      <c r="AL19" s="76">
        <v>564</v>
      </c>
      <c r="AM19" s="76" t="b">
        <v>0</v>
      </c>
      <c r="AN19" s="78">
        <v>43341.41107638889</v>
      </c>
      <c r="AO19" s="76" t="s">
        <v>296</v>
      </c>
      <c r="AP19" s="76" t="s">
        <v>1578</v>
      </c>
      <c r="AQ19" s="81" t="str">
        <f>HYPERLINK("https://t.co/sBDGEQ2KMt")</f>
        <v>https://t.co/sBDGEQ2KMt</v>
      </c>
      <c r="AR19" s="81" t="str">
        <f>HYPERLINK("https://develop4u.co")</f>
        <v>https://develop4u.co</v>
      </c>
      <c r="AS19" s="76" t="s">
        <v>1712</v>
      </c>
      <c r="AT19" s="76"/>
      <c r="AU19" s="76"/>
      <c r="AV19" s="76"/>
      <c r="AW19" s="76"/>
      <c r="AX19" s="81" t="str">
        <f>HYPERLINK("https://t.co/sBDGEQ2KMt")</f>
        <v>https://t.co/sBDGEQ2KMt</v>
      </c>
      <c r="AY19" s="76" t="b">
        <v>0</v>
      </c>
      <c r="AZ19" s="76"/>
      <c r="BA19" s="76"/>
      <c r="BB19" s="76" t="b">
        <v>1</v>
      </c>
      <c r="BC19" s="76" t="b">
        <v>1</v>
      </c>
      <c r="BD19" s="76" t="b">
        <v>1</v>
      </c>
      <c r="BE19" s="76" t="b">
        <v>0</v>
      </c>
      <c r="BF19" s="76" t="b">
        <v>0</v>
      </c>
      <c r="BG19" s="76" t="b">
        <v>0</v>
      </c>
      <c r="BH19" s="76" t="b">
        <v>0</v>
      </c>
      <c r="BI19" s="81" t="str">
        <f>HYPERLINK("https://pbs.twimg.com/profile_banners/1034740429823062016/1584446151")</f>
        <v>https://pbs.twimg.com/profile_banners/1034740429823062016/1584446151</v>
      </c>
      <c r="BJ19" s="76"/>
      <c r="BK19" s="76" t="s">
        <v>330</v>
      </c>
      <c r="BL19" s="76" t="b">
        <v>0</v>
      </c>
      <c r="BM19" s="76"/>
      <c r="BN19" s="76" t="s">
        <v>66</v>
      </c>
      <c r="BO19" s="76" t="s">
        <v>332</v>
      </c>
      <c r="BP19" s="97" t="str">
        <f>HYPERLINK("https://twitter.com/develop4u_co")</f>
        <v>https://twitter.com/develop4u_co</v>
      </c>
      <c r="BQ19" s="45" t="s">
        <v>2005</v>
      </c>
      <c r="BR19" s="45" t="s">
        <v>2005</v>
      </c>
      <c r="BS19" s="45" t="s">
        <v>233</v>
      </c>
      <c r="BT19" s="45" t="s">
        <v>233</v>
      </c>
      <c r="BU19" s="45" t="s">
        <v>833</v>
      </c>
      <c r="BV19" s="45" t="s">
        <v>2156</v>
      </c>
      <c r="BW19" s="90" t="s">
        <v>2171</v>
      </c>
      <c r="BX19" s="90" t="s">
        <v>2171</v>
      </c>
      <c r="BY19" s="90" t="s">
        <v>2242</v>
      </c>
      <c r="BZ19" s="90" t="s">
        <v>2242</v>
      </c>
      <c r="CA19" s="75" t="str">
        <f>REPLACE(INDEX(GroupVertices[Group],MATCH("~"&amp;Vertices[[#This Row],[Vertex]],GroupVertices[Vertex],0)),1,1,"")</f>
        <v>5</v>
      </c>
      <c r="CB19" s="2"/>
    </row>
    <row r="20" spans="1:80" ht="34.05" customHeight="1">
      <c r="A20" s="61" t="s">
        <v>656</v>
      </c>
      <c r="C20" s="62"/>
      <c r="D20" s="62"/>
      <c r="E20" s="63"/>
      <c r="F20" s="92"/>
      <c r="G20" s="86" t="str">
        <f>HYPERLINK("https://pbs.twimg.com/profile_images/1590693939811856390/qsy2jFga_normal.jpg")</f>
        <v>https://pbs.twimg.com/profile_images/1590693939811856390/qsy2jFga_normal.jpg</v>
      </c>
      <c r="H20" s="93"/>
      <c r="I20" s="66"/>
      <c r="J20" s="67"/>
      <c r="K20" s="94"/>
      <c r="L20" s="66" t="s">
        <v>1843</v>
      </c>
      <c r="M20" s="95"/>
      <c r="N20" s="71">
        <v>3822.1748046875</v>
      </c>
      <c r="O20" s="71">
        <v>181.95713806152344</v>
      </c>
      <c r="P20" s="72"/>
      <c r="Q20" s="73"/>
      <c r="R20" s="73"/>
      <c r="S20" s="96"/>
      <c r="T20" s="45">
        <v>1</v>
      </c>
      <c r="U20" s="45">
        <v>0</v>
      </c>
      <c r="V20" s="46">
        <v>0</v>
      </c>
      <c r="W20" s="46">
        <v>0.299807</v>
      </c>
      <c r="X20" s="46">
        <v>0.006618</v>
      </c>
      <c r="Y20" s="46">
        <v>0.005694</v>
      </c>
      <c r="Z20" s="46">
        <v>0</v>
      </c>
      <c r="AA20" s="46">
        <v>0</v>
      </c>
      <c r="AB20" s="68">
        <v>20</v>
      </c>
      <c r="AC20" s="68"/>
      <c r="AD20" s="69"/>
      <c r="AE20" s="76" t="s">
        <v>1258</v>
      </c>
      <c r="AF20" s="80" t="s">
        <v>1396</v>
      </c>
      <c r="AG20" s="76">
        <v>3108</v>
      </c>
      <c r="AH20" s="76">
        <v>3898</v>
      </c>
      <c r="AI20" s="76">
        <v>3092</v>
      </c>
      <c r="AJ20" s="76">
        <v>9</v>
      </c>
      <c r="AK20" s="76">
        <v>172</v>
      </c>
      <c r="AL20" s="76">
        <v>1132</v>
      </c>
      <c r="AM20" s="76" t="b">
        <v>0</v>
      </c>
      <c r="AN20" s="78">
        <v>40130.77070601852</v>
      </c>
      <c r="AO20" s="76" t="s">
        <v>291</v>
      </c>
      <c r="AP20" s="76" t="s">
        <v>1579</v>
      </c>
      <c r="AQ20" s="81" t="str">
        <f>HYPERLINK("https://t.co/ZCziDov2tX")</f>
        <v>https://t.co/ZCziDov2tX</v>
      </c>
      <c r="AR20" s="81" t="str">
        <f>HYPERLINK("https://www.thecolourmoon.com")</f>
        <v>https://www.thecolourmoon.com</v>
      </c>
      <c r="AS20" s="76" t="s">
        <v>1713</v>
      </c>
      <c r="AT20" s="76"/>
      <c r="AU20" s="76"/>
      <c r="AV20" s="76"/>
      <c r="AW20" s="76"/>
      <c r="AX20" s="81" t="str">
        <f>HYPERLINK("https://t.co/ZCziDov2tX")</f>
        <v>https://t.co/ZCziDov2tX</v>
      </c>
      <c r="AY20" s="76" t="b">
        <v>0</v>
      </c>
      <c r="AZ20" s="76"/>
      <c r="BA20" s="76"/>
      <c r="BB20" s="76" t="b">
        <v>0</v>
      </c>
      <c r="BC20" s="76" t="b">
        <v>1</v>
      </c>
      <c r="BD20" s="76" t="b">
        <v>0</v>
      </c>
      <c r="BE20" s="76" t="b">
        <v>0</v>
      </c>
      <c r="BF20" s="76" t="b">
        <v>0</v>
      </c>
      <c r="BG20" s="76" t="b">
        <v>0</v>
      </c>
      <c r="BH20" s="76" t="b">
        <v>0</v>
      </c>
      <c r="BI20" s="81" t="str">
        <f>HYPERLINK("https://pbs.twimg.com/profile_banners/89761384/1699951927")</f>
        <v>https://pbs.twimg.com/profile_banners/89761384/1699951927</v>
      </c>
      <c r="BJ20" s="76"/>
      <c r="BK20" s="76" t="s">
        <v>330</v>
      </c>
      <c r="BL20" s="76" t="b">
        <v>0</v>
      </c>
      <c r="BM20" s="76"/>
      <c r="BN20" s="76" t="s">
        <v>65</v>
      </c>
      <c r="BO20" s="76" t="s">
        <v>332</v>
      </c>
      <c r="BP20" s="97" t="str">
        <f>HYPERLINK("https://twitter.com/thecolourmoon")</f>
        <v>https://twitter.com/thecolourmoon</v>
      </c>
      <c r="BQ20" s="45"/>
      <c r="BR20" s="45"/>
      <c r="BS20" s="45"/>
      <c r="BT20" s="45"/>
      <c r="BU20" s="45"/>
      <c r="BV20" s="45"/>
      <c r="BW20" s="45"/>
      <c r="BX20" s="45"/>
      <c r="BY20" s="45"/>
      <c r="BZ20" s="45"/>
      <c r="CA20" s="75" t="str">
        <f>REPLACE(INDEX(GroupVertices[Group],MATCH("~"&amp;Vertices[[#This Row],[Vertex]],GroupVertices[Vertex],0)),1,1,"")</f>
        <v>5</v>
      </c>
      <c r="CB20" s="2"/>
    </row>
    <row r="21" spans="1:80" ht="34.05" customHeight="1">
      <c r="A21" s="61" t="s">
        <v>657</v>
      </c>
      <c r="C21" s="62"/>
      <c r="D21" s="62"/>
      <c r="E21" s="63"/>
      <c r="F21" s="92"/>
      <c r="G21" s="86" t="str">
        <f>HYPERLINK("https://pbs.twimg.com/profile_images/1721394396/final_normal.jpg")</f>
        <v>https://pbs.twimg.com/profile_images/1721394396/final_normal.jpg</v>
      </c>
      <c r="H21" s="93"/>
      <c r="I21" s="66"/>
      <c r="J21" s="67"/>
      <c r="K21" s="94"/>
      <c r="L21" s="66" t="s">
        <v>1844</v>
      </c>
      <c r="M21" s="95"/>
      <c r="N21" s="71">
        <v>3428.22802734375</v>
      </c>
      <c r="O21" s="71">
        <v>269.4078369140625</v>
      </c>
      <c r="P21" s="72"/>
      <c r="Q21" s="73"/>
      <c r="R21" s="73"/>
      <c r="S21" s="96"/>
      <c r="T21" s="45">
        <v>1</v>
      </c>
      <c r="U21" s="45">
        <v>0</v>
      </c>
      <c r="V21" s="46">
        <v>0</v>
      </c>
      <c r="W21" s="46">
        <v>0.299807</v>
      </c>
      <c r="X21" s="46">
        <v>0.006618</v>
      </c>
      <c r="Y21" s="46">
        <v>0.005694</v>
      </c>
      <c r="Z21" s="46">
        <v>0</v>
      </c>
      <c r="AA21" s="46">
        <v>0</v>
      </c>
      <c r="AB21" s="68">
        <v>21</v>
      </c>
      <c r="AC21" s="68"/>
      <c r="AD21" s="69"/>
      <c r="AE21" s="76" t="s">
        <v>1259</v>
      </c>
      <c r="AF21" s="80" t="s">
        <v>1397</v>
      </c>
      <c r="AG21" s="76">
        <v>62</v>
      </c>
      <c r="AH21" s="76">
        <v>82</v>
      </c>
      <c r="AI21" s="76">
        <v>641</v>
      </c>
      <c r="AJ21" s="76">
        <v>0</v>
      </c>
      <c r="AK21" s="76">
        <v>10</v>
      </c>
      <c r="AL21" s="76">
        <v>119</v>
      </c>
      <c r="AM21" s="76" t="b">
        <v>0</v>
      </c>
      <c r="AN21" s="78">
        <v>40906.452731481484</v>
      </c>
      <c r="AO21" s="76" t="s">
        <v>291</v>
      </c>
      <c r="AP21" s="76" t="s">
        <v>1580</v>
      </c>
      <c r="AQ21" s="81" t="str">
        <f>HYPERLINK("http://t.co/kAD6Db9Kag")</f>
        <v>http://t.co/kAD6Db9Kag</v>
      </c>
      <c r="AR21" s="81" t="str">
        <f>HYPERLINK("http://thisisswitch.com")</f>
        <v>http://thisisswitch.com</v>
      </c>
      <c r="AS21" s="76" t="s">
        <v>1714</v>
      </c>
      <c r="AT21" s="76"/>
      <c r="AU21" s="76"/>
      <c r="AV21" s="76"/>
      <c r="AW21" s="76"/>
      <c r="AX21" s="81" t="str">
        <f>HYPERLINK("http://t.co/kAD6Db9Kag")</f>
        <v>http://t.co/kAD6Db9Kag</v>
      </c>
      <c r="AY21" s="76" t="b">
        <v>0</v>
      </c>
      <c r="AZ21" s="76"/>
      <c r="BA21" s="76"/>
      <c r="BB21" s="76" t="b">
        <v>0</v>
      </c>
      <c r="BC21" s="76" t="b">
        <v>1</v>
      </c>
      <c r="BD21" s="76" t="b">
        <v>1</v>
      </c>
      <c r="BE21" s="76" t="b">
        <v>0</v>
      </c>
      <c r="BF21" s="76" t="b">
        <v>0</v>
      </c>
      <c r="BG21" s="76" t="b">
        <v>0</v>
      </c>
      <c r="BH21" s="76" t="b">
        <v>0</v>
      </c>
      <c r="BI21" s="76"/>
      <c r="BJ21" s="76"/>
      <c r="BK21" s="76" t="s">
        <v>330</v>
      </c>
      <c r="BL21" s="76" t="b">
        <v>0</v>
      </c>
      <c r="BM21" s="76"/>
      <c r="BN21" s="76" t="s">
        <v>65</v>
      </c>
      <c r="BO21" s="76" t="s">
        <v>332</v>
      </c>
      <c r="BP21" s="97" t="str">
        <f>HYPERLINK("https://twitter.com/switchsoft")</f>
        <v>https://twitter.com/switchsoft</v>
      </c>
      <c r="BQ21" s="45"/>
      <c r="BR21" s="45"/>
      <c r="BS21" s="45"/>
      <c r="BT21" s="45"/>
      <c r="BU21" s="45"/>
      <c r="BV21" s="45"/>
      <c r="BW21" s="45"/>
      <c r="BX21" s="45"/>
      <c r="BY21" s="45"/>
      <c r="BZ21" s="45"/>
      <c r="CA21" s="75" t="str">
        <f>REPLACE(INDEX(GroupVertices[Group],MATCH("~"&amp;Vertices[[#This Row],[Vertex]],GroupVertices[Vertex],0)),1,1,"")</f>
        <v>5</v>
      </c>
      <c r="CB21" s="2"/>
    </row>
    <row r="22" spans="1:80" ht="34.05" customHeight="1">
      <c r="A22" s="61" t="s">
        <v>658</v>
      </c>
      <c r="C22" s="62"/>
      <c r="D22" s="62"/>
      <c r="E22" s="63"/>
      <c r="F22" s="92"/>
      <c r="G22" s="86" t="str">
        <f>HYPERLINK("https://pbs.twimg.com/profile_images/681438245620584448/jdoaCooX_normal.jpg")</f>
        <v>https://pbs.twimg.com/profile_images/681438245620584448/jdoaCooX_normal.jpg</v>
      </c>
      <c r="H22" s="93"/>
      <c r="I22" s="66"/>
      <c r="J22" s="67"/>
      <c r="K22" s="94"/>
      <c r="L22" s="66" t="s">
        <v>1845</v>
      </c>
      <c r="M22" s="95"/>
      <c r="N22" s="71">
        <v>7026.16357421875</v>
      </c>
      <c r="O22" s="71">
        <v>8906.384765625</v>
      </c>
      <c r="P22" s="72"/>
      <c r="Q22" s="73"/>
      <c r="R22" s="73"/>
      <c r="S22" s="96"/>
      <c r="T22" s="45">
        <v>1</v>
      </c>
      <c r="U22" s="45">
        <v>0</v>
      </c>
      <c r="V22" s="46">
        <v>0</v>
      </c>
      <c r="W22" s="46">
        <v>0.299807</v>
      </c>
      <c r="X22" s="46">
        <v>0.006618</v>
      </c>
      <c r="Y22" s="46">
        <v>0.005694</v>
      </c>
      <c r="Z22" s="46">
        <v>0</v>
      </c>
      <c r="AA22" s="46">
        <v>0</v>
      </c>
      <c r="AB22" s="68">
        <v>22</v>
      </c>
      <c r="AC22" s="68"/>
      <c r="AD22" s="69"/>
      <c r="AE22" s="76" t="s">
        <v>1260</v>
      </c>
      <c r="AF22" s="80" t="s">
        <v>1398</v>
      </c>
      <c r="AG22" s="76">
        <v>397</v>
      </c>
      <c r="AH22" s="76">
        <v>0</v>
      </c>
      <c r="AI22" s="76">
        <v>1180</v>
      </c>
      <c r="AJ22" s="76">
        <v>74</v>
      </c>
      <c r="AK22" s="76">
        <v>66</v>
      </c>
      <c r="AL22" s="76">
        <v>613</v>
      </c>
      <c r="AM22" s="76" t="b">
        <v>0</v>
      </c>
      <c r="AN22" s="78">
        <v>41256.82780092592</v>
      </c>
      <c r="AO22" s="76" t="s">
        <v>1510</v>
      </c>
      <c r="AP22" s="76" t="s">
        <v>1581</v>
      </c>
      <c r="AQ22" s="81" t="str">
        <f>HYPERLINK("https://t.co/s8QCWJxjs5")</f>
        <v>https://t.co/s8QCWJxjs5</v>
      </c>
      <c r="AR22" s="81" t="str">
        <f>HYPERLINK("http://www.tvisha.com")</f>
        <v>http://www.tvisha.com</v>
      </c>
      <c r="AS22" s="76" t="s">
        <v>1715</v>
      </c>
      <c r="AT22" s="76"/>
      <c r="AU22" s="76"/>
      <c r="AV22" s="76"/>
      <c r="AW22" s="76">
        <v>1.55155816910069E+18</v>
      </c>
      <c r="AX22" s="81" t="str">
        <f>HYPERLINK("https://t.co/s8QCWJxjs5")</f>
        <v>https://t.co/s8QCWJxjs5</v>
      </c>
      <c r="AY22" s="76" t="b">
        <v>0</v>
      </c>
      <c r="AZ22" s="76"/>
      <c r="BA22" s="76"/>
      <c r="BB22" s="76" t="b">
        <v>0</v>
      </c>
      <c r="BC22" s="76" t="b">
        <v>1</v>
      </c>
      <c r="BD22" s="76" t="b">
        <v>0</v>
      </c>
      <c r="BE22" s="76" t="b">
        <v>0</v>
      </c>
      <c r="BF22" s="76" t="b">
        <v>0</v>
      </c>
      <c r="BG22" s="76" t="b">
        <v>0</v>
      </c>
      <c r="BH22" s="76" t="b">
        <v>0</v>
      </c>
      <c r="BI22" s="81" t="str">
        <f>HYPERLINK("https://pbs.twimg.com/profile_banners/1009599391/1563453015")</f>
        <v>https://pbs.twimg.com/profile_banners/1009599391/1563453015</v>
      </c>
      <c r="BJ22" s="76"/>
      <c r="BK22" s="76" t="s">
        <v>330</v>
      </c>
      <c r="BL22" s="76" t="b">
        <v>0</v>
      </c>
      <c r="BM22" s="76"/>
      <c r="BN22" s="76" t="s">
        <v>65</v>
      </c>
      <c r="BO22" s="76" t="s">
        <v>332</v>
      </c>
      <c r="BP22" s="97" t="str">
        <f>HYPERLINK("https://twitter.com/tvishat")</f>
        <v>https://twitter.com/tvishat</v>
      </c>
      <c r="BQ22" s="45"/>
      <c r="BR22" s="45"/>
      <c r="BS22" s="45"/>
      <c r="BT22" s="45"/>
      <c r="BU22" s="45"/>
      <c r="BV22" s="45"/>
      <c r="BW22" s="45"/>
      <c r="BX22" s="45"/>
      <c r="BY22" s="45"/>
      <c r="BZ22" s="45"/>
      <c r="CA22" s="75" t="str">
        <f>REPLACE(INDEX(GroupVertices[Group],MATCH("~"&amp;Vertices[[#This Row],[Vertex]],GroupVertices[Vertex],0)),1,1,"")</f>
        <v>5</v>
      </c>
      <c r="CB22" s="2"/>
    </row>
    <row r="23" spans="1:80" ht="34.05" customHeight="1">
      <c r="A23" s="61" t="s">
        <v>659</v>
      </c>
      <c r="C23" s="62"/>
      <c r="D23" s="62"/>
      <c r="E23" s="63"/>
      <c r="F23" s="92"/>
      <c r="G23" s="86" t="str">
        <f>HYPERLINK("https://pbs.twimg.com/profile_images/1198851198050127873/WC08FV7v_normal.jpg")</f>
        <v>https://pbs.twimg.com/profile_images/1198851198050127873/WC08FV7v_normal.jpg</v>
      </c>
      <c r="H23" s="93"/>
      <c r="I23" s="66"/>
      <c r="J23" s="67"/>
      <c r="K23" s="94"/>
      <c r="L23" s="66" t="s">
        <v>1846</v>
      </c>
      <c r="M23" s="95"/>
      <c r="N23" s="71">
        <v>2631.4970703125</v>
      </c>
      <c r="O23" s="71">
        <v>645.4432983398438</v>
      </c>
      <c r="P23" s="72"/>
      <c r="Q23" s="73"/>
      <c r="R23" s="73"/>
      <c r="S23" s="96"/>
      <c r="T23" s="45">
        <v>1</v>
      </c>
      <c r="U23" s="45">
        <v>0</v>
      </c>
      <c r="V23" s="46">
        <v>0</v>
      </c>
      <c r="W23" s="46">
        <v>0.299807</v>
      </c>
      <c r="X23" s="46">
        <v>0.006618</v>
      </c>
      <c r="Y23" s="46">
        <v>0.005694</v>
      </c>
      <c r="Z23" s="46">
        <v>0</v>
      </c>
      <c r="AA23" s="46">
        <v>0</v>
      </c>
      <c r="AB23" s="68">
        <v>23</v>
      </c>
      <c r="AC23" s="68"/>
      <c r="AD23" s="69"/>
      <c r="AE23" s="76" t="s">
        <v>1261</v>
      </c>
      <c r="AF23" s="80" t="s">
        <v>1399</v>
      </c>
      <c r="AG23" s="76">
        <v>116</v>
      </c>
      <c r="AH23" s="76">
        <v>10</v>
      </c>
      <c r="AI23" s="76">
        <v>366</v>
      </c>
      <c r="AJ23" s="76">
        <v>2</v>
      </c>
      <c r="AK23" s="76">
        <v>13</v>
      </c>
      <c r="AL23" s="76">
        <v>310</v>
      </c>
      <c r="AM23" s="76" t="b">
        <v>0</v>
      </c>
      <c r="AN23" s="78">
        <v>41565.50200231482</v>
      </c>
      <c r="AO23" s="76" t="s">
        <v>319</v>
      </c>
      <c r="AP23" s="76" t="s">
        <v>1582</v>
      </c>
      <c r="AQ23" s="81" t="str">
        <f>HYPERLINK("https://t.co/bStqyUYeWe")</f>
        <v>https://t.co/bStqyUYeWe</v>
      </c>
      <c r="AR23" s="81" t="str">
        <f>HYPERLINK("http://navtech.io")</f>
        <v>http://navtech.io</v>
      </c>
      <c r="AS23" s="76" t="s">
        <v>1716</v>
      </c>
      <c r="AT23" s="76"/>
      <c r="AU23" s="76"/>
      <c r="AV23" s="76"/>
      <c r="AW23" s="76"/>
      <c r="AX23" s="81" t="str">
        <f>HYPERLINK("https://t.co/bStqyUYeWe")</f>
        <v>https://t.co/bStqyUYeWe</v>
      </c>
      <c r="AY23" s="76" t="b">
        <v>0</v>
      </c>
      <c r="AZ23" s="76"/>
      <c r="BA23" s="76"/>
      <c r="BB23" s="76" t="b">
        <v>0</v>
      </c>
      <c r="BC23" s="76" t="b">
        <v>1</v>
      </c>
      <c r="BD23" s="76" t="b">
        <v>0</v>
      </c>
      <c r="BE23" s="76" t="b">
        <v>0</v>
      </c>
      <c r="BF23" s="76" t="b">
        <v>0</v>
      </c>
      <c r="BG23" s="76" t="b">
        <v>0</v>
      </c>
      <c r="BH23" s="76" t="b">
        <v>0</v>
      </c>
      <c r="BI23" s="81" t="str">
        <f>HYPERLINK("https://pbs.twimg.com/profile_banners/1968746804/1574663377")</f>
        <v>https://pbs.twimg.com/profile_banners/1968746804/1574663377</v>
      </c>
      <c r="BJ23" s="76"/>
      <c r="BK23" s="76" t="s">
        <v>330</v>
      </c>
      <c r="BL23" s="76" t="b">
        <v>0</v>
      </c>
      <c r="BM23" s="76"/>
      <c r="BN23" s="76" t="s">
        <v>65</v>
      </c>
      <c r="BO23" s="76" t="s">
        <v>332</v>
      </c>
      <c r="BP23" s="97" t="str">
        <f>HYPERLINK("https://twitter.com/navaratantech")</f>
        <v>https://twitter.com/navaratantech</v>
      </c>
      <c r="BQ23" s="45"/>
      <c r="BR23" s="45"/>
      <c r="BS23" s="45"/>
      <c r="BT23" s="45"/>
      <c r="BU23" s="45"/>
      <c r="BV23" s="45"/>
      <c r="BW23" s="45"/>
      <c r="BX23" s="45"/>
      <c r="BY23" s="45"/>
      <c r="BZ23" s="45"/>
      <c r="CA23" s="75" t="str">
        <f>REPLACE(INDEX(GroupVertices[Group],MATCH("~"&amp;Vertices[[#This Row],[Vertex]],GroupVertices[Vertex],0)),1,1,"")</f>
        <v>5</v>
      </c>
      <c r="CB23" s="2"/>
    </row>
    <row r="24" spans="1:80" ht="34.05" customHeight="1">
      <c r="A24" s="61" t="s">
        <v>660</v>
      </c>
      <c r="C24" s="62"/>
      <c r="D24" s="62"/>
      <c r="E24" s="63"/>
      <c r="F24" s="92"/>
      <c r="G24" s="86" t="str">
        <f>HYPERLINK("https://pbs.twimg.com/profile_images/1222065834983448577/25__pR3f_normal.png")</f>
        <v>https://pbs.twimg.com/profile_images/1222065834983448577/25__pR3f_normal.png</v>
      </c>
      <c r="H24" s="93"/>
      <c r="I24" s="66"/>
      <c r="J24" s="67"/>
      <c r="K24" s="94"/>
      <c r="L24" s="66" t="s">
        <v>1847</v>
      </c>
      <c r="M24" s="95"/>
      <c r="N24" s="71">
        <v>3030.728271484375</v>
      </c>
      <c r="O24" s="71">
        <v>429.3492126464844</v>
      </c>
      <c r="P24" s="72"/>
      <c r="Q24" s="73"/>
      <c r="R24" s="73"/>
      <c r="S24" s="96"/>
      <c r="T24" s="45">
        <v>1</v>
      </c>
      <c r="U24" s="45">
        <v>0</v>
      </c>
      <c r="V24" s="46">
        <v>0</v>
      </c>
      <c r="W24" s="46">
        <v>0.299807</v>
      </c>
      <c r="X24" s="46">
        <v>0.006618</v>
      </c>
      <c r="Y24" s="46">
        <v>0.005694</v>
      </c>
      <c r="Z24" s="46">
        <v>0</v>
      </c>
      <c r="AA24" s="46">
        <v>0</v>
      </c>
      <c r="AB24" s="68">
        <v>24</v>
      </c>
      <c r="AC24" s="68"/>
      <c r="AD24" s="69"/>
      <c r="AE24" s="76" t="s">
        <v>1262</v>
      </c>
      <c r="AF24" s="80" t="s">
        <v>1400</v>
      </c>
      <c r="AG24" s="76">
        <v>476</v>
      </c>
      <c r="AH24" s="76">
        <v>525</v>
      </c>
      <c r="AI24" s="76">
        <v>1748</v>
      </c>
      <c r="AJ24" s="76">
        <v>30</v>
      </c>
      <c r="AK24" s="76">
        <v>388</v>
      </c>
      <c r="AL24" s="76">
        <v>513</v>
      </c>
      <c r="AM24" s="76" t="b">
        <v>0</v>
      </c>
      <c r="AN24" s="78">
        <v>41002.55070601852</v>
      </c>
      <c r="AO24" s="76" t="s">
        <v>291</v>
      </c>
      <c r="AP24" s="76" t="s">
        <v>1583</v>
      </c>
      <c r="AQ24" s="81" t="str">
        <f>HYPERLINK("https://t.co/ZM39R0T2C1")</f>
        <v>https://t.co/ZM39R0T2C1</v>
      </c>
      <c r="AR24" s="81" t="str">
        <f>HYPERLINK("https://www.nethues.com/")</f>
        <v>https://www.nethues.com/</v>
      </c>
      <c r="AS24" s="76" t="s">
        <v>1717</v>
      </c>
      <c r="AT24" s="76"/>
      <c r="AU24" s="76"/>
      <c r="AV24" s="76"/>
      <c r="AW24" s="76">
        <v>1.65552017714302E+18</v>
      </c>
      <c r="AX24" s="81" t="str">
        <f>HYPERLINK("https://t.co/ZM39R0T2C1")</f>
        <v>https://t.co/ZM39R0T2C1</v>
      </c>
      <c r="AY24" s="76" t="b">
        <v>0</v>
      </c>
      <c r="AZ24" s="76"/>
      <c r="BA24" s="76"/>
      <c r="BB24" s="76" t="b">
        <v>0</v>
      </c>
      <c r="BC24" s="76" t="b">
        <v>1</v>
      </c>
      <c r="BD24" s="76" t="b">
        <v>0</v>
      </c>
      <c r="BE24" s="76" t="b">
        <v>0</v>
      </c>
      <c r="BF24" s="76" t="b">
        <v>0</v>
      </c>
      <c r="BG24" s="76" t="b">
        <v>0</v>
      </c>
      <c r="BH24" s="76" t="b">
        <v>0</v>
      </c>
      <c r="BI24" s="81" t="str">
        <f>HYPERLINK("https://pbs.twimg.com/profile_banners/544260479/1614684968")</f>
        <v>https://pbs.twimg.com/profile_banners/544260479/1614684968</v>
      </c>
      <c r="BJ24" s="76"/>
      <c r="BK24" s="76" t="s">
        <v>330</v>
      </c>
      <c r="BL24" s="76" t="b">
        <v>0</v>
      </c>
      <c r="BM24" s="76"/>
      <c r="BN24" s="76" t="s">
        <v>65</v>
      </c>
      <c r="BO24" s="76" t="s">
        <v>332</v>
      </c>
      <c r="BP24" s="97" t="str">
        <f>HYPERLINK("https://twitter.com/nethues")</f>
        <v>https://twitter.com/nethues</v>
      </c>
      <c r="BQ24" s="45"/>
      <c r="BR24" s="45"/>
      <c r="BS24" s="45"/>
      <c r="BT24" s="45"/>
      <c r="BU24" s="45"/>
      <c r="BV24" s="45"/>
      <c r="BW24" s="45"/>
      <c r="BX24" s="45"/>
      <c r="BY24" s="45"/>
      <c r="BZ24" s="45"/>
      <c r="CA24" s="75" t="str">
        <f>REPLACE(INDEX(GroupVertices[Group],MATCH("~"&amp;Vertices[[#This Row],[Vertex]],GroupVertices[Vertex],0)),1,1,"")</f>
        <v>5</v>
      </c>
      <c r="CB24" s="2"/>
    </row>
    <row r="25" spans="1:80" ht="34.05" customHeight="1">
      <c r="A25" s="61" t="s">
        <v>661</v>
      </c>
      <c r="C25" s="62"/>
      <c r="D25" s="62"/>
      <c r="E25" s="63"/>
      <c r="F25" s="92"/>
      <c r="G25" s="86" t="str">
        <f>HYPERLINK("https://pbs.twimg.com/profile_images/1474979394368131073/VYQMzpim_normal.jpg")</f>
        <v>https://pbs.twimg.com/profile_images/1474979394368131073/VYQMzpim_normal.jpg</v>
      </c>
      <c r="H25" s="93"/>
      <c r="I25" s="66"/>
      <c r="J25" s="67"/>
      <c r="K25" s="94"/>
      <c r="L25" s="66" t="s">
        <v>1848</v>
      </c>
      <c r="M25" s="95"/>
      <c r="N25" s="71">
        <v>3301.425537109375</v>
      </c>
      <c r="O25" s="71">
        <v>5361.08935546875</v>
      </c>
      <c r="P25" s="72"/>
      <c r="Q25" s="73"/>
      <c r="R25" s="73"/>
      <c r="S25" s="96"/>
      <c r="T25" s="45">
        <v>1</v>
      </c>
      <c r="U25" s="45">
        <v>0</v>
      </c>
      <c r="V25" s="46">
        <v>0</v>
      </c>
      <c r="W25" s="46">
        <v>0.41555</v>
      </c>
      <c r="X25" s="46">
        <v>0.065898</v>
      </c>
      <c r="Y25" s="46">
        <v>0.005556</v>
      </c>
      <c r="Z25" s="46">
        <v>0</v>
      </c>
      <c r="AA25" s="46">
        <v>0</v>
      </c>
      <c r="AB25" s="68">
        <v>25</v>
      </c>
      <c r="AC25" s="68"/>
      <c r="AD25" s="69"/>
      <c r="AE25" s="76" t="s">
        <v>1263</v>
      </c>
      <c r="AF25" s="80" t="s">
        <v>1205</v>
      </c>
      <c r="AG25" s="76">
        <v>92488</v>
      </c>
      <c r="AH25" s="76">
        <v>19</v>
      </c>
      <c r="AI25" s="76">
        <v>2587</v>
      </c>
      <c r="AJ25" s="76">
        <v>60</v>
      </c>
      <c r="AK25" s="76">
        <v>9084</v>
      </c>
      <c r="AL25" s="76">
        <v>1157</v>
      </c>
      <c r="AM25" s="76" t="b">
        <v>0</v>
      </c>
      <c r="AN25" s="78">
        <v>43872.537939814814</v>
      </c>
      <c r="AO25" s="76" t="s">
        <v>296</v>
      </c>
      <c r="AP25" s="76" t="s">
        <v>1584</v>
      </c>
      <c r="AQ25" s="76"/>
      <c r="AR25" s="76"/>
      <c r="AS25" s="76"/>
      <c r="AT25" s="76"/>
      <c r="AU25" s="76"/>
      <c r="AV25" s="76"/>
      <c r="AW25" s="76"/>
      <c r="AX25" s="76"/>
      <c r="AY25" s="76" t="b">
        <v>0</v>
      </c>
      <c r="AZ25" s="76"/>
      <c r="BA25" s="76"/>
      <c r="BB25" s="76" t="b">
        <v>1</v>
      </c>
      <c r="BC25" s="76" t="b">
        <v>1</v>
      </c>
      <c r="BD25" s="76" t="b">
        <v>1</v>
      </c>
      <c r="BE25" s="76" t="b">
        <v>0</v>
      </c>
      <c r="BF25" s="76" t="b">
        <v>1</v>
      </c>
      <c r="BG25" s="76" t="b">
        <v>0</v>
      </c>
      <c r="BH25" s="76" t="b">
        <v>0</v>
      </c>
      <c r="BI25" s="81" t="str">
        <f>HYPERLINK("https://pbs.twimg.com/profile_banners/1227214300260945920/1638294534")</f>
        <v>https://pbs.twimg.com/profile_banners/1227214300260945920/1638294534</v>
      </c>
      <c r="BJ25" s="76"/>
      <c r="BK25" s="76" t="s">
        <v>330</v>
      </c>
      <c r="BL25" s="76" t="b">
        <v>0</v>
      </c>
      <c r="BM25" s="76"/>
      <c r="BN25" s="76" t="s">
        <v>65</v>
      </c>
      <c r="BO25" s="76" t="s">
        <v>332</v>
      </c>
      <c r="BP25" s="97" t="str">
        <f>HYPERLINK("https://twitter.com/missionambedkar")</f>
        <v>https://twitter.com/missionambedkar</v>
      </c>
      <c r="BQ25" s="45"/>
      <c r="BR25" s="45"/>
      <c r="BS25" s="45"/>
      <c r="BT25" s="45"/>
      <c r="BU25" s="45"/>
      <c r="BV25" s="45"/>
      <c r="BW25" s="45"/>
      <c r="BX25" s="45"/>
      <c r="BY25" s="45"/>
      <c r="BZ25" s="45"/>
      <c r="CA25" s="75" t="str">
        <f>REPLACE(INDEX(GroupVertices[Group],MATCH("~"&amp;Vertices[[#This Row],[Vertex]],GroupVertices[Vertex],0)),1,1,"")</f>
        <v>1</v>
      </c>
      <c r="CB25" s="2"/>
    </row>
    <row r="26" spans="1:80" ht="34.05" customHeight="1">
      <c r="A26" s="61" t="s">
        <v>662</v>
      </c>
      <c r="C26" s="62"/>
      <c r="D26" s="62"/>
      <c r="E26" s="63"/>
      <c r="F26" s="92"/>
      <c r="G26" s="86" t="str">
        <f>HYPERLINK("https://pbs.twimg.com/profile_images/1417487759699320836/RnENh3sb_normal.jpg")</f>
        <v>https://pbs.twimg.com/profile_images/1417487759699320836/RnENh3sb_normal.jpg</v>
      </c>
      <c r="H26" s="93"/>
      <c r="I26" s="66"/>
      <c r="J26" s="67"/>
      <c r="K26" s="94"/>
      <c r="L26" s="66" t="s">
        <v>1849</v>
      </c>
      <c r="M26" s="95"/>
      <c r="N26" s="71">
        <v>3760.60498046875</v>
      </c>
      <c r="O26" s="71">
        <v>5135.013671875</v>
      </c>
      <c r="P26" s="72"/>
      <c r="Q26" s="73"/>
      <c r="R26" s="73"/>
      <c r="S26" s="96"/>
      <c r="T26" s="45">
        <v>1</v>
      </c>
      <c r="U26" s="45">
        <v>0</v>
      </c>
      <c r="V26" s="46">
        <v>0</v>
      </c>
      <c r="W26" s="46">
        <v>0.41555</v>
      </c>
      <c r="X26" s="46">
        <v>0.065898</v>
      </c>
      <c r="Y26" s="46">
        <v>0.005556</v>
      </c>
      <c r="Z26" s="46">
        <v>0</v>
      </c>
      <c r="AA26" s="46">
        <v>0</v>
      </c>
      <c r="AB26" s="68">
        <v>26</v>
      </c>
      <c r="AC26" s="68"/>
      <c r="AD26" s="69"/>
      <c r="AE26" s="76" t="s">
        <v>1264</v>
      </c>
      <c r="AF26" s="80" t="s">
        <v>1401</v>
      </c>
      <c r="AG26" s="76">
        <v>212</v>
      </c>
      <c r="AH26" s="76">
        <v>229</v>
      </c>
      <c r="AI26" s="76">
        <v>21</v>
      </c>
      <c r="AJ26" s="76">
        <v>0</v>
      </c>
      <c r="AK26" s="76">
        <v>49</v>
      </c>
      <c r="AL26" s="76">
        <v>6</v>
      </c>
      <c r="AM26" s="76" t="b">
        <v>0</v>
      </c>
      <c r="AN26" s="78">
        <v>43950.661087962966</v>
      </c>
      <c r="AO26" s="76"/>
      <c r="AP26" s="76" t="s">
        <v>1585</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76"/>
      <c r="BJ26" s="76"/>
      <c r="BK26" s="76" t="s">
        <v>330</v>
      </c>
      <c r="BL26" s="76" t="b">
        <v>0</v>
      </c>
      <c r="BM26" s="76"/>
      <c r="BN26" s="76" t="s">
        <v>65</v>
      </c>
      <c r="BO26" s="76" t="s">
        <v>332</v>
      </c>
      <c r="BP26" s="97" t="str">
        <f>HYPERLINK("https://twitter.com/sfi_arjun")</f>
        <v>https://twitter.com/sfi_arjun</v>
      </c>
      <c r="BQ26" s="45"/>
      <c r="BR26" s="45"/>
      <c r="BS26" s="45"/>
      <c r="BT26" s="45"/>
      <c r="BU26" s="45"/>
      <c r="BV26" s="45"/>
      <c r="BW26" s="45"/>
      <c r="BX26" s="45"/>
      <c r="BY26" s="45"/>
      <c r="BZ26" s="45"/>
      <c r="CA26" s="75" t="str">
        <f>REPLACE(INDEX(GroupVertices[Group],MATCH("~"&amp;Vertices[[#This Row],[Vertex]],GroupVertices[Vertex],0)),1,1,"")</f>
        <v>1</v>
      </c>
      <c r="CB26" s="2"/>
    </row>
    <row r="27" spans="1:80" ht="34.05" customHeight="1">
      <c r="A27" s="61" t="s">
        <v>663</v>
      </c>
      <c r="C27" s="62"/>
      <c r="D27" s="62"/>
      <c r="E27" s="63"/>
      <c r="F27" s="92"/>
      <c r="G27" s="86" t="str">
        <f>HYPERLINK("https://pbs.twimg.com/profile_images/1440127230835716105/woibWcYM_normal.jpg")</f>
        <v>https://pbs.twimg.com/profile_images/1440127230835716105/woibWcYM_normal.jpg</v>
      </c>
      <c r="H27" s="93"/>
      <c r="I27" s="66"/>
      <c r="J27" s="67"/>
      <c r="K27" s="94"/>
      <c r="L27" s="66" t="s">
        <v>1850</v>
      </c>
      <c r="M27" s="95"/>
      <c r="N27" s="71">
        <v>3809.000732421875</v>
      </c>
      <c r="O27" s="71">
        <v>6583.21875</v>
      </c>
      <c r="P27" s="72"/>
      <c r="Q27" s="73"/>
      <c r="R27" s="73"/>
      <c r="S27" s="96"/>
      <c r="T27" s="45">
        <v>1</v>
      </c>
      <c r="U27" s="45">
        <v>0</v>
      </c>
      <c r="V27" s="46">
        <v>0</v>
      </c>
      <c r="W27" s="46">
        <v>0.41555</v>
      </c>
      <c r="X27" s="46">
        <v>0.065898</v>
      </c>
      <c r="Y27" s="46">
        <v>0.005556</v>
      </c>
      <c r="Z27" s="46">
        <v>0</v>
      </c>
      <c r="AA27" s="46">
        <v>0</v>
      </c>
      <c r="AB27" s="68">
        <v>27</v>
      </c>
      <c r="AC27" s="68"/>
      <c r="AD27" s="69"/>
      <c r="AE27" s="76" t="s">
        <v>1265</v>
      </c>
      <c r="AF27" s="80" t="s">
        <v>1206</v>
      </c>
      <c r="AG27" s="76">
        <v>59</v>
      </c>
      <c r="AH27" s="76">
        <v>112</v>
      </c>
      <c r="AI27" s="76">
        <v>102</v>
      </c>
      <c r="AJ27" s="76">
        <v>0</v>
      </c>
      <c r="AK27" s="76">
        <v>291</v>
      </c>
      <c r="AL27" s="76">
        <v>3</v>
      </c>
      <c r="AM27" s="76" t="b">
        <v>0</v>
      </c>
      <c r="AN27" s="78">
        <v>42095.19359953704</v>
      </c>
      <c r="AO27" s="76"/>
      <c r="AP27" s="76"/>
      <c r="AQ27" s="76"/>
      <c r="AR27" s="76"/>
      <c r="AS27" s="76"/>
      <c r="AT27" s="76"/>
      <c r="AU27" s="76"/>
      <c r="AV27" s="76"/>
      <c r="AW27" s="76"/>
      <c r="AX27" s="76"/>
      <c r="AY27" s="76" t="b">
        <v>0</v>
      </c>
      <c r="AZ27" s="76"/>
      <c r="BA27" s="76"/>
      <c r="BB27" s="76" t="b">
        <v>0</v>
      </c>
      <c r="BC27" s="76" t="b">
        <v>1</v>
      </c>
      <c r="BD27" s="76" t="b">
        <v>1</v>
      </c>
      <c r="BE27" s="76" t="b">
        <v>0</v>
      </c>
      <c r="BF27" s="76" t="b">
        <v>0</v>
      </c>
      <c r="BG27" s="76" t="b">
        <v>0</v>
      </c>
      <c r="BH27" s="76" t="b">
        <v>0</v>
      </c>
      <c r="BI27" s="76"/>
      <c r="BJ27" s="76"/>
      <c r="BK27" s="76" t="s">
        <v>330</v>
      </c>
      <c r="BL27" s="76" t="b">
        <v>0</v>
      </c>
      <c r="BM27" s="76"/>
      <c r="BN27" s="76" t="s">
        <v>65</v>
      </c>
      <c r="BO27" s="76" t="s">
        <v>332</v>
      </c>
      <c r="BP27" s="97" t="str">
        <f>HYPERLINK("https://twitter.com/bedasampath")</f>
        <v>https://twitter.com/bedasampath</v>
      </c>
      <c r="BQ27" s="45"/>
      <c r="BR27" s="45"/>
      <c r="BS27" s="45"/>
      <c r="BT27" s="45"/>
      <c r="BU27" s="45"/>
      <c r="BV27" s="45"/>
      <c r="BW27" s="45"/>
      <c r="BX27" s="45"/>
      <c r="BY27" s="45"/>
      <c r="BZ27" s="45"/>
      <c r="CA27" s="75" t="str">
        <f>REPLACE(INDEX(GroupVertices[Group],MATCH("~"&amp;Vertices[[#This Row],[Vertex]],GroupVertices[Vertex],0)),1,1,"")</f>
        <v>1</v>
      </c>
      <c r="CB27" s="2"/>
    </row>
    <row r="28" spans="1:80" ht="34.05" customHeight="1">
      <c r="A28" s="61" t="s">
        <v>664</v>
      </c>
      <c r="C28" s="62"/>
      <c r="D28" s="62"/>
      <c r="E28" s="63"/>
      <c r="F28" s="92"/>
      <c r="G28" s="86" t="str">
        <f>HYPERLINK("https://pbs.twimg.com/profile_images/1637399686041706496/tfbKP1IC_normal.jpg")</f>
        <v>https://pbs.twimg.com/profile_images/1637399686041706496/tfbKP1IC_normal.jpg</v>
      </c>
      <c r="H28" s="93"/>
      <c r="I28" s="66"/>
      <c r="J28" s="67"/>
      <c r="K28" s="94"/>
      <c r="L28" s="66" t="s">
        <v>1851</v>
      </c>
      <c r="M28" s="95"/>
      <c r="N28" s="71">
        <v>3929.83251953125</v>
      </c>
      <c r="O28" s="71">
        <v>3105.038818359375</v>
      </c>
      <c r="P28" s="72"/>
      <c r="Q28" s="73"/>
      <c r="R28" s="73"/>
      <c r="S28" s="96"/>
      <c r="T28" s="45">
        <v>1</v>
      </c>
      <c r="U28" s="45">
        <v>0</v>
      </c>
      <c r="V28" s="46">
        <v>0</v>
      </c>
      <c r="W28" s="46">
        <v>0.41555</v>
      </c>
      <c r="X28" s="46">
        <v>0.065898</v>
      </c>
      <c r="Y28" s="46">
        <v>0.005556</v>
      </c>
      <c r="Z28" s="46">
        <v>0</v>
      </c>
      <c r="AA28" s="46">
        <v>0</v>
      </c>
      <c r="AB28" s="68">
        <v>28</v>
      </c>
      <c r="AC28" s="68"/>
      <c r="AD28" s="69"/>
      <c r="AE28" s="76" t="s">
        <v>1266</v>
      </c>
      <c r="AF28" s="80" t="s">
        <v>1207</v>
      </c>
      <c r="AG28" s="76">
        <v>222</v>
      </c>
      <c r="AH28" s="76">
        <v>69</v>
      </c>
      <c r="AI28" s="76">
        <v>204</v>
      </c>
      <c r="AJ28" s="76">
        <v>0</v>
      </c>
      <c r="AK28" s="76">
        <v>175</v>
      </c>
      <c r="AL28" s="76">
        <v>103</v>
      </c>
      <c r="AM28" s="76" t="b">
        <v>0</v>
      </c>
      <c r="AN28" s="78">
        <v>44228.69725694445</v>
      </c>
      <c r="AO28" s="76" t="s">
        <v>319</v>
      </c>
      <c r="AP28" s="76" t="s">
        <v>1586</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1" t="str">
        <f>HYPERLINK("https://pbs.twimg.com/profile_banners/1356281882195869698/1660389222")</f>
        <v>https://pbs.twimg.com/profile_banners/1356281882195869698/1660389222</v>
      </c>
      <c r="BJ28" s="76"/>
      <c r="BK28" s="76" t="s">
        <v>330</v>
      </c>
      <c r="BL28" s="76" t="b">
        <v>0</v>
      </c>
      <c r="BM28" s="76"/>
      <c r="BN28" s="76" t="s">
        <v>65</v>
      </c>
      <c r="BO28" s="76" t="s">
        <v>332</v>
      </c>
      <c r="BP28" s="97" t="str">
        <f>HYPERLINK("https://twitter.com/mnaveenssu")</f>
        <v>https://twitter.com/mnaveenssu</v>
      </c>
      <c r="BQ28" s="45"/>
      <c r="BR28" s="45"/>
      <c r="BS28" s="45"/>
      <c r="BT28" s="45"/>
      <c r="BU28" s="45"/>
      <c r="BV28" s="45"/>
      <c r="BW28" s="45"/>
      <c r="BX28" s="45"/>
      <c r="BY28" s="45"/>
      <c r="BZ28" s="45"/>
      <c r="CA28" s="75" t="str">
        <f>REPLACE(INDEX(GroupVertices[Group],MATCH("~"&amp;Vertices[[#This Row],[Vertex]],GroupVertices[Vertex],0)),1,1,"")</f>
        <v>1</v>
      </c>
      <c r="CB28" s="2"/>
    </row>
    <row r="29" spans="1:80" ht="34.05" customHeight="1">
      <c r="A29" s="61" t="s">
        <v>665</v>
      </c>
      <c r="C29" s="62"/>
      <c r="D29" s="62"/>
      <c r="E29" s="63"/>
      <c r="F29" s="92"/>
      <c r="G29" s="86" t="str">
        <f>HYPERLINK("https://pbs.twimg.com/profile_images/1424578058502098951/SzQJ38As_normal.jpg")</f>
        <v>https://pbs.twimg.com/profile_images/1424578058502098951/SzQJ38As_normal.jpg</v>
      </c>
      <c r="H29" s="93"/>
      <c r="I29" s="66"/>
      <c r="J29" s="67"/>
      <c r="K29" s="94"/>
      <c r="L29" s="66" t="s">
        <v>1852</v>
      </c>
      <c r="M29" s="95"/>
      <c r="N29" s="71">
        <v>5611.3896484375</v>
      </c>
      <c r="O29" s="71">
        <v>2940.858154296875</v>
      </c>
      <c r="P29" s="72"/>
      <c r="Q29" s="73"/>
      <c r="R29" s="73"/>
      <c r="S29" s="96"/>
      <c r="T29" s="45">
        <v>1</v>
      </c>
      <c r="U29" s="45">
        <v>0</v>
      </c>
      <c r="V29" s="46">
        <v>0</v>
      </c>
      <c r="W29" s="46">
        <v>0.41555</v>
      </c>
      <c r="X29" s="46">
        <v>0.065898</v>
      </c>
      <c r="Y29" s="46">
        <v>0.005556</v>
      </c>
      <c r="Z29" s="46">
        <v>0</v>
      </c>
      <c r="AA29" s="46">
        <v>0</v>
      </c>
      <c r="AB29" s="68">
        <v>29</v>
      </c>
      <c r="AC29" s="68"/>
      <c r="AD29" s="69"/>
      <c r="AE29" s="76" t="s">
        <v>1267</v>
      </c>
      <c r="AF29" s="80" t="s">
        <v>1208</v>
      </c>
      <c r="AG29" s="76">
        <v>290</v>
      </c>
      <c r="AH29" s="76">
        <v>227</v>
      </c>
      <c r="AI29" s="76">
        <v>412</v>
      </c>
      <c r="AJ29" s="76">
        <v>0</v>
      </c>
      <c r="AK29" s="76">
        <v>811</v>
      </c>
      <c r="AL29" s="76">
        <v>87</v>
      </c>
      <c r="AM29" s="76" t="b">
        <v>0</v>
      </c>
      <c r="AN29" s="78">
        <v>44168.49623842593</v>
      </c>
      <c r="AO29" s="76" t="s">
        <v>291</v>
      </c>
      <c r="AP29" s="76" t="s">
        <v>1587</v>
      </c>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81" t="str">
        <f>HYPERLINK("https://pbs.twimg.com/profile_banners/1334465931708252161/1638168306")</f>
        <v>https://pbs.twimg.com/profile_banners/1334465931708252161/1638168306</v>
      </c>
      <c r="BJ29" s="76"/>
      <c r="BK29" s="76" t="s">
        <v>330</v>
      </c>
      <c r="BL29" s="76" t="b">
        <v>0</v>
      </c>
      <c r="BM29" s="76"/>
      <c r="BN29" s="76" t="s">
        <v>65</v>
      </c>
      <c r="BO29" s="76" t="s">
        <v>332</v>
      </c>
      <c r="BP29" s="97" t="str">
        <f>HYPERLINK("https://twitter.com/maddiletibanda4")</f>
        <v>https://twitter.com/maddiletibanda4</v>
      </c>
      <c r="BQ29" s="45"/>
      <c r="BR29" s="45"/>
      <c r="BS29" s="45"/>
      <c r="BT29" s="45"/>
      <c r="BU29" s="45"/>
      <c r="BV29" s="45"/>
      <c r="BW29" s="45"/>
      <c r="BX29" s="45"/>
      <c r="BY29" s="45"/>
      <c r="BZ29" s="45"/>
      <c r="CA29" s="75" t="str">
        <f>REPLACE(INDEX(GroupVertices[Group],MATCH("~"&amp;Vertices[[#This Row],[Vertex]],GroupVertices[Vertex],0)),1,1,"")</f>
        <v>1</v>
      </c>
      <c r="CB29" s="2"/>
    </row>
    <row r="30" spans="1:80" ht="34.05" customHeight="1">
      <c r="A30" s="61" t="s">
        <v>666</v>
      </c>
      <c r="C30" s="62"/>
      <c r="D30" s="62"/>
      <c r="E30" s="63"/>
      <c r="F30" s="92"/>
      <c r="G30" s="86" t="str">
        <f>HYPERLINK("https://pbs.twimg.com/profile_images/1009386715243429888/tXXzsr8a_normal.jpg")</f>
        <v>https://pbs.twimg.com/profile_images/1009386715243429888/tXXzsr8a_normal.jpg</v>
      </c>
      <c r="H30" s="93"/>
      <c r="I30" s="66"/>
      <c r="J30" s="67"/>
      <c r="K30" s="94"/>
      <c r="L30" s="66" t="s">
        <v>1853</v>
      </c>
      <c r="M30" s="95"/>
      <c r="N30" s="71">
        <v>3163.13623046875</v>
      </c>
      <c r="O30" s="71">
        <v>4864.32763671875</v>
      </c>
      <c r="P30" s="72"/>
      <c r="Q30" s="73"/>
      <c r="R30" s="73"/>
      <c r="S30" s="96"/>
      <c r="T30" s="45">
        <v>1</v>
      </c>
      <c r="U30" s="45">
        <v>0</v>
      </c>
      <c r="V30" s="46">
        <v>0</v>
      </c>
      <c r="W30" s="46">
        <v>0.41555</v>
      </c>
      <c r="X30" s="46">
        <v>0.065898</v>
      </c>
      <c r="Y30" s="46">
        <v>0.005556</v>
      </c>
      <c r="Z30" s="46">
        <v>0</v>
      </c>
      <c r="AA30" s="46">
        <v>0</v>
      </c>
      <c r="AB30" s="68">
        <v>30</v>
      </c>
      <c r="AC30" s="68"/>
      <c r="AD30" s="69"/>
      <c r="AE30" s="76" t="s">
        <v>1268</v>
      </c>
      <c r="AF30" s="80" t="s">
        <v>1402</v>
      </c>
      <c r="AG30" s="76">
        <v>4766</v>
      </c>
      <c r="AH30" s="76">
        <v>129</v>
      </c>
      <c r="AI30" s="76">
        <v>1468</v>
      </c>
      <c r="AJ30" s="76">
        <v>2</v>
      </c>
      <c r="AK30" s="76">
        <v>76</v>
      </c>
      <c r="AL30" s="76">
        <v>221</v>
      </c>
      <c r="AM30" s="76" t="b">
        <v>0</v>
      </c>
      <c r="AN30" s="78">
        <v>40141.46392361111</v>
      </c>
      <c r="AO30" s="76" t="s">
        <v>319</v>
      </c>
      <c r="AP30" s="76" t="s">
        <v>1588</v>
      </c>
      <c r="AQ30" s="81" t="str">
        <f>HYPERLINK("https://t.co/1PChQg2u9A")</f>
        <v>https://t.co/1PChQg2u9A</v>
      </c>
      <c r="AR30" s="81" t="str">
        <f>HYPERLINK("http://thesunilonline.blogspot.com")</f>
        <v>http://thesunilonline.blogspot.com</v>
      </c>
      <c r="AS30" s="76" t="s">
        <v>1718</v>
      </c>
      <c r="AT30" s="76"/>
      <c r="AU30" s="76"/>
      <c r="AV30" s="76"/>
      <c r="AW30" s="76">
        <v>1.65503079596098E+18</v>
      </c>
      <c r="AX30" s="81" t="str">
        <f>HYPERLINK("https://t.co/1PChQg2u9A")</f>
        <v>https://t.co/1PChQg2u9A</v>
      </c>
      <c r="AY30" s="76" t="b">
        <v>1</v>
      </c>
      <c r="AZ30" s="76"/>
      <c r="BA30" s="76" t="b">
        <v>1</v>
      </c>
      <c r="BB30" s="76" t="b">
        <v>1</v>
      </c>
      <c r="BC30" s="76" t="b">
        <v>1</v>
      </c>
      <c r="BD30" s="76" t="b">
        <v>1</v>
      </c>
      <c r="BE30" s="76" t="b">
        <v>0</v>
      </c>
      <c r="BF30" s="76" t="b">
        <v>1</v>
      </c>
      <c r="BG30" s="76" t="b">
        <v>0</v>
      </c>
      <c r="BH30" s="76" t="b">
        <v>0</v>
      </c>
      <c r="BI30" s="81" t="str">
        <f>HYPERLINK("https://pbs.twimg.com/profile_banners/92247886/1682126226")</f>
        <v>https://pbs.twimg.com/profile_banners/92247886/1682126226</v>
      </c>
      <c r="BJ30" s="76"/>
      <c r="BK30" s="76" t="s">
        <v>330</v>
      </c>
      <c r="BL30" s="76" t="b">
        <v>1</v>
      </c>
      <c r="BM30" s="76"/>
      <c r="BN30" s="76" t="s">
        <v>65</v>
      </c>
      <c r="BO30" s="76" t="s">
        <v>332</v>
      </c>
      <c r="BP30" s="97" t="str">
        <f>HYPERLINK("https://twitter.com/pv_sunil_kumar")</f>
        <v>https://twitter.com/pv_sunil_kumar</v>
      </c>
      <c r="BQ30" s="45"/>
      <c r="BR30" s="45"/>
      <c r="BS30" s="45"/>
      <c r="BT30" s="45"/>
      <c r="BU30" s="45"/>
      <c r="BV30" s="45"/>
      <c r="BW30" s="45"/>
      <c r="BX30" s="45"/>
      <c r="BY30" s="45"/>
      <c r="BZ30" s="45"/>
      <c r="CA30" s="75" t="str">
        <f>REPLACE(INDEX(GroupVertices[Group],MATCH("~"&amp;Vertices[[#This Row],[Vertex]],GroupVertices[Vertex],0)),1,1,"")</f>
        <v>1</v>
      </c>
      <c r="CB30" s="2"/>
    </row>
    <row r="31" spans="1:80" ht="34.05" customHeight="1">
      <c r="A31" s="61" t="s">
        <v>667</v>
      </c>
      <c r="C31" s="62"/>
      <c r="D31" s="62"/>
      <c r="E31" s="63"/>
      <c r="F31" s="92"/>
      <c r="G31" s="86" t="str">
        <f>HYPERLINK("https://pbs.twimg.com/profile_images/1371810069742977025/EARXqTrz_normal.jpg")</f>
        <v>https://pbs.twimg.com/profile_images/1371810069742977025/EARXqTrz_normal.jpg</v>
      </c>
      <c r="H31" s="93"/>
      <c r="I31" s="66"/>
      <c r="J31" s="67"/>
      <c r="K31" s="94"/>
      <c r="L31" s="66" t="s">
        <v>1854</v>
      </c>
      <c r="M31" s="95"/>
      <c r="N31" s="71">
        <v>6961.95166015625</v>
      </c>
      <c r="O31" s="71">
        <v>5073.65478515625</v>
      </c>
      <c r="P31" s="72"/>
      <c r="Q31" s="73"/>
      <c r="R31" s="73"/>
      <c r="S31" s="96"/>
      <c r="T31" s="45">
        <v>1</v>
      </c>
      <c r="U31" s="45">
        <v>0</v>
      </c>
      <c r="V31" s="46">
        <v>0</v>
      </c>
      <c r="W31" s="46">
        <v>0.41555</v>
      </c>
      <c r="X31" s="46">
        <v>0.065898</v>
      </c>
      <c r="Y31" s="46">
        <v>0.005556</v>
      </c>
      <c r="Z31" s="46">
        <v>0</v>
      </c>
      <c r="AA31" s="46">
        <v>0</v>
      </c>
      <c r="AB31" s="68">
        <v>31</v>
      </c>
      <c r="AC31" s="68"/>
      <c r="AD31" s="69"/>
      <c r="AE31" s="76" t="s">
        <v>1269</v>
      </c>
      <c r="AF31" s="80" t="s">
        <v>1209</v>
      </c>
      <c r="AG31" s="76">
        <v>429</v>
      </c>
      <c r="AH31" s="76">
        <v>227</v>
      </c>
      <c r="AI31" s="76">
        <v>272</v>
      </c>
      <c r="AJ31" s="76">
        <v>1</v>
      </c>
      <c r="AK31" s="76">
        <v>1391</v>
      </c>
      <c r="AL31" s="76">
        <v>78</v>
      </c>
      <c r="AM31" s="76" t="b">
        <v>0</v>
      </c>
      <c r="AN31" s="78">
        <v>44271.545277777775</v>
      </c>
      <c r="AO31" s="76" t="s">
        <v>1511</v>
      </c>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1" t="str">
        <f>HYPERLINK("https://pbs.twimg.com/profile_banners/1371809707350888448/1656072816")</f>
        <v>https://pbs.twimg.com/profile_banners/1371809707350888448/1656072816</v>
      </c>
      <c r="BJ31" s="76"/>
      <c r="BK31" s="76" t="s">
        <v>330</v>
      </c>
      <c r="BL31" s="76" t="b">
        <v>0</v>
      </c>
      <c r="BM31" s="76"/>
      <c r="BN31" s="76" t="s">
        <v>65</v>
      </c>
      <c r="BO31" s="76" t="s">
        <v>332</v>
      </c>
      <c r="BP31" s="97" t="str">
        <f>HYPERLINK("https://twitter.com/nithin_bussa")</f>
        <v>https://twitter.com/nithin_bussa</v>
      </c>
      <c r="BQ31" s="45"/>
      <c r="BR31" s="45"/>
      <c r="BS31" s="45"/>
      <c r="BT31" s="45"/>
      <c r="BU31" s="45"/>
      <c r="BV31" s="45"/>
      <c r="BW31" s="45"/>
      <c r="BX31" s="45"/>
      <c r="BY31" s="45"/>
      <c r="BZ31" s="45"/>
      <c r="CA31" s="75" t="str">
        <f>REPLACE(INDEX(GroupVertices[Group],MATCH("~"&amp;Vertices[[#This Row],[Vertex]],GroupVertices[Vertex],0)),1,1,"")</f>
        <v>1</v>
      </c>
      <c r="CB31" s="2"/>
    </row>
    <row r="32" spans="1:80" ht="34.05" customHeight="1">
      <c r="A32" s="61" t="s">
        <v>668</v>
      </c>
      <c r="C32" s="62"/>
      <c r="D32" s="62"/>
      <c r="E32" s="63"/>
      <c r="F32" s="92"/>
      <c r="G32" s="86" t="str">
        <f>HYPERLINK("https://pbs.twimg.com/profile_images/1417479280234168322/pkeeJx1K_normal.jpg")</f>
        <v>https://pbs.twimg.com/profile_images/1417479280234168322/pkeeJx1K_normal.jpg</v>
      </c>
      <c r="H32" s="93"/>
      <c r="I32" s="66"/>
      <c r="J32" s="67"/>
      <c r="K32" s="94"/>
      <c r="L32" s="66" t="s">
        <v>1855</v>
      </c>
      <c r="M32" s="95"/>
      <c r="N32" s="71">
        <v>5509.86083984375</v>
      </c>
      <c r="O32" s="71">
        <v>5624.341796875</v>
      </c>
      <c r="P32" s="72"/>
      <c r="Q32" s="73"/>
      <c r="R32" s="73"/>
      <c r="S32" s="96"/>
      <c r="T32" s="45">
        <v>1</v>
      </c>
      <c r="U32" s="45">
        <v>0</v>
      </c>
      <c r="V32" s="46">
        <v>0</v>
      </c>
      <c r="W32" s="46">
        <v>0.41555</v>
      </c>
      <c r="X32" s="46">
        <v>0.065898</v>
      </c>
      <c r="Y32" s="46">
        <v>0.005556</v>
      </c>
      <c r="Z32" s="46">
        <v>0</v>
      </c>
      <c r="AA32" s="46">
        <v>0</v>
      </c>
      <c r="AB32" s="68">
        <v>32</v>
      </c>
      <c r="AC32" s="68"/>
      <c r="AD32" s="69"/>
      <c r="AE32" s="76" t="s">
        <v>1270</v>
      </c>
      <c r="AF32" s="80" t="s">
        <v>1210</v>
      </c>
      <c r="AG32" s="76">
        <v>66</v>
      </c>
      <c r="AH32" s="76">
        <v>115</v>
      </c>
      <c r="AI32" s="76">
        <v>277</v>
      </c>
      <c r="AJ32" s="76">
        <v>0</v>
      </c>
      <c r="AK32" s="76">
        <v>134</v>
      </c>
      <c r="AL32" s="76">
        <v>126</v>
      </c>
      <c r="AM32" s="76" t="b">
        <v>0</v>
      </c>
      <c r="AN32" s="78">
        <v>43835.77508101852</v>
      </c>
      <c r="AO32" s="76"/>
      <c r="AP32" s="76" t="s">
        <v>1589</v>
      </c>
      <c r="AQ32" s="76"/>
      <c r="AR32" s="76"/>
      <c r="AS32" s="76"/>
      <c r="AT32" s="76"/>
      <c r="AU32" s="76"/>
      <c r="AV32" s="76"/>
      <c r="AW32" s="76"/>
      <c r="AX32" s="76"/>
      <c r="AY32" s="76" t="b">
        <v>0</v>
      </c>
      <c r="AZ32" s="76"/>
      <c r="BA32" s="76"/>
      <c r="BB32" s="76" t="b">
        <v>0</v>
      </c>
      <c r="BC32" s="76" t="b">
        <v>1</v>
      </c>
      <c r="BD32" s="76" t="b">
        <v>1</v>
      </c>
      <c r="BE32" s="76" t="b">
        <v>0</v>
      </c>
      <c r="BF32" s="76" t="b">
        <v>0</v>
      </c>
      <c r="BG32" s="76" t="b">
        <v>0</v>
      </c>
      <c r="BH32" s="76" t="b">
        <v>0</v>
      </c>
      <c r="BI32" s="76"/>
      <c r="BJ32" s="76"/>
      <c r="BK32" s="76" t="s">
        <v>330</v>
      </c>
      <c r="BL32" s="76" t="b">
        <v>0</v>
      </c>
      <c r="BM32" s="76"/>
      <c r="BN32" s="76" t="s">
        <v>65</v>
      </c>
      <c r="BO32" s="76" t="s">
        <v>332</v>
      </c>
      <c r="BP32" s="97" t="str">
        <f>HYPERLINK("https://twitter.com/amarbyagari")</f>
        <v>https://twitter.com/amarbyagari</v>
      </c>
      <c r="BQ32" s="45"/>
      <c r="BR32" s="45"/>
      <c r="BS32" s="45"/>
      <c r="BT32" s="45"/>
      <c r="BU32" s="45"/>
      <c r="BV32" s="45"/>
      <c r="BW32" s="45"/>
      <c r="BX32" s="45"/>
      <c r="BY32" s="45"/>
      <c r="BZ32" s="45"/>
      <c r="CA32" s="75" t="str">
        <f>REPLACE(INDEX(GroupVertices[Group],MATCH("~"&amp;Vertices[[#This Row],[Vertex]],GroupVertices[Vertex],0)),1,1,"")</f>
        <v>1</v>
      </c>
      <c r="CB32" s="2"/>
    </row>
    <row r="33" spans="1:80" ht="34.05" customHeight="1">
      <c r="A33" s="61" t="s">
        <v>590</v>
      </c>
      <c r="C33" s="62"/>
      <c r="D33" s="62"/>
      <c r="E33" s="63"/>
      <c r="F33" s="92"/>
      <c r="G33" s="86" t="str">
        <f>HYPERLINK("https://pbs.twimg.com/profile_images/1159112128365658112/9Qc4LSaN_normal.jpg")</f>
        <v>https://pbs.twimg.com/profile_images/1159112128365658112/9Qc4LSaN_normal.jpg</v>
      </c>
      <c r="H33" s="93"/>
      <c r="I33" s="66"/>
      <c r="J33" s="67"/>
      <c r="K33" s="94"/>
      <c r="L33" s="66" t="s">
        <v>1856</v>
      </c>
      <c r="M33" s="95"/>
      <c r="N33" s="71">
        <v>4728.92431640625</v>
      </c>
      <c r="O33" s="71">
        <v>2600.352783203125</v>
      </c>
      <c r="P33" s="72"/>
      <c r="Q33" s="73"/>
      <c r="R33" s="73"/>
      <c r="S33" s="96"/>
      <c r="T33" s="45">
        <v>1</v>
      </c>
      <c r="U33" s="45">
        <v>1</v>
      </c>
      <c r="V33" s="46">
        <v>0</v>
      </c>
      <c r="W33" s="46">
        <v>0.41555</v>
      </c>
      <c r="X33" s="46">
        <v>0.065898</v>
      </c>
      <c r="Y33" s="46">
        <v>0.005556</v>
      </c>
      <c r="Z33" s="46">
        <v>0</v>
      </c>
      <c r="AA33" s="46">
        <v>1</v>
      </c>
      <c r="AB33" s="68">
        <v>33</v>
      </c>
      <c r="AC33" s="68"/>
      <c r="AD33" s="69"/>
      <c r="AE33" s="76" t="s">
        <v>1271</v>
      </c>
      <c r="AF33" s="80" t="s">
        <v>1211</v>
      </c>
      <c r="AG33" s="76">
        <v>1898</v>
      </c>
      <c r="AH33" s="76">
        <v>2234</v>
      </c>
      <c r="AI33" s="76">
        <v>2294</v>
      </c>
      <c r="AJ33" s="76">
        <v>53</v>
      </c>
      <c r="AK33" s="76">
        <v>3519</v>
      </c>
      <c r="AL33" s="76">
        <v>816</v>
      </c>
      <c r="AM33" s="76" t="b">
        <v>0</v>
      </c>
      <c r="AN33" s="78">
        <v>42777.39333333333</v>
      </c>
      <c r="AO33" s="76" t="s">
        <v>1512</v>
      </c>
      <c r="AP33" s="76" t="s">
        <v>1590</v>
      </c>
      <c r="AQ33" s="81" t="str">
        <f>HYPERLINK("https://t.co/Ux3Gw4bv6e")</f>
        <v>https://t.co/Ux3Gw4bv6e</v>
      </c>
      <c r="AR33" s="81" t="str">
        <f>HYPERLINK("https://www.bylesdigitaldesign.com/health-food-marketing")</f>
        <v>https://www.bylesdigitaldesign.com/health-food-marketing</v>
      </c>
      <c r="AS33" s="76" t="s">
        <v>1719</v>
      </c>
      <c r="AT33" s="76"/>
      <c r="AU33" s="76"/>
      <c r="AV33" s="76"/>
      <c r="AW33" s="76"/>
      <c r="AX33" s="81" t="str">
        <f>HYPERLINK("https://t.co/Ux3Gw4bv6e")</f>
        <v>https://t.co/Ux3Gw4bv6e</v>
      </c>
      <c r="AY33" s="76" t="b">
        <v>0</v>
      </c>
      <c r="AZ33" s="76"/>
      <c r="BA33" s="76"/>
      <c r="BB33" s="76" t="b">
        <v>1</v>
      </c>
      <c r="BC33" s="76" t="b">
        <v>1</v>
      </c>
      <c r="BD33" s="76" t="b">
        <v>0</v>
      </c>
      <c r="BE33" s="76" t="b">
        <v>0</v>
      </c>
      <c r="BF33" s="76" t="b">
        <v>1</v>
      </c>
      <c r="BG33" s="76" t="b">
        <v>0</v>
      </c>
      <c r="BH33" s="76" t="b">
        <v>0</v>
      </c>
      <c r="BI33" s="81" t="str">
        <f>HYPERLINK("https://pbs.twimg.com/profile_banners/830347242833784832/1623770482")</f>
        <v>https://pbs.twimg.com/profile_banners/830347242833784832/1623770482</v>
      </c>
      <c r="BJ33" s="76"/>
      <c r="BK33" s="76" t="s">
        <v>330</v>
      </c>
      <c r="BL33" s="76" t="b">
        <v>0</v>
      </c>
      <c r="BM33" s="76"/>
      <c r="BN33" s="76" t="s">
        <v>66</v>
      </c>
      <c r="BO33" s="76" t="s">
        <v>332</v>
      </c>
      <c r="BP33" s="97" t="str">
        <f>HYPERLINK("https://twitter.com/byles_digital")</f>
        <v>https://twitter.com/byles_digital</v>
      </c>
      <c r="BQ33" s="45"/>
      <c r="BR33" s="45"/>
      <c r="BS33" s="45"/>
      <c r="BT33" s="45"/>
      <c r="BU33" s="45"/>
      <c r="BV33" s="45"/>
      <c r="BW33" s="90" t="s">
        <v>2172</v>
      </c>
      <c r="BX33" s="90" t="s">
        <v>2172</v>
      </c>
      <c r="BY33" s="90" t="s">
        <v>2243</v>
      </c>
      <c r="BZ33" s="90" t="s">
        <v>2243</v>
      </c>
      <c r="CA33" s="75" t="str">
        <f>REPLACE(INDEX(GroupVertices[Group],MATCH("~"&amp;Vertices[[#This Row],[Vertex]],GroupVertices[Vertex],0)),1,1,"")</f>
        <v>1</v>
      </c>
      <c r="CB33" s="2"/>
    </row>
    <row r="34" spans="1:80" ht="34.05" customHeight="1">
      <c r="A34" s="61" t="s">
        <v>395</v>
      </c>
      <c r="C34" s="62"/>
      <c r="D34" s="62"/>
      <c r="E34" s="63"/>
      <c r="F34" s="92"/>
      <c r="G34" s="86" t="str">
        <f>HYPERLINK("https://pbs.twimg.com/profile_images/1639620268770598914/ObcdxwLO_normal.jpg")</f>
        <v>https://pbs.twimg.com/profile_images/1639620268770598914/ObcdxwLO_normal.jpg</v>
      </c>
      <c r="H34" s="93"/>
      <c r="I34" s="66"/>
      <c r="J34" s="67"/>
      <c r="K34" s="94"/>
      <c r="L34" s="66" t="s">
        <v>439</v>
      </c>
      <c r="M34" s="95"/>
      <c r="N34" s="71">
        <v>4541.7001953125</v>
      </c>
      <c r="O34" s="71">
        <v>5827.69140625</v>
      </c>
      <c r="P34" s="72"/>
      <c r="Q34" s="73"/>
      <c r="R34" s="73"/>
      <c r="S34" s="96"/>
      <c r="T34" s="45">
        <v>1</v>
      </c>
      <c r="U34" s="45">
        <v>0</v>
      </c>
      <c r="V34" s="46">
        <v>0</v>
      </c>
      <c r="W34" s="46">
        <v>0.41555</v>
      </c>
      <c r="X34" s="46">
        <v>0.065898</v>
      </c>
      <c r="Y34" s="46">
        <v>0.005556</v>
      </c>
      <c r="Z34" s="46">
        <v>0</v>
      </c>
      <c r="AA34" s="46">
        <v>0</v>
      </c>
      <c r="AB34" s="68">
        <v>34</v>
      </c>
      <c r="AC34" s="68"/>
      <c r="AD34" s="69"/>
      <c r="AE34" s="76" t="s">
        <v>417</v>
      </c>
      <c r="AF34" s="80" t="s">
        <v>420</v>
      </c>
      <c r="AG34" s="76">
        <v>19203</v>
      </c>
      <c r="AH34" s="76">
        <v>132</v>
      </c>
      <c r="AI34" s="76">
        <v>1303</v>
      </c>
      <c r="AJ34" s="76">
        <v>8</v>
      </c>
      <c r="AK34" s="76">
        <v>1190</v>
      </c>
      <c r="AL34" s="76">
        <v>1000</v>
      </c>
      <c r="AM34" s="76" t="b">
        <v>0</v>
      </c>
      <c r="AN34" s="78">
        <v>43500.39923611111</v>
      </c>
      <c r="AO34" s="76" t="s">
        <v>319</v>
      </c>
      <c r="AP34" s="76" t="s">
        <v>431</v>
      </c>
      <c r="AQ34" s="76"/>
      <c r="AR34" s="76"/>
      <c r="AS34" s="76"/>
      <c r="AT34" s="76"/>
      <c r="AU34" s="76"/>
      <c r="AV34" s="76"/>
      <c r="AW34" s="76">
        <v>1.73268373958992E+18</v>
      </c>
      <c r="AX34" s="76"/>
      <c r="AY34" s="76" t="b">
        <v>1</v>
      </c>
      <c r="AZ34" s="76"/>
      <c r="BA34" s="76" t="b">
        <v>1</v>
      </c>
      <c r="BB34" s="76" t="b">
        <v>0</v>
      </c>
      <c r="BC34" s="76" t="b">
        <v>0</v>
      </c>
      <c r="BD34" s="76" t="b">
        <v>1</v>
      </c>
      <c r="BE34" s="76" t="b">
        <v>0</v>
      </c>
      <c r="BF34" s="76" t="b">
        <v>1</v>
      </c>
      <c r="BG34" s="76" t="b">
        <v>0</v>
      </c>
      <c r="BH34" s="76" t="b">
        <v>0</v>
      </c>
      <c r="BI34" s="81" t="str">
        <f>HYPERLINK("https://pbs.twimg.com/profile_banners/1092355808891875328/1557465856")</f>
        <v>https://pbs.twimg.com/profile_banners/1092355808891875328/1557465856</v>
      </c>
      <c r="BJ34" s="76"/>
      <c r="BK34" s="76" t="s">
        <v>330</v>
      </c>
      <c r="BL34" s="76" t="b">
        <v>1</v>
      </c>
      <c r="BM34" s="76"/>
      <c r="BN34" s="76" t="s">
        <v>65</v>
      </c>
      <c r="BO34" s="76" t="s">
        <v>332</v>
      </c>
      <c r="BP34" s="97" t="str">
        <f>HYPERLINK("https://twitter.com/bhatticlp")</f>
        <v>https://twitter.com/bhatticlp</v>
      </c>
      <c r="BQ34" s="45"/>
      <c r="BR34" s="45"/>
      <c r="BS34" s="45"/>
      <c r="BT34" s="45"/>
      <c r="BU34" s="45"/>
      <c r="BV34" s="45"/>
      <c r="BW34" s="45"/>
      <c r="BX34" s="45"/>
      <c r="BY34" s="45"/>
      <c r="BZ34" s="45"/>
      <c r="CA34" s="75" t="str">
        <f>REPLACE(INDEX(GroupVertices[Group],MATCH("~"&amp;Vertices[[#This Row],[Vertex]],GroupVertices[Vertex],0)),1,1,"")</f>
        <v>1</v>
      </c>
      <c r="CB34" s="2"/>
    </row>
    <row r="35" spans="1:80" ht="34.05" customHeight="1">
      <c r="A35" s="61" t="s">
        <v>393</v>
      </c>
      <c r="C35" s="62"/>
      <c r="D35" s="62"/>
      <c r="E35" s="63"/>
      <c r="F35" s="92"/>
      <c r="G35" s="86" t="str">
        <f>HYPERLINK("https://pbs.twimg.com/profile_images/1591417088551571456/R3-aOZhl_normal.jpg")</f>
        <v>https://pbs.twimg.com/profile_images/1591417088551571456/R3-aOZhl_normal.jpg</v>
      </c>
      <c r="H35" s="93"/>
      <c r="I35" s="66"/>
      <c r="J35" s="67"/>
      <c r="K35" s="94"/>
      <c r="L35" s="66" t="s">
        <v>1857</v>
      </c>
      <c r="M35" s="95"/>
      <c r="N35" s="71">
        <v>6016.73583984375</v>
      </c>
      <c r="O35" s="71">
        <v>5910.48046875</v>
      </c>
      <c r="P35" s="72"/>
      <c r="Q35" s="73"/>
      <c r="R35" s="73"/>
      <c r="S35" s="96"/>
      <c r="T35" s="45">
        <v>1</v>
      </c>
      <c r="U35" s="45">
        <v>0</v>
      </c>
      <c r="V35" s="46">
        <v>0</v>
      </c>
      <c r="W35" s="46">
        <v>0.41555</v>
      </c>
      <c r="X35" s="46">
        <v>0.065898</v>
      </c>
      <c r="Y35" s="46">
        <v>0.005556</v>
      </c>
      <c r="Z35" s="46">
        <v>0</v>
      </c>
      <c r="AA35" s="46">
        <v>0</v>
      </c>
      <c r="AB35" s="68">
        <v>35</v>
      </c>
      <c r="AC35" s="68"/>
      <c r="AD35" s="69"/>
      <c r="AE35" s="76" t="s">
        <v>414</v>
      </c>
      <c r="AF35" s="80" t="s">
        <v>413</v>
      </c>
      <c r="AG35" s="76">
        <v>460209</v>
      </c>
      <c r="AH35" s="76">
        <v>88</v>
      </c>
      <c r="AI35" s="76">
        <v>5908</v>
      </c>
      <c r="AJ35" s="76">
        <v>144</v>
      </c>
      <c r="AK35" s="76">
        <v>20057</v>
      </c>
      <c r="AL35" s="76">
        <v>2559</v>
      </c>
      <c r="AM35" s="76" t="b">
        <v>0</v>
      </c>
      <c r="AN35" s="78">
        <v>42436.585231481484</v>
      </c>
      <c r="AO35" s="76" t="s">
        <v>423</v>
      </c>
      <c r="AP35" s="76" t="s">
        <v>428</v>
      </c>
      <c r="AQ35" s="81" t="str">
        <f>HYPERLINK("https://t.co/toZTvP5vcC")</f>
        <v>https://t.co/toZTvP5vcC</v>
      </c>
      <c r="AR35" s="81" t="str">
        <f>HYPERLINK("http://www.revanthreddy.com")</f>
        <v>http://www.revanthreddy.com</v>
      </c>
      <c r="AS35" s="76" t="s">
        <v>433</v>
      </c>
      <c r="AT35" s="76"/>
      <c r="AU35" s="76"/>
      <c r="AV35" s="76"/>
      <c r="AW35" s="76">
        <v>1.73269766251492E+18</v>
      </c>
      <c r="AX35" s="81" t="str">
        <f>HYPERLINK("https://t.co/toZTvP5vcC")</f>
        <v>https://t.co/toZTvP5vcC</v>
      </c>
      <c r="AY35" s="76" t="b">
        <v>1</v>
      </c>
      <c r="AZ35" s="76"/>
      <c r="BA35" s="76" t="b">
        <v>1</v>
      </c>
      <c r="BB35" s="76" t="b">
        <v>1</v>
      </c>
      <c r="BC35" s="76" t="b">
        <v>0</v>
      </c>
      <c r="BD35" s="76" t="b">
        <v>0</v>
      </c>
      <c r="BE35" s="76" t="b">
        <v>0</v>
      </c>
      <c r="BF35" s="76" t="b">
        <v>0</v>
      </c>
      <c r="BG35" s="76" t="b">
        <v>0</v>
      </c>
      <c r="BH35" s="76" t="b">
        <v>0</v>
      </c>
      <c r="BI35" s="81" t="str">
        <f>HYPERLINK("https://pbs.twimg.com/profile_banners/706842521796632576/1630675112")</f>
        <v>https://pbs.twimg.com/profile_banners/706842521796632576/1630675112</v>
      </c>
      <c r="BJ35" s="76"/>
      <c r="BK35" s="76" t="s">
        <v>330</v>
      </c>
      <c r="BL35" s="76" t="b">
        <v>1</v>
      </c>
      <c r="BM35" s="76"/>
      <c r="BN35" s="76" t="s">
        <v>65</v>
      </c>
      <c r="BO35" s="76" t="s">
        <v>332</v>
      </c>
      <c r="BP35" s="97" t="str">
        <f>HYPERLINK("https://twitter.com/revanth_anumula")</f>
        <v>https://twitter.com/revanth_anumula</v>
      </c>
      <c r="BQ35" s="45"/>
      <c r="BR35" s="45"/>
      <c r="BS35" s="45"/>
      <c r="BT35" s="45"/>
      <c r="BU35" s="45"/>
      <c r="BV35" s="45"/>
      <c r="BW35" s="45"/>
      <c r="BX35" s="45"/>
      <c r="BY35" s="45"/>
      <c r="BZ35" s="45"/>
      <c r="CA35" s="75" t="str">
        <f>REPLACE(INDEX(GroupVertices[Group],MATCH("~"&amp;Vertices[[#This Row],[Vertex]],GroupVertices[Vertex],0)),1,1,"")</f>
        <v>1</v>
      </c>
      <c r="CB35" s="2"/>
    </row>
    <row r="36" spans="1:80" ht="34.05" customHeight="1">
      <c r="A36" s="61" t="s">
        <v>669</v>
      </c>
      <c r="C36" s="62"/>
      <c r="D36" s="62"/>
      <c r="E36" s="63"/>
      <c r="F36" s="92"/>
      <c r="G36" s="86" t="str">
        <f>HYPERLINK("https://pbs.twimg.com/profile_images/1380078947803619328/4QLOQBCr_normal.jpg")</f>
        <v>https://pbs.twimg.com/profile_images/1380078947803619328/4QLOQBCr_normal.jpg</v>
      </c>
      <c r="H36" s="93"/>
      <c r="I36" s="66"/>
      <c r="J36" s="67"/>
      <c r="K36" s="94"/>
      <c r="L36" s="66" t="s">
        <v>1858</v>
      </c>
      <c r="M36" s="95"/>
      <c r="N36" s="71">
        <v>3558.741943359375</v>
      </c>
      <c r="O36" s="71">
        <v>6416.63427734375</v>
      </c>
      <c r="P36" s="72"/>
      <c r="Q36" s="73"/>
      <c r="R36" s="73"/>
      <c r="S36" s="96"/>
      <c r="T36" s="45">
        <v>1</v>
      </c>
      <c r="U36" s="45">
        <v>0</v>
      </c>
      <c r="V36" s="46">
        <v>0</v>
      </c>
      <c r="W36" s="46">
        <v>0.41555</v>
      </c>
      <c r="X36" s="46">
        <v>0.065898</v>
      </c>
      <c r="Y36" s="46">
        <v>0.005556</v>
      </c>
      <c r="Z36" s="46">
        <v>0</v>
      </c>
      <c r="AA36" s="46">
        <v>0</v>
      </c>
      <c r="AB36" s="68">
        <v>36</v>
      </c>
      <c r="AC36" s="68"/>
      <c r="AD36" s="69"/>
      <c r="AE36" s="76" t="s">
        <v>1272</v>
      </c>
      <c r="AF36" s="80" t="s">
        <v>1212</v>
      </c>
      <c r="AG36" s="76">
        <v>588963</v>
      </c>
      <c r="AH36" s="76">
        <v>138</v>
      </c>
      <c r="AI36" s="76">
        <v>39964</v>
      </c>
      <c r="AJ36" s="76">
        <v>6011</v>
      </c>
      <c r="AK36" s="76">
        <v>146725</v>
      </c>
      <c r="AL36" s="76">
        <v>2303</v>
      </c>
      <c r="AM36" s="76" t="b">
        <v>0</v>
      </c>
      <c r="AN36" s="78">
        <v>44173.15201388889</v>
      </c>
      <c r="AO36" s="76" t="s">
        <v>1513</v>
      </c>
      <c r="AP36" s="76" t="s">
        <v>1591</v>
      </c>
      <c r="AQ36" s="81" t="str">
        <f>HYPERLINK("https://t.co/57VkCUVEGh")</f>
        <v>https://t.co/57VkCUVEGh</v>
      </c>
      <c r="AR36" s="81" t="str">
        <f>HYPERLINK("https://linktr.ee/Upskillyourlife01")</f>
        <v>https://linktr.ee/Upskillyourlife01</v>
      </c>
      <c r="AS36" s="76" t="s">
        <v>1720</v>
      </c>
      <c r="AT36" s="76"/>
      <c r="AU36" s="76"/>
      <c r="AV36" s="76"/>
      <c r="AW36" s="76">
        <v>1.7334754097514E+18</v>
      </c>
      <c r="AX36" s="81" t="str">
        <f>HYPERLINK("https://t.co/57VkCUVEGh")</f>
        <v>https://t.co/57VkCUVEGh</v>
      </c>
      <c r="AY36" s="76" t="b">
        <v>1</v>
      </c>
      <c r="AZ36" s="76"/>
      <c r="BA36" s="76"/>
      <c r="BB36" s="76" t="b">
        <v>1</v>
      </c>
      <c r="BC36" s="76" t="b">
        <v>1</v>
      </c>
      <c r="BD36" s="76" t="b">
        <v>1</v>
      </c>
      <c r="BE36" s="76" t="b">
        <v>0</v>
      </c>
      <c r="BF36" s="76" t="b">
        <v>1</v>
      </c>
      <c r="BG36" s="76" t="b">
        <v>0</v>
      </c>
      <c r="BH36" s="76" t="b">
        <v>0</v>
      </c>
      <c r="BI36" s="81" t="str">
        <f>HYPERLINK("https://pbs.twimg.com/profile_banners/1336153209358848000/1617685984")</f>
        <v>https://pbs.twimg.com/profile_banners/1336153209358848000/1617685984</v>
      </c>
      <c r="BJ36" s="76"/>
      <c r="BK36" s="76" t="s">
        <v>330</v>
      </c>
      <c r="BL36" s="76" t="b">
        <v>0</v>
      </c>
      <c r="BM36" s="76"/>
      <c r="BN36" s="76" t="s">
        <v>65</v>
      </c>
      <c r="BO36" s="76" t="s">
        <v>332</v>
      </c>
      <c r="BP36" s="97" t="str">
        <f>HYPERLINK("https://twitter.com/upskillyourlife")</f>
        <v>https://twitter.com/upskillyourlife</v>
      </c>
      <c r="BQ36" s="45"/>
      <c r="BR36" s="45"/>
      <c r="BS36" s="45"/>
      <c r="BT36" s="45"/>
      <c r="BU36" s="45"/>
      <c r="BV36" s="45"/>
      <c r="BW36" s="45"/>
      <c r="BX36" s="45"/>
      <c r="BY36" s="45"/>
      <c r="BZ36" s="45"/>
      <c r="CA36" s="75" t="str">
        <f>REPLACE(INDEX(GroupVertices[Group],MATCH("~"&amp;Vertices[[#This Row],[Vertex]],GroupVertices[Vertex],0)),1,1,"")</f>
        <v>1</v>
      </c>
      <c r="CB36" s="2"/>
    </row>
    <row r="37" spans="1:80" ht="34.05" customHeight="1">
      <c r="A37" s="61" t="s">
        <v>670</v>
      </c>
      <c r="C37" s="62"/>
      <c r="D37" s="62"/>
      <c r="E37" s="63"/>
      <c r="F37" s="92"/>
      <c r="G37" s="86" t="str">
        <f>HYPERLINK("https://pbs.twimg.com/profile_images/1545630500148023298/k2-dzbHc_normal.jpg")</f>
        <v>https://pbs.twimg.com/profile_images/1545630500148023298/k2-dzbHc_normal.jpg</v>
      </c>
      <c r="H37" s="93"/>
      <c r="I37" s="66"/>
      <c r="J37" s="67"/>
      <c r="K37" s="94"/>
      <c r="L37" s="66" t="s">
        <v>1859</v>
      </c>
      <c r="M37" s="95"/>
      <c r="N37" s="71">
        <v>5148.1787109375</v>
      </c>
      <c r="O37" s="71">
        <v>6903.1982421875</v>
      </c>
      <c r="P37" s="72"/>
      <c r="Q37" s="73"/>
      <c r="R37" s="73"/>
      <c r="S37" s="96"/>
      <c r="T37" s="45">
        <v>1</v>
      </c>
      <c r="U37" s="45">
        <v>0</v>
      </c>
      <c r="V37" s="46">
        <v>0</v>
      </c>
      <c r="W37" s="46">
        <v>0.41555</v>
      </c>
      <c r="X37" s="46">
        <v>0.065898</v>
      </c>
      <c r="Y37" s="46">
        <v>0.005556</v>
      </c>
      <c r="Z37" s="46">
        <v>0</v>
      </c>
      <c r="AA37" s="46">
        <v>0</v>
      </c>
      <c r="AB37" s="68">
        <v>37</v>
      </c>
      <c r="AC37" s="68"/>
      <c r="AD37" s="69"/>
      <c r="AE37" s="76" t="s">
        <v>1273</v>
      </c>
      <c r="AF37" s="80" t="s">
        <v>1213</v>
      </c>
      <c r="AG37" s="76">
        <v>218052</v>
      </c>
      <c r="AH37" s="76">
        <v>969</v>
      </c>
      <c r="AI37" s="76">
        <v>36871</v>
      </c>
      <c r="AJ37" s="76">
        <v>196</v>
      </c>
      <c r="AK37" s="76">
        <v>33808</v>
      </c>
      <c r="AL37" s="76">
        <v>4552</v>
      </c>
      <c r="AM37" s="76" t="b">
        <v>0</v>
      </c>
      <c r="AN37" s="78">
        <v>40935.328993055555</v>
      </c>
      <c r="AO37" s="76" t="s">
        <v>296</v>
      </c>
      <c r="AP37" s="76" t="s">
        <v>1592</v>
      </c>
      <c r="AQ37" s="76"/>
      <c r="AR37" s="76"/>
      <c r="AS37" s="76"/>
      <c r="AT37" s="76"/>
      <c r="AU37" s="76"/>
      <c r="AV37" s="76"/>
      <c r="AW37" s="76">
        <v>1.54552418122332E+18</v>
      </c>
      <c r="AX37" s="76"/>
      <c r="AY37" s="76" t="b">
        <v>1</v>
      </c>
      <c r="AZ37" s="76"/>
      <c r="BA37" s="76"/>
      <c r="BB37" s="76" t="b">
        <v>0</v>
      </c>
      <c r="BC37" s="76" t="b">
        <v>1</v>
      </c>
      <c r="BD37" s="76" t="b">
        <v>1</v>
      </c>
      <c r="BE37" s="76" t="b">
        <v>0</v>
      </c>
      <c r="BF37" s="76" t="b">
        <v>0</v>
      </c>
      <c r="BG37" s="76" t="b">
        <v>0</v>
      </c>
      <c r="BH37" s="76" t="b">
        <v>0</v>
      </c>
      <c r="BI37" s="81" t="str">
        <f>HYPERLINK("https://pbs.twimg.com/profile_banners/475618166/1657342625")</f>
        <v>https://pbs.twimg.com/profile_banners/475618166/1657342625</v>
      </c>
      <c r="BJ37" s="76"/>
      <c r="BK37" s="76" t="s">
        <v>330</v>
      </c>
      <c r="BL37" s="76" t="b">
        <v>0</v>
      </c>
      <c r="BM37" s="76"/>
      <c r="BN37" s="76" t="s">
        <v>65</v>
      </c>
      <c r="BO37" s="76" t="s">
        <v>332</v>
      </c>
      <c r="BP37" s="97" t="str">
        <f>HYPERLINK("https://twitter.com/aadeshrawal")</f>
        <v>https://twitter.com/aadeshrawal</v>
      </c>
      <c r="BQ37" s="45"/>
      <c r="BR37" s="45"/>
      <c r="BS37" s="45"/>
      <c r="BT37" s="45"/>
      <c r="BU37" s="45"/>
      <c r="BV37" s="45"/>
      <c r="BW37" s="45"/>
      <c r="BX37" s="45"/>
      <c r="BY37" s="45"/>
      <c r="BZ37" s="45"/>
      <c r="CA37" s="75" t="str">
        <f>REPLACE(INDEX(GroupVertices[Group],MATCH("~"&amp;Vertices[[#This Row],[Vertex]],GroupVertices[Vertex],0)),1,1,"")</f>
        <v>1</v>
      </c>
      <c r="CB37" s="2"/>
    </row>
    <row r="38" spans="1:80" ht="34.05" customHeight="1">
      <c r="A38" s="61" t="s">
        <v>671</v>
      </c>
      <c r="C38" s="62"/>
      <c r="D38" s="62"/>
      <c r="E38" s="63"/>
      <c r="F38" s="92"/>
      <c r="G38" s="86" t="str">
        <f>HYPERLINK("https://pbs.twimg.com/profile_images/1648315397022572544/2fCMWlPw_normal.jpg")</f>
        <v>https://pbs.twimg.com/profile_images/1648315397022572544/2fCMWlPw_normal.jpg</v>
      </c>
      <c r="H38" s="93"/>
      <c r="I38" s="66"/>
      <c r="J38" s="67"/>
      <c r="K38" s="94"/>
      <c r="L38" s="66" t="s">
        <v>1860</v>
      </c>
      <c r="M38" s="95"/>
      <c r="N38" s="71">
        <v>5327.53125</v>
      </c>
      <c r="O38" s="71">
        <v>3362.01513671875</v>
      </c>
      <c r="P38" s="72"/>
      <c r="Q38" s="73"/>
      <c r="R38" s="73"/>
      <c r="S38" s="96"/>
      <c r="T38" s="45">
        <v>1</v>
      </c>
      <c r="U38" s="45">
        <v>0</v>
      </c>
      <c r="V38" s="46">
        <v>0</v>
      </c>
      <c r="W38" s="46">
        <v>0.41555</v>
      </c>
      <c r="X38" s="46">
        <v>0.065898</v>
      </c>
      <c r="Y38" s="46">
        <v>0.005556</v>
      </c>
      <c r="Z38" s="46">
        <v>0</v>
      </c>
      <c r="AA38" s="46">
        <v>0</v>
      </c>
      <c r="AB38" s="68">
        <v>38</v>
      </c>
      <c r="AC38" s="68"/>
      <c r="AD38" s="69"/>
      <c r="AE38" s="76" t="s">
        <v>1274</v>
      </c>
      <c r="AF38" s="80" t="s">
        <v>1214</v>
      </c>
      <c r="AG38" s="76">
        <v>460777</v>
      </c>
      <c r="AH38" s="76">
        <v>949</v>
      </c>
      <c r="AI38" s="76">
        <v>16659</v>
      </c>
      <c r="AJ38" s="76">
        <v>5625</v>
      </c>
      <c r="AK38" s="76">
        <v>16608</v>
      </c>
      <c r="AL38" s="76">
        <v>2207</v>
      </c>
      <c r="AM38" s="76" t="b">
        <v>0</v>
      </c>
      <c r="AN38" s="78">
        <v>40601.921944444446</v>
      </c>
      <c r="AO38" s="76" t="s">
        <v>1514</v>
      </c>
      <c r="AP38" s="76" t="s">
        <v>1593</v>
      </c>
      <c r="AQ38" s="81" t="str">
        <f>HYPERLINK("https://t.co/F9sknyO8Ts")</f>
        <v>https://t.co/F9sknyO8Ts</v>
      </c>
      <c r="AR38" s="81" t="str">
        <f>HYPERLINK("https://contrarianthinking.biz/tw")</f>
        <v>https://contrarianthinking.biz/tw</v>
      </c>
      <c r="AS38" s="76" t="s">
        <v>1721</v>
      </c>
      <c r="AT38" s="76"/>
      <c r="AU38" s="76"/>
      <c r="AV38" s="76"/>
      <c r="AW38" s="76">
        <v>1.47583121046309E+18</v>
      </c>
      <c r="AX38" s="81" t="str">
        <f>HYPERLINK("https://t.co/F9sknyO8Ts")</f>
        <v>https://t.co/F9sknyO8Ts</v>
      </c>
      <c r="AY38" s="76" t="b">
        <v>1</v>
      </c>
      <c r="AZ38" s="76"/>
      <c r="BA38" s="76" t="b">
        <v>1</v>
      </c>
      <c r="BB38" s="76" t="b">
        <v>1</v>
      </c>
      <c r="BC38" s="76" t="b">
        <v>1</v>
      </c>
      <c r="BD38" s="76" t="b">
        <v>0</v>
      </c>
      <c r="BE38" s="76" t="b">
        <v>0</v>
      </c>
      <c r="BF38" s="76" t="b">
        <v>1</v>
      </c>
      <c r="BG38" s="76" t="b">
        <v>0</v>
      </c>
      <c r="BH38" s="76" t="b">
        <v>0</v>
      </c>
      <c r="BI38" s="81" t="str">
        <f>HYPERLINK("https://pbs.twimg.com/profile_banners/258512916/1694734353")</f>
        <v>https://pbs.twimg.com/profile_banners/258512916/1694734353</v>
      </c>
      <c r="BJ38" s="76"/>
      <c r="BK38" s="76" t="s">
        <v>330</v>
      </c>
      <c r="BL38" s="76" t="b">
        <v>1</v>
      </c>
      <c r="BM38" s="76"/>
      <c r="BN38" s="76" t="s">
        <v>65</v>
      </c>
      <c r="BO38" s="76" t="s">
        <v>332</v>
      </c>
      <c r="BP38" s="97" t="str">
        <f>HYPERLINK("https://twitter.com/codie_sanchez")</f>
        <v>https://twitter.com/codie_sanchez</v>
      </c>
      <c r="BQ38" s="45"/>
      <c r="BR38" s="45"/>
      <c r="BS38" s="45"/>
      <c r="BT38" s="45"/>
      <c r="BU38" s="45"/>
      <c r="BV38" s="45"/>
      <c r="BW38" s="45"/>
      <c r="BX38" s="45"/>
      <c r="BY38" s="45"/>
      <c r="BZ38" s="45"/>
      <c r="CA38" s="75" t="str">
        <f>REPLACE(INDEX(GroupVertices[Group],MATCH("~"&amp;Vertices[[#This Row],[Vertex]],GroupVertices[Vertex],0)),1,1,"")</f>
        <v>1</v>
      </c>
      <c r="CB38" s="2"/>
    </row>
    <row r="39" spans="1:80" ht="34.05" customHeight="1">
      <c r="A39" s="61" t="s">
        <v>672</v>
      </c>
      <c r="C39" s="62"/>
      <c r="D39" s="62"/>
      <c r="E39" s="63"/>
      <c r="F39" s="92"/>
      <c r="G39" s="86" t="str">
        <f>HYPERLINK("https://pbs.twimg.com/profile_images/1666577815012093953/xbBPe8_D_normal.jpg")</f>
        <v>https://pbs.twimg.com/profile_images/1666577815012093953/xbBPe8_D_normal.jpg</v>
      </c>
      <c r="H39" s="93"/>
      <c r="I39" s="66"/>
      <c r="J39" s="67"/>
      <c r="K39" s="94"/>
      <c r="L39" s="66" t="s">
        <v>1861</v>
      </c>
      <c r="M39" s="95"/>
      <c r="N39" s="71">
        <v>5814.95654296875</v>
      </c>
      <c r="O39" s="71">
        <v>3295.969970703125</v>
      </c>
      <c r="P39" s="72"/>
      <c r="Q39" s="73"/>
      <c r="R39" s="73"/>
      <c r="S39" s="96"/>
      <c r="T39" s="45">
        <v>1</v>
      </c>
      <c r="U39" s="45">
        <v>0</v>
      </c>
      <c r="V39" s="46">
        <v>0</v>
      </c>
      <c r="W39" s="46">
        <v>0.41555</v>
      </c>
      <c r="X39" s="46">
        <v>0.065898</v>
      </c>
      <c r="Y39" s="46">
        <v>0.005556</v>
      </c>
      <c r="Z39" s="46">
        <v>0</v>
      </c>
      <c r="AA39" s="46">
        <v>0</v>
      </c>
      <c r="AB39" s="68">
        <v>39</v>
      </c>
      <c r="AC39" s="68"/>
      <c r="AD39" s="69"/>
      <c r="AE39" s="76" t="s">
        <v>1275</v>
      </c>
      <c r="AF39" s="80" t="s">
        <v>1215</v>
      </c>
      <c r="AG39" s="76">
        <v>6855</v>
      </c>
      <c r="AH39" s="76">
        <v>3145</v>
      </c>
      <c r="AI39" s="76">
        <v>5742</v>
      </c>
      <c r="AJ39" s="76">
        <v>70</v>
      </c>
      <c r="AK39" s="76">
        <v>6153</v>
      </c>
      <c r="AL39" s="76">
        <v>263</v>
      </c>
      <c r="AM39" s="76" t="b">
        <v>0</v>
      </c>
      <c r="AN39" s="78">
        <v>43725.17215277778</v>
      </c>
      <c r="AO39" s="76" t="s">
        <v>1515</v>
      </c>
      <c r="AP39" s="76" t="s">
        <v>1594</v>
      </c>
      <c r="AQ39" s="81" t="str">
        <f>HYPERLINK("https://t.co/tiSNrcW1Fk")</f>
        <v>https://t.co/tiSNrcW1Fk</v>
      </c>
      <c r="AR39" s="81" t="str">
        <f>HYPERLINK("http://ridreg-martyr.arvo.network/writing/josh-after-party-round")</f>
        <v>http://ridreg-martyr.arvo.network/writing/josh-after-party-round</v>
      </c>
      <c r="AS39" s="76" t="s">
        <v>1722</v>
      </c>
      <c r="AT39" s="76"/>
      <c r="AU39" s="76"/>
      <c r="AV39" s="76"/>
      <c r="AW39" s="76"/>
      <c r="AX39" s="81" t="str">
        <f>HYPERLINK("https://t.co/tiSNrcW1Fk")</f>
        <v>https://t.co/tiSNrcW1Fk</v>
      </c>
      <c r="AY39" s="76" t="b">
        <v>1</v>
      </c>
      <c r="AZ39" s="76"/>
      <c r="BA39" s="76"/>
      <c r="BB39" s="76" t="b">
        <v>1</v>
      </c>
      <c r="BC39" s="76" t="b">
        <v>0</v>
      </c>
      <c r="BD39" s="76" t="b">
        <v>1</v>
      </c>
      <c r="BE39" s="76" t="b">
        <v>0</v>
      </c>
      <c r="BF39" s="76" t="b">
        <v>1</v>
      </c>
      <c r="BG39" s="76" t="b">
        <v>0</v>
      </c>
      <c r="BH39" s="76" t="b">
        <v>0</v>
      </c>
      <c r="BI39" s="81" t="str">
        <f>HYPERLINK("https://pbs.twimg.com/profile_banners/1173810743654932480/1696967977")</f>
        <v>https://pbs.twimg.com/profile_banners/1173810743654932480/1696967977</v>
      </c>
      <c r="BJ39" s="76"/>
      <c r="BK39" s="76" t="s">
        <v>330</v>
      </c>
      <c r="BL39" s="76" t="b">
        <v>0</v>
      </c>
      <c r="BM39" s="76"/>
      <c r="BN39" s="76" t="s">
        <v>65</v>
      </c>
      <c r="BO39" s="76" t="s">
        <v>332</v>
      </c>
      <c r="BP39" s="97" t="str">
        <f>HYPERLINK("https://twitter.com/joshqharris")</f>
        <v>https://twitter.com/joshqharris</v>
      </c>
      <c r="BQ39" s="45"/>
      <c r="BR39" s="45"/>
      <c r="BS39" s="45"/>
      <c r="BT39" s="45"/>
      <c r="BU39" s="45"/>
      <c r="BV39" s="45"/>
      <c r="BW39" s="45"/>
      <c r="BX39" s="45"/>
      <c r="BY39" s="45"/>
      <c r="BZ39" s="45"/>
      <c r="CA39" s="75" t="str">
        <f>REPLACE(INDEX(GroupVertices[Group],MATCH("~"&amp;Vertices[[#This Row],[Vertex]],GroupVertices[Vertex],0)),1,1,"")</f>
        <v>1</v>
      </c>
      <c r="CB39" s="2"/>
    </row>
    <row r="40" spans="1:80" ht="34.05" customHeight="1">
      <c r="A40" s="61" t="s">
        <v>673</v>
      </c>
      <c r="C40" s="62"/>
      <c r="D40" s="62"/>
      <c r="E40" s="63"/>
      <c r="F40" s="92"/>
      <c r="G40" s="86" t="str">
        <f>HYPERLINK("https://pbs.twimg.com/profile_images/1661161645857710081/6WtDIesg_normal.png")</f>
        <v>https://pbs.twimg.com/profile_images/1661161645857710081/6WtDIesg_normal.png</v>
      </c>
      <c r="H40" s="93"/>
      <c r="I40" s="66"/>
      <c r="J40" s="67"/>
      <c r="K40" s="94"/>
      <c r="L40" s="66" t="s">
        <v>1862</v>
      </c>
      <c r="M40" s="95"/>
      <c r="N40" s="71">
        <v>5207.96728515625</v>
      </c>
      <c r="O40" s="71">
        <v>3830.35546875</v>
      </c>
      <c r="P40" s="72"/>
      <c r="Q40" s="73"/>
      <c r="R40" s="73"/>
      <c r="S40" s="96"/>
      <c r="T40" s="45">
        <v>1</v>
      </c>
      <c r="U40" s="45">
        <v>0</v>
      </c>
      <c r="V40" s="46">
        <v>0</v>
      </c>
      <c r="W40" s="46">
        <v>0.41555</v>
      </c>
      <c r="X40" s="46">
        <v>0.065898</v>
      </c>
      <c r="Y40" s="46">
        <v>0.005556</v>
      </c>
      <c r="Z40" s="46">
        <v>0</v>
      </c>
      <c r="AA40" s="46">
        <v>0</v>
      </c>
      <c r="AB40" s="68">
        <v>40</v>
      </c>
      <c r="AC40" s="68"/>
      <c r="AD40" s="69"/>
      <c r="AE40" s="76" t="s">
        <v>948</v>
      </c>
      <c r="AF40" s="80" t="s">
        <v>1403</v>
      </c>
      <c r="AG40" s="76">
        <v>1815679</v>
      </c>
      <c r="AH40" s="76">
        <v>26</v>
      </c>
      <c r="AI40" s="76">
        <v>20152</v>
      </c>
      <c r="AJ40" s="76">
        <v>17310</v>
      </c>
      <c r="AK40" s="76">
        <v>7482</v>
      </c>
      <c r="AL40" s="76">
        <v>2203</v>
      </c>
      <c r="AM40" s="76" t="b">
        <v>0</v>
      </c>
      <c r="AN40" s="78">
        <v>39482.76528935185</v>
      </c>
      <c r="AO40" s="76" t="s">
        <v>1516</v>
      </c>
      <c r="AP40" s="76" t="s">
        <v>1595</v>
      </c>
      <c r="AQ40" s="81" t="str">
        <f>HYPERLINK("https://t.co/1Ccsai5CQI")</f>
        <v>https://t.co/1Ccsai5CQI</v>
      </c>
      <c r="AR40" s="81" t="str">
        <f>HYPERLINK("http://www.linkedin.com")</f>
        <v>http://www.linkedin.com</v>
      </c>
      <c r="AS40" s="76" t="s">
        <v>234</v>
      </c>
      <c r="AT40" s="76"/>
      <c r="AU40" s="76"/>
      <c r="AV40" s="76"/>
      <c r="AW40" s="76">
        <v>1.66075271927421E+18</v>
      </c>
      <c r="AX40" s="81" t="str">
        <f>HYPERLINK("https://t.co/1Ccsai5CQI")</f>
        <v>https://t.co/1Ccsai5CQI</v>
      </c>
      <c r="AY40" s="76" t="b">
        <v>1</v>
      </c>
      <c r="AZ40" s="76"/>
      <c r="BA40" s="76"/>
      <c r="BB40" s="76" t="b">
        <v>0</v>
      </c>
      <c r="BC40" s="76" t="b">
        <v>1</v>
      </c>
      <c r="BD40" s="76" t="b">
        <v>0</v>
      </c>
      <c r="BE40" s="76" t="b">
        <v>0</v>
      </c>
      <c r="BF40" s="76" t="b">
        <v>1</v>
      </c>
      <c r="BG40" s="76" t="b">
        <v>0</v>
      </c>
      <c r="BH40" s="76" t="b">
        <v>0</v>
      </c>
      <c r="BI40" s="81" t="str">
        <f>HYPERLINK("https://pbs.twimg.com/profile_banners/13058772/1684890286")</f>
        <v>https://pbs.twimg.com/profile_banners/13058772/1684890286</v>
      </c>
      <c r="BJ40" s="76"/>
      <c r="BK40" s="76" t="s">
        <v>331</v>
      </c>
      <c r="BL40" s="76" t="b">
        <v>0</v>
      </c>
      <c r="BM40" s="76"/>
      <c r="BN40" s="76" t="s">
        <v>65</v>
      </c>
      <c r="BO40" s="76" t="s">
        <v>332</v>
      </c>
      <c r="BP40" s="97" t="str">
        <f>HYPERLINK("https://twitter.com/linkedin")</f>
        <v>https://twitter.com/linkedin</v>
      </c>
      <c r="BQ40" s="45"/>
      <c r="BR40" s="45"/>
      <c r="BS40" s="45"/>
      <c r="BT40" s="45"/>
      <c r="BU40" s="45"/>
      <c r="BV40" s="45"/>
      <c r="BW40" s="45"/>
      <c r="BX40" s="45"/>
      <c r="BY40" s="45"/>
      <c r="BZ40" s="45"/>
      <c r="CA40" s="75" t="str">
        <f>REPLACE(INDEX(GroupVertices[Group],MATCH("~"&amp;Vertices[[#This Row],[Vertex]],GroupVertices[Vertex],0)),1,1,"")</f>
        <v>1</v>
      </c>
      <c r="CB40" s="2"/>
    </row>
    <row r="41" spans="1:80" ht="34.05" customHeight="1">
      <c r="A41" s="61" t="s">
        <v>674</v>
      </c>
      <c r="C41" s="62"/>
      <c r="D41" s="62"/>
      <c r="E41" s="63"/>
      <c r="F41" s="92"/>
      <c r="G41" s="86" t="str">
        <f>HYPERLINK("https://pbs.twimg.com/profile_images/1374320555281764355/9IhOv5bg_normal.jpg")</f>
        <v>https://pbs.twimg.com/profile_images/1374320555281764355/9IhOv5bg_normal.jpg</v>
      </c>
      <c r="H41" s="93"/>
      <c r="I41" s="66"/>
      <c r="J41" s="67"/>
      <c r="K41" s="94"/>
      <c r="L41" s="66" t="s">
        <v>1863</v>
      </c>
      <c r="M41" s="95"/>
      <c r="N41" s="71">
        <v>5076.51513671875</v>
      </c>
      <c r="O41" s="71">
        <v>6190.70947265625</v>
      </c>
      <c r="P41" s="72"/>
      <c r="Q41" s="73"/>
      <c r="R41" s="73"/>
      <c r="S41" s="96"/>
      <c r="T41" s="45">
        <v>1</v>
      </c>
      <c r="U41" s="45">
        <v>0</v>
      </c>
      <c r="V41" s="46">
        <v>0</v>
      </c>
      <c r="W41" s="46">
        <v>0.41555</v>
      </c>
      <c r="X41" s="46">
        <v>0.065898</v>
      </c>
      <c r="Y41" s="46">
        <v>0.005556</v>
      </c>
      <c r="Z41" s="46">
        <v>0</v>
      </c>
      <c r="AA41" s="46">
        <v>0</v>
      </c>
      <c r="AB41" s="68">
        <v>41</v>
      </c>
      <c r="AC41" s="68"/>
      <c r="AD41" s="69"/>
      <c r="AE41" s="76" t="s">
        <v>1276</v>
      </c>
      <c r="AF41" s="80" t="s">
        <v>1404</v>
      </c>
      <c r="AG41" s="76">
        <v>40908</v>
      </c>
      <c r="AH41" s="76">
        <v>2370</v>
      </c>
      <c r="AI41" s="76">
        <v>65632</v>
      </c>
      <c r="AJ41" s="76">
        <v>1102</v>
      </c>
      <c r="AK41" s="76">
        <v>18706</v>
      </c>
      <c r="AL41" s="76">
        <v>2086</v>
      </c>
      <c r="AM41" s="76" t="b">
        <v>0</v>
      </c>
      <c r="AN41" s="78">
        <v>39409.76527777778</v>
      </c>
      <c r="AO41" s="76" t="s">
        <v>314</v>
      </c>
      <c r="AP41" s="76" t="s">
        <v>1596</v>
      </c>
      <c r="AQ41" s="81" t="str">
        <f>HYPERLINK("https://t.co/ACenwMmxIN")</f>
        <v>https://t.co/ACenwMmxIN</v>
      </c>
      <c r="AR41" s="81" t="str">
        <f>HYPERLINK("http://www.shellypalmer.com")</f>
        <v>http://www.shellypalmer.com</v>
      </c>
      <c r="AS41" s="76" t="s">
        <v>1723</v>
      </c>
      <c r="AT41" s="76"/>
      <c r="AU41" s="76"/>
      <c r="AV41" s="76"/>
      <c r="AW41" s="76"/>
      <c r="AX41" s="81" t="str">
        <f>HYPERLINK("https://t.co/ACenwMmxIN")</f>
        <v>https://t.co/ACenwMmxIN</v>
      </c>
      <c r="AY41" s="76" t="b">
        <v>1</v>
      </c>
      <c r="AZ41" s="76"/>
      <c r="BA41" s="76"/>
      <c r="BB41" s="76" t="b">
        <v>1</v>
      </c>
      <c r="BC41" s="76" t="b">
        <v>1</v>
      </c>
      <c r="BD41" s="76" t="b">
        <v>0</v>
      </c>
      <c r="BE41" s="76" t="b">
        <v>0</v>
      </c>
      <c r="BF41" s="76" t="b">
        <v>1</v>
      </c>
      <c r="BG41" s="76" t="b">
        <v>0</v>
      </c>
      <c r="BH41" s="76" t="b">
        <v>0</v>
      </c>
      <c r="BI41" s="81" t="str">
        <f>HYPERLINK("https://pbs.twimg.com/profile_banners/10498942/1683659382")</f>
        <v>https://pbs.twimg.com/profile_banners/10498942/1683659382</v>
      </c>
      <c r="BJ41" s="76"/>
      <c r="BK41" s="76" t="s">
        <v>330</v>
      </c>
      <c r="BL41" s="76" t="b">
        <v>0</v>
      </c>
      <c r="BM41" s="76"/>
      <c r="BN41" s="76" t="s">
        <v>65</v>
      </c>
      <c r="BO41" s="76" t="s">
        <v>332</v>
      </c>
      <c r="BP41" s="97" t="str">
        <f>HYPERLINK("https://twitter.com/shellypalmer")</f>
        <v>https://twitter.com/shellypalmer</v>
      </c>
      <c r="BQ41" s="45"/>
      <c r="BR41" s="45"/>
      <c r="BS41" s="45"/>
      <c r="BT41" s="45"/>
      <c r="BU41" s="45"/>
      <c r="BV41" s="45"/>
      <c r="BW41" s="45"/>
      <c r="BX41" s="45"/>
      <c r="BY41" s="45"/>
      <c r="BZ41" s="45"/>
      <c r="CA41" s="75" t="str">
        <f>REPLACE(INDEX(GroupVertices[Group],MATCH("~"&amp;Vertices[[#This Row],[Vertex]],GroupVertices[Vertex],0)),1,1,"")</f>
        <v>1</v>
      </c>
      <c r="CB41" s="2"/>
    </row>
    <row r="42" spans="1:80" ht="34.05" customHeight="1">
      <c r="A42" s="61" t="s">
        <v>675</v>
      </c>
      <c r="C42" s="62"/>
      <c r="D42" s="62"/>
      <c r="E42" s="63"/>
      <c r="F42" s="92"/>
      <c r="G42" s="86" t="str">
        <f>HYPERLINK("https://pbs.twimg.com/profile_images/1468882488931979264/513hbDvk_normal.jpg")</f>
        <v>https://pbs.twimg.com/profile_images/1468882488931979264/513hbDvk_normal.jpg</v>
      </c>
      <c r="H42" s="93"/>
      <c r="I42" s="66"/>
      <c r="J42" s="67"/>
      <c r="K42" s="94"/>
      <c r="L42" s="66" t="s">
        <v>1864</v>
      </c>
      <c r="M42" s="95"/>
      <c r="N42" s="71">
        <v>5527.80712890625</v>
      </c>
      <c r="O42" s="71">
        <v>7218.2109375</v>
      </c>
      <c r="P42" s="72"/>
      <c r="Q42" s="73"/>
      <c r="R42" s="73"/>
      <c r="S42" s="96"/>
      <c r="T42" s="45">
        <v>1</v>
      </c>
      <c r="U42" s="45">
        <v>0</v>
      </c>
      <c r="V42" s="46">
        <v>0</v>
      </c>
      <c r="W42" s="46">
        <v>0.41555</v>
      </c>
      <c r="X42" s="46">
        <v>0.065898</v>
      </c>
      <c r="Y42" s="46">
        <v>0.005556</v>
      </c>
      <c r="Z42" s="46">
        <v>0</v>
      </c>
      <c r="AA42" s="46">
        <v>0</v>
      </c>
      <c r="AB42" s="68">
        <v>42</v>
      </c>
      <c r="AC42" s="68"/>
      <c r="AD42" s="69"/>
      <c r="AE42" s="76" t="s">
        <v>1277</v>
      </c>
      <c r="AF42" s="80" t="s">
        <v>1405</v>
      </c>
      <c r="AG42" s="76">
        <v>279393</v>
      </c>
      <c r="AH42" s="76">
        <v>969</v>
      </c>
      <c r="AI42" s="76">
        <v>134159</v>
      </c>
      <c r="AJ42" s="76">
        <v>3190</v>
      </c>
      <c r="AK42" s="76">
        <v>34597</v>
      </c>
      <c r="AL42" s="76">
        <v>42302</v>
      </c>
      <c r="AM42" s="76" t="b">
        <v>0</v>
      </c>
      <c r="AN42" s="78">
        <v>39636.132106481484</v>
      </c>
      <c r="AO42" s="76" t="s">
        <v>291</v>
      </c>
      <c r="AP42" s="76" t="s">
        <v>1597</v>
      </c>
      <c r="AQ42" s="81" t="str">
        <f>HYPERLINK("https://t.co/d1KgBTOMh2")</f>
        <v>https://t.co/d1KgBTOMh2</v>
      </c>
      <c r="AR42" s="81" t="str">
        <f>HYPERLINK("https://yourstory.com/")</f>
        <v>https://yourstory.com/</v>
      </c>
      <c r="AS42" s="76" t="s">
        <v>868</v>
      </c>
      <c r="AT42" s="76"/>
      <c r="AU42" s="76"/>
      <c r="AV42" s="76"/>
      <c r="AW42" s="76">
        <v>1.73307140125774E+18</v>
      </c>
      <c r="AX42" s="81" t="str">
        <f>HYPERLINK("https://t.co/d1KgBTOMh2")</f>
        <v>https://t.co/d1KgBTOMh2</v>
      </c>
      <c r="AY42" s="76" t="b">
        <v>1</v>
      </c>
      <c r="AZ42" s="76"/>
      <c r="BA42" s="76"/>
      <c r="BB42" s="76" t="b">
        <v>1</v>
      </c>
      <c r="BC42" s="76" t="b">
        <v>1</v>
      </c>
      <c r="BD42" s="76" t="b">
        <v>0</v>
      </c>
      <c r="BE42" s="76" t="b">
        <v>0</v>
      </c>
      <c r="BF42" s="76" t="b">
        <v>1</v>
      </c>
      <c r="BG42" s="76" t="b">
        <v>0</v>
      </c>
      <c r="BH42" s="76" t="b">
        <v>0</v>
      </c>
      <c r="BI42" s="81" t="str">
        <f>HYPERLINK("https://pbs.twimg.com/profile_banners/15338256/1638367160")</f>
        <v>https://pbs.twimg.com/profile_banners/15338256/1638367160</v>
      </c>
      <c r="BJ42" s="76"/>
      <c r="BK42" s="76" t="s">
        <v>330</v>
      </c>
      <c r="BL42" s="76" t="b">
        <v>0</v>
      </c>
      <c r="BM42" s="76"/>
      <c r="BN42" s="76" t="s">
        <v>65</v>
      </c>
      <c r="BO42" s="76" t="s">
        <v>332</v>
      </c>
      <c r="BP42" s="97" t="str">
        <f>HYPERLINK("https://twitter.com/yourstoryco")</f>
        <v>https://twitter.com/yourstoryco</v>
      </c>
      <c r="BQ42" s="45"/>
      <c r="BR42" s="45"/>
      <c r="BS42" s="45"/>
      <c r="BT42" s="45"/>
      <c r="BU42" s="45"/>
      <c r="BV42" s="45"/>
      <c r="BW42" s="45"/>
      <c r="BX42" s="45"/>
      <c r="BY42" s="45"/>
      <c r="BZ42" s="45"/>
      <c r="CA42" s="75" t="str">
        <f>REPLACE(INDEX(GroupVertices[Group],MATCH("~"&amp;Vertices[[#This Row],[Vertex]],GroupVertices[Vertex],0)),1,1,"")</f>
        <v>1</v>
      </c>
      <c r="CB42" s="2"/>
    </row>
    <row r="43" spans="1:80" ht="34.05" customHeight="1">
      <c r="A43" s="61" t="s">
        <v>676</v>
      </c>
      <c r="C43" s="62"/>
      <c r="D43" s="62"/>
      <c r="E43" s="63"/>
      <c r="F43" s="92"/>
      <c r="G43" s="86" t="str">
        <f>HYPERLINK("https://pbs.twimg.com/profile_images/1605279612216348672/PCYJMyaB_normal.png")</f>
        <v>https://pbs.twimg.com/profile_images/1605279612216348672/PCYJMyaB_normal.png</v>
      </c>
      <c r="H43" s="93"/>
      <c r="I43" s="66"/>
      <c r="J43" s="67"/>
      <c r="K43" s="94"/>
      <c r="L43" s="66" t="s">
        <v>1865</v>
      </c>
      <c r="M43" s="95"/>
      <c r="N43" s="71">
        <v>4806.00537109375</v>
      </c>
      <c r="O43" s="71">
        <v>6601.09521484375</v>
      </c>
      <c r="P43" s="72"/>
      <c r="Q43" s="73"/>
      <c r="R43" s="73"/>
      <c r="S43" s="96"/>
      <c r="T43" s="45">
        <v>1</v>
      </c>
      <c r="U43" s="45">
        <v>0</v>
      </c>
      <c r="V43" s="46">
        <v>0</v>
      </c>
      <c r="W43" s="46">
        <v>0.41555</v>
      </c>
      <c r="X43" s="46">
        <v>0.065898</v>
      </c>
      <c r="Y43" s="46">
        <v>0.005556</v>
      </c>
      <c r="Z43" s="46">
        <v>0</v>
      </c>
      <c r="AA43" s="46">
        <v>0</v>
      </c>
      <c r="AB43" s="68">
        <v>43</v>
      </c>
      <c r="AC43" s="68"/>
      <c r="AD43" s="69"/>
      <c r="AE43" s="76" t="s">
        <v>1278</v>
      </c>
      <c r="AF43" s="80" t="s">
        <v>1406</v>
      </c>
      <c r="AG43" s="76">
        <v>1043732</v>
      </c>
      <c r="AH43" s="76">
        <v>924</v>
      </c>
      <c r="AI43" s="76">
        <v>12725</v>
      </c>
      <c r="AJ43" s="76">
        <v>4306</v>
      </c>
      <c r="AK43" s="76">
        <v>11364</v>
      </c>
      <c r="AL43" s="76">
        <v>2419</v>
      </c>
      <c r="AM43" s="76" t="b">
        <v>0</v>
      </c>
      <c r="AN43" s="78">
        <v>39912.69880787037</v>
      </c>
      <c r="AO43" s="76"/>
      <c r="AP43" s="76" t="s">
        <v>1598</v>
      </c>
      <c r="AQ43" s="81" t="str">
        <f>HYPERLINK("https://t.co/Ff8bpMmra2")</f>
        <v>https://t.co/Ff8bpMmra2</v>
      </c>
      <c r="AR43" s="81" t="str">
        <f>HYPERLINK("https://www.paypal.com/us/home")</f>
        <v>https://www.paypal.com/us/home</v>
      </c>
      <c r="AS43" s="76" t="s">
        <v>1724</v>
      </c>
      <c r="AT43" s="76"/>
      <c r="AU43" s="76"/>
      <c r="AV43" s="76"/>
      <c r="AW43" s="76"/>
      <c r="AX43" s="81" t="str">
        <f>HYPERLINK("https://t.co/Ff8bpMmra2")</f>
        <v>https://t.co/Ff8bpMmra2</v>
      </c>
      <c r="AY43" s="76" t="b">
        <v>0</v>
      </c>
      <c r="AZ43" s="76"/>
      <c r="BA43" s="76"/>
      <c r="BB43" s="76" t="b">
        <v>1</v>
      </c>
      <c r="BC43" s="76" t="b">
        <v>1</v>
      </c>
      <c r="BD43" s="76" t="b">
        <v>0</v>
      </c>
      <c r="BE43" s="76" t="b">
        <v>0</v>
      </c>
      <c r="BF43" s="76" t="b">
        <v>1</v>
      </c>
      <c r="BG43" s="76" t="b">
        <v>0</v>
      </c>
      <c r="BH43" s="76" t="b">
        <v>0</v>
      </c>
      <c r="BI43" s="81" t="str">
        <f>HYPERLINK("https://pbs.twimg.com/profile_banners/30018058/1657842777")</f>
        <v>https://pbs.twimg.com/profile_banners/30018058/1657842777</v>
      </c>
      <c r="BJ43" s="76"/>
      <c r="BK43" s="76" t="s">
        <v>330</v>
      </c>
      <c r="BL43" s="76" t="b">
        <v>0</v>
      </c>
      <c r="BM43" s="76"/>
      <c r="BN43" s="76" t="s">
        <v>65</v>
      </c>
      <c r="BO43" s="76" t="s">
        <v>332</v>
      </c>
      <c r="BP43" s="97" t="str">
        <f>HYPERLINK("https://twitter.com/paypal")</f>
        <v>https://twitter.com/paypal</v>
      </c>
      <c r="BQ43" s="45"/>
      <c r="BR43" s="45"/>
      <c r="BS43" s="45"/>
      <c r="BT43" s="45"/>
      <c r="BU43" s="45"/>
      <c r="BV43" s="45"/>
      <c r="BW43" s="45"/>
      <c r="BX43" s="45"/>
      <c r="BY43" s="45"/>
      <c r="BZ43" s="45"/>
      <c r="CA43" s="75" t="str">
        <f>REPLACE(INDEX(GroupVertices[Group],MATCH("~"&amp;Vertices[[#This Row],[Vertex]],GroupVertices[Vertex],0)),1,1,"")</f>
        <v>1</v>
      </c>
      <c r="CB43" s="2"/>
    </row>
    <row r="44" spans="1:80" ht="34.05" customHeight="1">
      <c r="A44" s="61" t="s">
        <v>677</v>
      </c>
      <c r="C44" s="62"/>
      <c r="D44" s="62"/>
      <c r="E44" s="63"/>
      <c r="F44" s="92"/>
      <c r="G44" s="86" t="str">
        <f>HYPERLINK("https://abs.twimg.com/sticky/default_profile_images/default_profile_normal.png")</f>
        <v>https://abs.twimg.com/sticky/default_profile_images/default_profile_normal.png</v>
      </c>
      <c r="H44" s="93"/>
      <c r="I44" s="66"/>
      <c r="J44" s="67"/>
      <c r="K44" s="94"/>
      <c r="L44" s="66" t="s">
        <v>1866</v>
      </c>
      <c r="M44" s="95"/>
      <c r="N44" s="71">
        <v>6374.525390625</v>
      </c>
      <c r="O44" s="71">
        <v>6160.18212890625</v>
      </c>
      <c r="P44" s="72"/>
      <c r="Q44" s="73"/>
      <c r="R44" s="73"/>
      <c r="S44" s="96"/>
      <c r="T44" s="45">
        <v>1</v>
      </c>
      <c r="U44" s="45">
        <v>0</v>
      </c>
      <c r="V44" s="46">
        <v>0</v>
      </c>
      <c r="W44" s="46">
        <v>0.41555</v>
      </c>
      <c r="X44" s="46">
        <v>0.065898</v>
      </c>
      <c r="Y44" s="46">
        <v>0.005556</v>
      </c>
      <c r="Z44" s="46">
        <v>0</v>
      </c>
      <c r="AA44" s="46">
        <v>0</v>
      </c>
      <c r="AB44" s="68">
        <v>44</v>
      </c>
      <c r="AC44" s="68"/>
      <c r="AD44" s="69"/>
      <c r="AE44" s="76" t="s">
        <v>677</v>
      </c>
      <c r="AF44" s="80" t="s">
        <v>1407</v>
      </c>
      <c r="AG44" s="76">
        <v>945</v>
      </c>
      <c r="AH44" s="76">
        <v>0</v>
      </c>
      <c r="AI44" s="76">
        <v>2</v>
      </c>
      <c r="AJ44" s="76">
        <v>3</v>
      </c>
      <c r="AK44" s="76">
        <v>0</v>
      </c>
      <c r="AL44" s="76">
        <v>0</v>
      </c>
      <c r="AM44" s="76" t="b">
        <v>0</v>
      </c>
      <c r="AN44" s="78">
        <v>39743.92533564815</v>
      </c>
      <c r="AO44" s="76"/>
      <c r="AP44" s="76"/>
      <c r="AQ44" s="76"/>
      <c r="AR44" s="76"/>
      <c r="AS44" s="76"/>
      <c r="AT44" s="76"/>
      <c r="AU44" s="76"/>
      <c r="AV44" s="76"/>
      <c r="AW44" s="76"/>
      <c r="AX44" s="76"/>
      <c r="AY44" s="76" t="b">
        <v>0</v>
      </c>
      <c r="AZ44" s="76"/>
      <c r="BA44" s="76"/>
      <c r="BB44" s="76" t="b">
        <v>0</v>
      </c>
      <c r="BC44" s="76" t="b">
        <v>1</v>
      </c>
      <c r="BD44" s="76" t="b">
        <v>1</v>
      </c>
      <c r="BE44" s="76" t="b">
        <v>1</v>
      </c>
      <c r="BF44" s="76" t="b">
        <v>0</v>
      </c>
      <c r="BG44" s="76" t="b">
        <v>0</v>
      </c>
      <c r="BH44" s="76" t="b">
        <v>0</v>
      </c>
      <c r="BI44" s="76"/>
      <c r="BJ44" s="76"/>
      <c r="BK44" s="76" t="s">
        <v>330</v>
      </c>
      <c r="BL44" s="76" t="b">
        <v>0</v>
      </c>
      <c r="BM44" s="76"/>
      <c r="BN44" s="76" t="s">
        <v>65</v>
      </c>
      <c r="BO44" s="76" t="s">
        <v>332</v>
      </c>
      <c r="BP44" s="97" t="str">
        <f>HYPERLINK("https://twitter.com/eenadu")</f>
        <v>https://twitter.com/eenadu</v>
      </c>
      <c r="BQ44" s="45"/>
      <c r="BR44" s="45"/>
      <c r="BS44" s="45"/>
      <c r="BT44" s="45"/>
      <c r="BU44" s="45"/>
      <c r="BV44" s="45"/>
      <c r="BW44" s="45"/>
      <c r="BX44" s="45"/>
      <c r="BY44" s="45"/>
      <c r="BZ44" s="45"/>
      <c r="CA44" s="75" t="str">
        <f>REPLACE(INDEX(GroupVertices[Group],MATCH("~"&amp;Vertices[[#This Row],[Vertex]],GroupVertices[Vertex],0)),1,1,"")</f>
        <v>1</v>
      </c>
      <c r="CB44" s="2"/>
    </row>
    <row r="45" spans="1:80" ht="34.05" customHeight="1">
      <c r="A45" s="61" t="s">
        <v>678</v>
      </c>
      <c r="C45" s="62"/>
      <c r="D45" s="62"/>
      <c r="E45" s="63"/>
      <c r="F45" s="92"/>
      <c r="G45" s="86" t="str">
        <f>HYPERLINK("https://pbs.twimg.com/profile_images/1427985325972885511/53FnFsIi_normal.jpg")</f>
        <v>https://pbs.twimg.com/profile_images/1427985325972885511/53FnFsIi_normal.jpg</v>
      </c>
      <c r="H45" s="93"/>
      <c r="I45" s="66"/>
      <c r="J45" s="67"/>
      <c r="K45" s="94"/>
      <c r="L45" s="66" t="s">
        <v>1867</v>
      </c>
      <c r="M45" s="95"/>
      <c r="N45" s="71">
        <v>4931.91845703125</v>
      </c>
      <c r="O45" s="71">
        <v>2954.885009765625</v>
      </c>
      <c r="P45" s="72"/>
      <c r="Q45" s="73"/>
      <c r="R45" s="73"/>
      <c r="S45" s="96"/>
      <c r="T45" s="45">
        <v>1</v>
      </c>
      <c r="U45" s="45">
        <v>0</v>
      </c>
      <c r="V45" s="46">
        <v>0</v>
      </c>
      <c r="W45" s="46">
        <v>0.41555</v>
      </c>
      <c r="X45" s="46">
        <v>0.065898</v>
      </c>
      <c r="Y45" s="46">
        <v>0.005556</v>
      </c>
      <c r="Z45" s="46">
        <v>0</v>
      </c>
      <c r="AA45" s="46">
        <v>0</v>
      </c>
      <c r="AB45" s="68">
        <v>45</v>
      </c>
      <c r="AC45" s="68"/>
      <c r="AD45" s="69"/>
      <c r="AE45" s="76" t="s">
        <v>1279</v>
      </c>
      <c r="AF45" s="80" t="s">
        <v>1408</v>
      </c>
      <c r="AG45" s="76">
        <v>2240405</v>
      </c>
      <c r="AH45" s="76">
        <v>347</v>
      </c>
      <c r="AI45" s="76">
        <v>11582</v>
      </c>
      <c r="AJ45" s="76">
        <v>14750</v>
      </c>
      <c r="AK45" s="76">
        <v>6974</v>
      </c>
      <c r="AL45" s="76">
        <v>3327</v>
      </c>
      <c r="AM45" s="76" t="b">
        <v>0</v>
      </c>
      <c r="AN45" s="78">
        <v>40198.886041666665</v>
      </c>
      <c r="AO45" s="76" t="s">
        <v>327</v>
      </c>
      <c r="AP45" s="76" t="s">
        <v>1599</v>
      </c>
      <c r="AQ45" s="81" t="str">
        <f>HYPERLINK("https://t.co/cLFak61FrF")</f>
        <v>https://t.co/cLFak61FrF</v>
      </c>
      <c r="AR45" s="81" t="str">
        <f>HYPERLINK("https://www.pinterest.com/")</f>
        <v>https://www.pinterest.com/</v>
      </c>
      <c r="AS45" s="76" t="s">
        <v>870</v>
      </c>
      <c r="AT45" s="76"/>
      <c r="AU45" s="76"/>
      <c r="AV45" s="76"/>
      <c r="AW45" s="76"/>
      <c r="AX45" s="81" t="str">
        <f>HYPERLINK("https://t.co/cLFak61FrF")</f>
        <v>https://t.co/cLFak61FrF</v>
      </c>
      <c r="AY45" s="76" t="b">
        <v>1</v>
      </c>
      <c r="AZ45" s="76"/>
      <c r="BA45" s="76"/>
      <c r="BB45" s="76" t="b">
        <v>0</v>
      </c>
      <c r="BC45" s="76" t="b">
        <v>0</v>
      </c>
      <c r="BD45" s="76" t="b">
        <v>0</v>
      </c>
      <c r="BE45" s="76" t="b">
        <v>0</v>
      </c>
      <c r="BF45" s="76" t="b">
        <v>1</v>
      </c>
      <c r="BG45" s="76" t="b">
        <v>0</v>
      </c>
      <c r="BH45" s="76" t="b">
        <v>0</v>
      </c>
      <c r="BI45" s="81" t="str">
        <f>HYPERLINK("https://pbs.twimg.com/profile_banners/106837463/1689189077")</f>
        <v>https://pbs.twimg.com/profile_banners/106837463/1689189077</v>
      </c>
      <c r="BJ45" s="76"/>
      <c r="BK45" s="76" t="s">
        <v>331</v>
      </c>
      <c r="BL45" s="76" t="b">
        <v>0</v>
      </c>
      <c r="BM45" s="76"/>
      <c r="BN45" s="76" t="s">
        <v>65</v>
      </c>
      <c r="BO45" s="76" t="s">
        <v>332</v>
      </c>
      <c r="BP45" s="97" t="str">
        <f>HYPERLINK("https://twitter.com/pinterest")</f>
        <v>https://twitter.com/pinterest</v>
      </c>
      <c r="BQ45" s="45"/>
      <c r="BR45" s="45"/>
      <c r="BS45" s="45"/>
      <c r="BT45" s="45"/>
      <c r="BU45" s="45"/>
      <c r="BV45" s="45"/>
      <c r="BW45" s="45"/>
      <c r="BX45" s="45"/>
      <c r="BY45" s="45"/>
      <c r="BZ45" s="45"/>
      <c r="CA45" s="75" t="str">
        <f>REPLACE(INDEX(GroupVertices[Group],MATCH("~"&amp;Vertices[[#This Row],[Vertex]],GroupVertices[Vertex],0)),1,1,"")</f>
        <v>1</v>
      </c>
      <c r="CB45" s="2"/>
    </row>
    <row r="46" spans="1:80" ht="34.05" customHeight="1">
      <c r="A46" s="61" t="s">
        <v>394</v>
      </c>
      <c r="C46" s="62"/>
      <c r="D46" s="62"/>
      <c r="E46" s="63"/>
      <c r="F46" s="92"/>
      <c r="G46" s="86" t="str">
        <f>HYPERLINK("https://pbs.twimg.com/profile_images/1712413289555349504/sEZQqxJD_normal.jpg")</f>
        <v>https://pbs.twimg.com/profile_images/1712413289555349504/sEZQqxJD_normal.jpg</v>
      </c>
      <c r="H46" s="93"/>
      <c r="I46" s="66"/>
      <c r="J46" s="67"/>
      <c r="K46" s="94"/>
      <c r="L46" s="66" t="s">
        <v>438</v>
      </c>
      <c r="M46" s="95"/>
      <c r="N46" s="71">
        <v>5202.27783203125</v>
      </c>
      <c r="O46" s="71">
        <v>7271.185546875</v>
      </c>
      <c r="P46" s="72"/>
      <c r="Q46" s="73"/>
      <c r="R46" s="73"/>
      <c r="S46" s="96"/>
      <c r="T46" s="45">
        <v>1</v>
      </c>
      <c r="U46" s="45">
        <v>0</v>
      </c>
      <c r="V46" s="46">
        <v>0</v>
      </c>
      <c r="W46" s="46">
        <v>0.41555</v>
      </c>
      <c r="X46" s="46">
        <v>0.065898</v>
      </c>
      <c r="Y46" s="46">
        <v>0.005556</v>
      </c>
      <c r="Z46" s="46">
        <v>0</v>
      </c>
      <c r="AA46" s="46">
        <v>0</v>
      </c>
      <c r="AB46" s="68">
        <v>46</v>
      </c>
      <c r="AC46" s="68"/>
      <c r="AD46" s="69"/>
      <c r="AE46" s="76" t="s">
        <v>415</v>
      </c>
      <c r="AF46" s="80" t="s">
        <v>412</v>
      </c>
      <c r="AG46" s="76">
        <v>493874</v>
      </c>
      <c r="AH46" s="76">
        <v>232</v>
      </c>
      <c r="AI46" s="76">
        <v>78940</v>
      </c>
      <c r="AJ46" s="76">
        <v>288</v>
      </c>
      <c r="AK46" s="76">
        <v>27514</v>
      </c>
      <c r="AL46" s="76">
        <v>18367</v>
      </c>
      <c r="AM46" s="76" t="b">
        <v>0</v>
      </c>
      <c r="AN46" s="78">
        <v>41918.537673611114</v>
      </c>
      <c r="AO46" s="76" t="s">
        <v>319</v>
      </c>
      <c r="AP46" s="76" t="s">
        <v>429</v>
      </c>
      <c r="AQ46" s="81" t="str">
        <f>HYPERLINK("https://t.co/TXAzYa4pHs")</f>
        <v>https://t.co/TXAzYa4pHs</v>
      </c>
      <c r="AR46" s="81" t="str">
        <f>HYPERLINK("https://hyderabadpolice.gov.in")</f>
        <v>https://hyderabadpolice.gov.in</v>
      </c>
      <c r="AS46" s="76" t="s">
        <v>434</v>
      </c>
      <c r="AT46" s="76"/>
      <c r="AU46" s="76"/>
      <c r="AV46" s="76"/>
      <c r="AW46" s="76"/>
      <c r="AX46" s="81" t="str">
        <f>HYPERLINK("https://t.co/TXAzYa4pHs")</f>
        <v>https://t.co/TXAzYa4pHs</v>
      </c>
      <c r="AY46" s="76" t="b">
        <v>0</v>
      </c>
      <c r="AZ46" s="76"/>
      <c r="BA46" s="76" t="b">
        <v>1</v>
      </c>
      <c r="BB46" s="76" t="b">
        <v>1</v>
      </c>
      <c r="BC46" s="76" t="b">
        <v>0</v>
      </c>
      <c r="BD46" s="76" t="b">
        <v>0</v>
      </c>
      <c r="BE46" s="76" t="b">
        <v>0</v>
      </c>
      <c r="BF46" s="76" t="b">
        <v>1</v>
      </c>
      <c r="BG46" s="76" t="b">
        <v>0</v>
      </c>
      <c r="BH46" s="76" t="b">
        <v>0</v>
      </c>
      <c r="BI46" s="81" t="str">
        <f>HYPERLINK("https://pbs.twimg.com/profile_banners/2842306788/1698781670")</f>
        <v>https://pbs.twimg.com/profile_banners/2842306788/1698781670</v>
      </c>
      <c r="BJ46" s="76"/>
      <c r="BK46" s="76" t="s">
        <v>330</v>
      </c>
      <c r="BL46" s="76" t="b">
        <v>1</v>
      </c>
      <c r="BM46" s="76"/>
      <c r="BN46" s="76" t="s">
        <v>65</v>
      </c>
      <c r="BO46" s="76" t="s">
        <v>332</v>
      </c>
      <c r="BP46" s="97" t="str">
        <f>HYPERLINK("https://twitter.com/hydcitypolice")</f>
        <v>https://twitter.com/hydcitypolice</v>
      </c>
      <c r="BQ46" s="45"/>
      <c r="BR46" s="45"/>
      <c r="BS46" s="45"/>
      <c r="BT46" s="45"/>
      <c r="BU46" s="45"/>
      <c r="BV46" s="45"/>
      <c r="BW46" s="45"/>
      <c r="BX46" s="45"/>
      <c r="BY46" s="45"/>
      <c r="BZ46" s="45"/>
      <c r="CA46" s="75" t="str">
        <f>REPLACE(INDEX(GroupVertices[Group],MATCH("~"&amp;Vertices[[#This Row],[Vertex]],GroupVertices[Vertex],0)),1,1,"")</f>
        <v>1</v>
      </c>
      <c r="CB46" s="2"/>
    </row>
    <row r="47" spans="1:80" ht="34.05" customHeight="1">
      <c r="A47" s="61" t="s">
        <v>679</v>
      </c>
      <c r="C47" s="62"/>
      <c r="D47" s="62"/>
      <c r="E47" s="63"/>
      <c r="F47" s="92"/>
      <c r="G47" s="86" t="str">
        <f>HYPERLINK("https://pbs.twimg.com/profile_images/1596608610376847362/Rw-Rztm3_normal.jpg")</f>
        <v>https://pbs.twimg.com/profile_images/1596608610376847362/Rw-Rztm3_normal.jpg</v>
      </c>
      <c r="H47" s="93"/>
      <c r="I47" s="66"/>
      <c r="J47" s="67"/>
      <c r="K47" s="94"/>
      <c r="L47" s="66" t="s">
        <v>1868</v>
      </c>
      <c r="M47" s="95"/>
      <c r="N47" s="71">
        <v>4811.02783203125</v>
      </c>
      <c r="O47" s="71">
        <v>3374.327880859375</v>
      </c>
      <c r="P47" s="72"/>
      <c r="Q47" s="73"/>
      <c r="R47" s="73"/>
      <c r="S47" s="96"/>
      <c r="T47" s="45">
        <v>1</v>
      </c>
      <c r="U47" s="45">
        <v>0</v>
      </c>
      <c r="V47" s="46">
        <v>0</v>
      </c>
      <c r="W47" s="46">
        <v>0.41555</v>
      </c>
      <c r="X47" s="46">
        <v>0.065898</v>
      </c>
      <c r="Y47" s="46">
        <v>0.005556</v>
      </c>
      <c r="Z47" s="46">
        <v>0</v>
      </c>
      <c r="AA47" s="46">
        <v>0</v>
      </c>
      <c r="AB47" s="68">
        <v>47</v>
      </c>
      <c r="AC47" s="68"/>
      <c r="AD47" s="69"/>
      <c r="AE47" s="76" t="s">
        <v>1280</v>
      </c>
      <c r="AF47" s="80" t="s">
        <v>1216</v>
      </c>
      <c r="AG47" s="76">
        <v>4480</v>
      </c>
      <c r="AH47" s="76">
        <v>0</v>
      </c>
      <c r="AI47" s="76">
        <v>51797</v>
      </c>
      <c r="AJ47" s="76">
        <v>374</v>
      </c>
      <c r="AK47" s="76">
        <v>49873</v>
      </c>
      <c r="AL47" s="76">
        <v>7213</v>
      </c>
      <c r="AM47" s="76" t="b">
        <v>0</v>
      </c>
      <c r="AN47" s="78">
        <v>39666.567453703705</v>
      </c>
      <c r="AO47" s="76"/>
      <c r="AP47" s="76" t="s">
        <v>1600</v>
      </c>
      <c r="AQ47" s="76"/>
      <c r="AR47" s="76"/>
      <c r="AS47" s="76"/>
      <c r="AT47" s="76"/>
      <c r="AU47" s="76"/>
      <c r="AV47" s="76"/>
      <c r="AW47" s="76"/>
      <c r="AX47" s="76"/>
      <c r="AY47" s="76" t="b">
        <v>0</v>
      </c>
      <c r="AZ47" s="76"/>
      <c r="BA47" s="76"/>
      <c r="BB47" s="76" t="b">
        <v>0</v>
      </c>
      <c r="BC47" s="76" t="b">
        <v>0</v>
      </c>
      <c r="BD47" s="76" t="b">
        <v>0</v>
      </c>
      <c r="BE47" s="76" t="b">
        <v>0</v>
      </c>
      <c r="BF47" s="76" t="b">
        <v>1</v>
      </c>
      <c r="BG47" s="76" t="b">
        <v>0</v>
      </c>
      <c r="BH47" s="76" t="b">
        <v>0</v>
      </c>
      <c r="BI47" s="76"/>
      <c r="BJ47" s="76"/>
      <c r="BK47" s="76" t="s">
        <v>330</v>
      </c>
      <c r="BL47" s="76" t="b">
        <v>0</v>
      </c>
      <c r="BM47" s="76"/>
      <c r="BN47" s="76" t="s">
        <v>65</v>
      </c>
      <c r="BO47" s="76" t="s">
        <v>332</v>
      </c>
      <c r="BP47" s="97" t="str">
        <f>HYPERLINK("https://twitter.com/quiffboy")</f>
        <v>https://twitter.com/quiffboy</v>
      </c>
      <c r="BQ47" s="45"/>
      <c r="BR47" s="45"/>
      <c r="BS47" s="45"/>
      <c r="BT47" s="45"/>
      <c r="BU47" s="45"/>
      <c r="BV47" s="45"/>
      <c r="BW47" s="45"/>
      <c r="BX47" s="45"/>
      <c r="BY47" s="45"/>
      <c r="BZ47" s="45"/>
      <c r="CA47" s="75" t="str">
        <f>REPLACE(INDEX(GroupVertices[Group],MATCH("~"&amp;Vertices[[#This Row],[Vertex]],GroupVertices[Vertex],0)),1,1,"")</f>
        <v>1</v>
      </c>
      <c r="CB47" s="2"/>
    </row>
    <row r="48" spans="1:80" ht="34.05" customHeight="1">
      <c r="A48" s="61" t="s">
        <v>591</v>
      </c>
      <c r="C48" s="62"/>
      <c r="D48" s="62"/>
      <c r="E48" s="63"/>
      <c r="F48" s="92"/>
      <c r="G48" s="86" t="str">
        <f>HYPERLINK("https://pbs.twimg.com/profile_images/956110760505106432/16Pa3js-_normal.jpg")</f>
        <v>https://pbs.twimg.com/profile_images/956110760505106432/16Pa3js-_normal.jpg</v>
      </c>
      <c r="H48" s="93"/>
      <c r="I48" s="66"/>
      <c r="J48" s="67"/>
      <c r="K48" s="94"/>
      <c r="L48" s="66" t="s">
        <v>1869</v>
      </c>
      <c r="M48" s="95"/>
      <c r="N48" s="71">
        <v>4237.28173828125</v>
      </c>
      <c r="O48" s="71">
        <v>6403.5947265625</v>
      </c>
      <c r="P48" s="72"/>
      <c r="Q48" s="73"/>
      <c r="R48" s="73"/>
      <c r="S48" s="96"/>
      <c r="T48" s="45">
        <v>1</v>
      </c>
      <c r="U48" s="45">
        <v>1</v>
      </c>
      <c r="V48" s="46">
        <v>0</v>
      </c>
      <c r="W48" s="46">
        <v>0.41555</v>
      </c>
      <c r="X48" s="46">
        <v>0.065898</v>
      </c>
      <c r="Y48" s="46">
        <v>0.005556</v>
      </c>
      <c r="Z48" s="46">
        <v>0</v>
      </c>
      <c r="AA48" s="46">
        <v>1</v>
      </c>
      <c r="AB48" s="68">
        <v>48</v>
      </c>
      <c r="AC48" s="68"/>
      <c r="AD48" s="69"/>
      <c r="AE48" s="76" t="s">
        <v>1281</v>
      </c>
      <c r="AF48" s="80" t="s">
        <v>1217</v>
      </c>
      <c r="AG48" s="76">
        <v>126</v>
      </c>
      <c r="AH48" s="76">
        <v>318</v>
      </c>
      <c r="AI48" s="76">
        <v>738</v>
      </c>
      <c r="AJ48" s="76">
        <v>0</v>
      </c>
      <c r="AK48" s="76">
        <v>35</v>
      </c>
      <c r="AL48" s="76">
        <v>67</v>
      </c>
      <c r="AM48" s="76" t="b">
        <v>0</v>
      </c>
      <c r="AN48" s="78">
        <v>39882.652291666665</v>
      </c>
      <c r="AO48" s="76" t="s">
        <v>1517</v>
      </c>
      <c r="AP48" s="76" t="s">
        <v>1601</v>
      </c>
      <c r="AQ48" s="81" t="str">
        <f>HYPERLINK("https://t.co/sUgBA1HyzP")</f>
        <v>https://t.co/sUgBA1HyzP</v>
      </c>
      <c r="AR48" s="81" t="str">
        <f>HYPERLINK("http://facebook.com/oviedo.jc")</f>
        <v>http://facebook.com/oviedo.jc</v>
      </c>
      <c r="AS48" s="76" t="s">
        <v>1725</v>
      </c>
      <c r="AT48" s="76"/>
      <c r="AU48" s="76"/>
      <c r="AV48" s="76"/>
      <c r="AW48" s="76"/>
      <c r="AX48" s="81" t="str">
        <f>HYPERLINK("https://t.co/sUgBA1HyzP")</f>
        <v>https://t.co/sUgBA1HyzP</v>
      </c>
      <c r="AY48" s="76" t="b">
        <v>0</v>
      </c>
      <c r="AZ48" s="76" t="b">
        <v>1</v>
      </c>
      <c r="BA48" s="76"/>
      <c r="BB48" s="76" t="b">
        <v>1</v>
      </c>
      <c r="BC48" s="76" t="b">
        <v>1</v>
      </c>
      <c r="BD48" s="76" t="b">
        <v>0</v>
      </c>
      <c r="BE48" s="76" t="b">
        <v>0</v>
      </c>
      <c r="BF48" s="76" t="b">
        <v>0</v>
      </c>
      <c r="BG48" s="76" t="b">
        <v>0</v>
      </c>
      <c r="BH48" s="76" t="b">
        <v>0</v>
      </c>
      <c r="BI48" s="81" t="str">
        <f>HYPERLINK("https://pbs.twimg.com/profile_banners/23606131/1516789563")</f>
        <v>https://pbs.twimg.com/profile_banners/23606131/1516789563</v>
      </c>
      <c r="BJ48" s="76"/>
      <c r="BK48" s="76" t="s">
        <v>330</v>
      </c>
      <c r="BL48" s="76" t="b">
        <v>0</v>
      </c>
      <c r="BM48" s="76"/>
      <c r="BN48" s="76" t="s">
        <v>66</v>
      </c>
      <c r="BO48" s="76" t="s">
        <v>332</v>
      </c>
      <c r="BP48" s="97" t="str">
        <f>HYPERLINK("https://twitter.com/oviedojc")</f>
        <v>https://twitter.com/oviedojc</v>
      </c>
      <c r="BQ48" s="45"/>
      <c r="BR48" s="45"/>
      <c r="BS48" s="45"/>
      <c r="BT48" s="45"/>
      <c r="BU48" s="45"/>
      <c r="BV48" s="45"/>
      <c r="BW48" s="90" t="s">
        <v>2173</v>
      </c>
      <c r="BX48" s="90" t="s">
        <v>2173</v>
      </c>
      <c r="BY48" s="90" t="s">
        <v>2244</v>
      </c>
      <c r="BZ48" s="90" t="s">
        <v>2244</v>
      </c>
      <c r="CA48" s="75" t="str">
        <f>REPLACE(INDEX(GroupVertices[Group],MATCH("~"&amp;Vertices[[#This Row],[Vertex]],GroupVertices[Vertex],0)),1,1,"")</f>
        <v>1</v>
      </c>
      <c r="CB48" s="2"/>
    </row>
    <row r="49" spans="1:80" ht="34.05" customHeight="1">
      <c r="A49" s="61" t="s">
        <v>680</v>
      </c>
      <c r="C49" s="62"/>
      <c r="D49" s="62"/>
      <c r="E49" s="63"/>
      <c r="F49" s="92"/>
      <c r="G49" s="86" t="str">
        <f>HYPERLINK("https://pbs.twimg.com/profile_images/1674926582698242050/lSxXf3Me_normal.jpg")</f>
        <v>https://pbs.twimg.com/profile_images/1674926582698242050/lSxXf3Me_normal.jpg</v>
      </c>
      <c r="H49" s="93"/>
      <c r="I49" s="66"/>
      <c r="J49" s="67"/>
      <c r="K49" s="94"/>
      <c r="L49" s="66" t="s">
        <v>1870</v>
      </c>
      <c r="M49" s="95"/>
      <c r="N49" s="71">
        <v>5055.6640625</v>
      </c>
      <c r="O49" s="71">
        <v>2602.30419921875</v>
      </c>
      <c r="P49" s="72"/>
      <c r="Q49" s="73"/>
      <c r="R49" s="73"/>
      <c r="S49" s="96"/>
      <c r="T49" s="45">
        <v>1</v>
      </c>
      <c r="U49" s="45">
        <v>0</v>
      </c>
      <c r="V49" s="46">
        <v>0</v>
      </c>
      <c r="W49" s="46">
        <v>0.41555</v>
      </c>
      <c r="X49" s="46">
        <v>0.065898</v>
      </c>
      <c r="Y49" s="46">
        <v>0.005556</v>
      </c>
      <c r="Z49" s="46">
        <v>0</v>
      </c>
      <c r="AA49" s="46">
        <v>0</v>
      </c>
      <c r="AB49" s="68">
        <v>49</v>
      </c>
      <c r="AC49" s="68"/>
      <c r="AD49" s="69"/>
      <c r="AE49" s="76" t="s">
        <v>1282</v>
      </c>
      <c r="AF49" s="80" t="s">
        <v>1409</v>
      </c>
      <c r="AG49" s="76">
        <v>9119638</v>
      </c>
      <c r="AH49" s="76">
        <v>2656</v>
      </c>
      <c r="AI49" s="76">
        <v>527529</v>
      </c>
      <c r="AJ49" s="76">
        <v>112131</v>
      </c>
      <c r="AK49" s="76">
        <v>2095</v>
      </c>
      <c r="AL49" s="76">
        <v>288896</v>
      </c>
      <c r="AM49" s="76" t="b">
        <v>0</v>
      </c>
      <c r="AN49" s="78">
        <v>39153.06112268518</v>
      </c>
      <c r="AO49" s="76"/>
      <c r="AP49" s="76" t="s">
        <v>1602</v>
      </c>
      <c r="AQ49" s="81" t="str">
        <f>HYPERLINK("https://t.co/UHvY1cm4BL")</f>
        <v>https://t.co/UHvY1cm4BL</v>
      </c>
      <c r="AR49" s="81" t="str">
        <f>HYPERLINK("http://mashable.com")</f>
        <v>http://mashable.com</v>
      </c>
      <c r="AS49" s="76" t="s">
        <v>1726</v>
      </c>
      <c r="AT49" s="76"/>
      <c r="AU49" s="76"/>
      <c r="AV49" s="76"/>
      <c r="AW49" s="76"/>
      <c r="AX49" s="81" t="str">
        <f>HYPERLINK("https://t.co/UHvY1cm4BL")</f>
        <v>https://t.co/UHvY1cm4BL</v>
      </c>
      <c r="AY49" s="76" t="b">
        <v>1</v>
      </c>
      <c r="AZ49" s="76"/>
      <c r="BA49" s="76"/>
      <c r="BB49" s="76" t="b">
        <v>0</v>
      </c>
      <c r="BC49" s="76" t="b">
        <v>1</v>
      </c>
      <c r="BD49" s="76" t="b">
        <v>0</v>
      </c>
      <c r="BE49" s="76" t="b">
        <v>0</v>
      </c>
      <c r="BF49" s="76" t="b">
        <v>1</v>
      </c>
      <c r="BG49" s="76" t="b">
        <v>0</v>
      </c>
      <c r="BH49" s="76" t="b">
        <v>0</v>
      </c>
      <c r="BI49" s="81" t="str">
        <f>HYPERLINK("https://pbs.twimg.com/profile_banners/972651/1624464401")</f>
        <v>https://pbs.twimg.com/profile_banners/972651/1624464401</v>
      </c>
      <c r="BJ49" s="76"/>
      <c r="BK49" s="76" t="s">
        <v>330</v>
      </c>
      <c r="BL49" s="76" t="b">
        <v>0</v>
      </c>
      <c r="BM49" s="76"/>
      <c r="BN49" s="76" t="s">
        <v>65</v>
      </c>
      <c r="BO49" s="76" t="s">
        <v>332</v>
      </c>
      <c r="BP49" s="97" t="str">
        <f>HYPERLINK("https://twitter.com/mashable")</f>
        <v>https://twitter.com/mashable</v>
      </c>
      <c r="BQ49" s="45"/>
      <c r="BR49" s="45"/>
      <c r="BS49" s="45"/>
      <c r="BT49" s="45"/>
      <c r="BU49" s="45"/>
      <c r="BV49" s="45"/>
      <c r="BW49" s="45"/>
      <c r="BX49" s="45"/>
      <c r="BY49" s="45"/>
      <c r="BZ49" s="45"/>
      <c r="CA49" s="75" t="str">
        <f>REPLACE(INDEX(GroupVertices[Group],MATCH("~"&amp;Vertices[[#This Row],[Vertex]],GroupVertices[Vertex],0)),1,1,"")</f>
        <v>1</v>
      </c>
      <c r="CB49" s="2"/>
    </row>
    <row r="50" spans="1:80" ht="34.05" customHeight="1">
      <c r="A50" s="61" t="s">
        <v>681</v>
      </c>
      <c r="C50" s="62"/>
      <c r="D50" s="62"/>
      <c r="E50" s="63"/>
      <c r="F50" s="92"/>
      <c r="G50" s="86" t="str">
        <f>HYPERLINK("https://pbs.twimg.com/profile_images/486667574/development_normal.png")</f>
        <v>https://pbs.twimg.com/profile_images/486667574/development_normal.png</v>
      </c>
      <c r="H50" s="93"/>
      <c r="I50" s="66"/>
      <c r="J50" s="67"/>
      <c r="K50" s="94"/>
      <c r="L50" s="66" t="s">
        <v>1871</v>
      </c>
      <c r="M50" s="95"/>
      <c r="N50" s="71">
        <v>5934.9853515625</v>
      </c>
      <c r="O50" s="71">
        <v>4125.9482421875</v>
      </c>
      <c r="P50" s="72"/>
      <c r="Q50" s="73"/>
      <c r="R50" s="73"/>
      <c r="S50" s="96"/>
      <c r="T50" s="45">
        <v>1</v>
      </c>
      <c r="U50" s="45">
        <v>0</v>
      </c>
      <c r="V50" s="46">
        <v>0</v>
      </c>
      <c r="W50" s="46">
        <v>0.41555</v>
      </c>
      <c r="X50" s="46">
        <v>0.065898</v>
      </c>
      <c r="Y50" s="46">
        <v>0.005556</v>
      </c>
      <c r="Z50" s="46">
        <v>0</v>
      </c>
      <c r="AA50" s="46">
        <v>0</v>
      </c>
      <c r="AB50" s="68">
        <v>50</v>
      </c>
      <c r="AC50" s="68"/>
      <c r="AD50" s="69"/>
      <c r="AE50" s="76" t="s">
        <v>328</v>
      </c>
      <c r="AF50" s="80" t="s">
        <v>1410</v>
      </c>
      <c r="AG50" s="76">
        <v>8579</v>
      </c>
      <c r="AH50" s="76">
        <v>1035</v>
      </c>
      <c r="AI50" s="76">
        <v>1410</v>
      </c>
      <c r="AJ50" s="76">
        <v>97</v>
      </c>
      <c r="AK50" s="76">
        <v>0</v>
      </c>
      <c r="AL50" s="76">
        <v>0</v>
      </c>
      <c r="AM50" s="76" t="b">
        <v>0</v>
      </c>
      <c r="AN50" s="78">
        <v>40109.85451388889</v>
      </c>
      <c r="AO50" s="76" t="s">
        <v>323</v>
      </c>
      <c r="AP50" s="76" t="s">
        <v>1603</v>
      </c>
      <c r="AQ50" s="76"/>
      <c r="AR50" s="76"/>
      <c r="AS50" s="76"/>
      <c r="AT50" s="76"/>
      <c r="AU50" s="76"/>
      <c r="AV50" s="76"/>
      <c r="AW50" s="76"/>
      <c r="AX50" s="76"/>
      <c r="AY50" s="76" t="b">
        <v>0</v>
      </c>
      <c r="AZ50" s="76"/>
      <c r="BA50" s="76"/>
      <c r="BB50" s="76" t="b">
        <v>0</v>
      </c>
      <c r="BC50" s="76" t="b">
        <v>1</v>
      </c>
      <c r="BD50" s="76" t="b">
        <v>0</v>
      </c>
      <c r="BE50" s="76" t="b">
        <v>0</v>
      </c>
      <c r="BF50" s="76" t="b">
        <v>0</v>
      </c>
      <c r="BG50" s="76" t="b">
        <v>0</v>
      </c>
      <c r="BH50" s="76" t="b">
        <v>0</v>
      </c>
      <c r="BI50" s="76"/>
      <c r="BJ50" s="76"/>
      <c r="BK50" s="76" t="s">
        <v>330</v>
      </c>
      <c r="BL50" s="76" t="b">
        <v>0</v>
      </c>
      <c r="BM50" s="76"/>
      <c r="BN50" s="76" t="s">
        <v>65</v>
      </c>
      <c r="BO50" s="76" t="s">
        <v>332</v>
      </c>
      <c r="BP50" s="97" t="str">
        <f>HYPERLINK("https://twitter.com/development_web")</f>
        <v>https://twitter.com/development_web</v>
      </c>
      <c r="BQ50" s="45"/>
      <c r="BR50" s="45"/>
      <c r="BS50" s="45"/>
      <c r="BT50" s="45"/>
      <c r="BU50" s="45"/>
      <c r="BV50" s="45"/>
      <c r="BW50" s="45"/>
      <c r="BX50" s="45"/>
      <c r="BY50" s="45"/>
      <c r="BZ50" s="45"/>
      <c r="CA50" s="75" t="str">
        <f>REPLACE(INDEX(GroupVertices[Group],MATCH("~"&amp;Vertices[[#This Row],[Vertex]],GroupVertices[Vertex],0)),1,1,"")</f>
        <v>1</v>
      </c>
      <c r="CB50" s="2"/>
    </row>
    <row r="51" spans="1:80" ht="34.05" customHeight="1">
      <c r="A51" s="61" t="s">
        <v>592</v>
      </c>
      <c r="C51" s="62"/>
      <c r="D51" s="62"/>
      <c r="E51" s="63"/>
      <c r="F51" s="92"/>
      <c r="G51" s="86" t="str">
        <f>HYPERLINK("https://pbs.twimg.com/profile_images/771250690949656576/WjH7zGE6_normal.jpg")</f>
        <v>https://pbs.twimg.com/profile_images/771250690949656576/WjH7zGE6_normal.jpg</v>
      </c>
      <c r="H51" s="93"/>
      <c r="I51" s="66"/>
      <c r="J51" s="67"/>
      <c r="K51" s="94"/>
      <c r="L51" s="66" t="s">
        <v>1872</v>
      </c>
      <c r="M51" s="95"/>
      <c r="N51" s="71">
        <v>3832.09375</v>
      </c>
      <c r="O51" s="71">
        <v>5649.37158203125</v>
      </c>
      <c r="P51" s="72"/>
      <c r="Q51" s="73"/>
      <c r="R51" s="73"/>
      <c r="S51" s="96"/>
      <c r="T51" s="45">
        <v>0</v>
      </c>
      <c r="U51" s="45">
        <v>1</v>
      </c>
      <c r="V51" s="46">
        <v>0</v>
      </c>
      <c r="W51" s="46">
        <v>0.41555</v>
      </c>
      <c r="X51" s="46">
        <v>0.065898</v>
      </c>
      <c r="Y51" s="46">
        <v>0.005556</v>
      </c>
      <c r="Z51" s="46">
        <v>0</v>
      </c>
      <c r="AA51" s="46">
        <v>0</v>
      </c>
      <c r="AB51" s="68">
        <v>51</v>
      </c>
      <c r="AC51" s="68"/>
      <c r="AD51" s="69"/>
      <c r="AE51" s="76" t="s">
        <v>1283</v>
      </c>
      <c r="AF51" s="80" t="s">
        <v>1411</v>
      </c>
      <c r="AG51" s="76">
        <v>735</v>
      </c>
      <c r="AH51" s="76">
        <v>326</v>
      </c>
      <c r="AI51" s="76">
        <v>13116</v>
      </c>
      <c r="AJ51" s="76">
        <v>6</v>
      </c>
      <c r="AK51" s="76">
        <v>4374</v>
      </c>
      <c r="AL51" s="76">
        <v>804</v>
      </c>
      <c r="AM51" s="76" t="b">
        <v>0</v>
      </c>
      <c r="AN51" s="78">
        <v>42264.698587962965</v>
      </c>
      <c r="AO51" s="76" t="s">
        <v>1518</v>
      </c>
      <c r="AP51" s="76" t="s">
        <v>1604</v>
      </c>
      <c r="AQ51" s="81" t="str">
        <f>HYPERLINK("https://t.co/RCVZgjRoXN")</f>
        <v>https://t.co/RCVZgjRoXN</v>
      </c>
      <c r="AR51" s="81" t="str">
        <f>HYPERLINK("https://www.instagram.com/farooqdesigns_/")</f>
        <v>https://www.instagram.com/farooqdesigns_/</v>
      </c>
      <c r="AS51" s="76" t="s">
        <v>1727</v>
      </c>
      <c r="AT51" s="76" t="s">
        <v>1811</v>
      </c>
      <c r="AU51" s="76" t="s">
        <v>1813</v>
      </c>
      <c r="AV51" s="76" t="s">
        <v>1816</v>
      </c>
      <c r="AW51" s="76"/>
      <c r="AX51" s="81" t="str">
        <f>HYPERLINK("https://t.co/RCVZgjRoXN")</f>
        <v>https://t.co/RCVZgjRoXN</v>
      </c>
      <c r="AY51" s="76" t="b">
        <v>0</v>
      </c>
      <c r="AZ51" s="76" t="b">
        <v>1</v>
      </c>
      <c r="BA51" s="76"/>
      <c r="BB51" s="76" t="b">
        <v>1</v>
      </c>
      <c r="BC51" s="76" t="b">
        <v>1</v>
      </c>
      <c r="BD51" s="76" t="b">
        <v>0</v>
      </c>
      <c r="BE51" s="76" t="b">
        <v>0</v>
      </c>
      <c r="BF51" s="76" t="b">
        <v>1</v>
      </c>
      <c r="BG51" s="76" t="b">
        <v>0</v>
      </c>
      <c r="BH51" s="76" t="b">
        <v>0</v>
      </c>
      <c r="BI51" s="81" t="str">
        <f>HYPERLINK("https://pbs.twimg.com/profile_banners/3595788384/1472715450")</f>
        <v>https://pbs.twimg.com/profile_banners/3595788384/1472715450</v>
      </c>
      <c r="BJ51" s="76"/>
      <c r="BK51" s="76" t="s">
        <v>331</v>
      </c>
      <c r="BL51" s="76" t="b">
        <v>0</v>
      </c>
      <c r="BM51" s="76"/>
      <c r="BN51" s="76" t="s">
        <v>66</v>
      </c>
      <c r="BO51" s="76" t="s">
        <v>332</v>
      </c>
      <c r="BP51" s="97" t="str">
        <f>HYPERLINK("https://twitter.com/farooqdesigns")</f>
        <v>https://twitter.com/farooqdesigns</v>
      </c>
      <c r="BQ51" s="45"/>
      <c r="BR51" s="45"/>
      <c r="BS51" s="45"/>
      <c r="BT51" s="45"/>
      <c r="BU51" s="45"/>
      <c r="BV51" s="45"/>
      <c r="BW51" s="90" t="s">
        <v>2174</v>
      </c>
      <c r="BX51" s="90" t="s">
        <v>2174</v>
      </c>
      <c r="BY51" s="90" t="s">
        <v>2245</v>
      </c>
      <c r="BZ51" s="90" t="s">
        <v>2245</v>
      </c>
      <c r="CA51" s="75" t="str">
        <f>REPLACE(INDEX(GroupVertices[Group],MATCH("~"&amp;Vertices[[#This Row],[Vertex]],GroupVertices[Vertex],0)),1,1,"")</f>
        <v>1</v>
      </c>
      <c r="CB51" s="2"/>
    </row>
    <row r="52" spans="1:80" ht="34.05" customHeight="1">
      <c r="A52" s="61" t="s">
        <v>593</v>
      </c>
      <c r="C52" s="62"/>
      <c r="D52" s="62"/>
      <c r="E52" s="63"/>
      <c r="F52" s="92"/>
      <c r="G52" s="86" t="str">
        <f>HYPERLINK("https://pbs.twimg.com/profile_images/1882396335/MTV_normal.PNG")</f>
        <v>https://pbs.twimg.com/profile_images/1882396335/MTV_normal.PNG</v>
      </c>
      <c r="H52" s="93"/>
      <c r="I52" s="66"/>
      <c r="J52" s="67"/>
      <c r="K52" s="94"/>
      <c r="L52" s="66" t="s">
        <v>1873</v>
      </c>
      <c r="M52" s="95"/>
      <c r="N52" s="71">
        <v>6180.34375</v>
      </c>
      <c r="O52" s="71">
        <v>3976.939697265625</v>
      </c>
      <c r="P52" s="72"/>
      <c r="Q52" s="73"/>
      <c r="R52" s="73"/>
      <c r="S52" s="96"/>
      <c r="T52" s="45">
        <v>0</v>
      </c>
      <c r="U52" s="45">
        <v>1</v>
      </c>
      <c r="V52" s="46">
        <v>0</v>
      </c>
      <c r="W52" s="46">
        <v>0.41555</v>
      </c>
      <c r="X52" s="46">
        <v>0.065898</v>
      </c>
      <c r="Y52" s="46">
        <v>0.005556</v>
      </c>
      <c r="Z52" s="46">
        <v>0</v>
      </c>
      <c r="AA52" s="46">
        <v>0</v>
      </c>
      <c r="AB52" s="68">
        <v>52</v>
      </c>
      <c r="AC52" s="68"/>
      <c r="AD52" s="69"/>
      <c r="AE52" s="76" t="s">
        <v>1284</v>
      </c>
      <c r="AF52" s="80" t="s">
        <v>1412</v>
      </c>
      <c r="AG52" s="76">
        <v>9579</v>
      </c>
      <c r="AH52" s="76">
        <v>10527</v>
      </c>
      <c r="AI52" s="76">
        <v>18829</v>
      </c>
      <c r="AJ52" s="76">
        <v>323</v>
      </c>
      <c r="AK52" s="76">
        <v>786</v>
      </c>
      <c r="AL52" s="76">
        <v>345</v>
      </c>
      <c r="AM52" s="76" t="b">
        <v>0</v>
      </c>
      <c r="AN52" s="78">
        <v>39920.939375</v>
      </c>
      <c r="AO52" s="76" t="s">
        <v>1519</v>
      </c>
      <c r="AP52" s="76" t="s">
        <v>1605</v>
      </c>
      <c r="AQ52" s="81" t="str">
        <f>HYPERLINK("https://t.co/xc1ac7oqfB")</f>
        <v>https://t.co/xc1ac7oqfB</v>
      </c>
      <c r="AR52" s="81" t="str">
        <f>HYPERLINK("https://www.microsoft.com/en-us/")</f>
        <v>https://www.microsoft.com/en-us/</v>
      </c>
      <c r="AS52" s="76" t="s">
        <v>1728</v>
      </c>
      <c r="AT52" s="76"/>
      <c r="AU52" s="76"/>
      <c r="AV52" s="76"/>
      <c r="AW52" s="76"/>
      <c r="AX52" s="81" t="str">
        <f>HYPERLINK("https://t.co/xc1ac7oqfB")</f>
        <v>https://t.co/xc1ac7oqfB</v>
      </c>
      <c r="AY52" s="76" t="b">
        <v>0</v>
      </c>
      <c r="AZ52" s="76"/>
      <c r="BA52" s="76"/>
      <c r="BB52" s="76" t="b">
        <v>0</v>
      </c>
      <c r="BC52" s="76" t="b">
        <v>1</v>
      </c>
      <c r="BD52" s="76" t="b">
        <v>0</v>
      </c>
      <c r="BE52" s="76" t="b">
        <v>0</v>
      </c>
      <c r="BF52" s="76" t="b">
        <v>0</v>
      </c>
      <c r="BG52" s="76" t="b">
        <v>0</v>
      </c>
      <c r="BH52" s="76" t="b">
        <v>0</v>
      </c>
      <c r="BI52" s="81" t="str">
        <f>HYPERLINK("https://pbs.twimg.com/profile_banners/32630040/1501622642")</f>
        <v>https://pbs.twimg.com/profile_banners/32630040/1501622642</v>
      </c>
      <c r="BJ52" s="76"/>
      <c r="BK52" s="76" t="s">
        <v>330</v>
      </c>
      <c r="BL52" s="76" t="b">
        <v>0</v>
      </c>
      <c r="BM52" s="76"/>
      <c r="BN52" s="76" t="s">
        <v>66</v>
      </c>
      <c r="BO52" s="76" t="s">
        <v>332</v>
      </c>
      <c r="BP52" s="97" t="str">
        <f>HYPERLINK("https://twitter.com/martintenvoorde")</f>
        <v>https://twitter.com/martintenvoorde</v>
      </c>
      <c r="BQ52" s="45" t="s">
        <v>2121</v>
      </c>
      <c r="BR52" s="45" t="s">
        <v>2121</v>
      </c>
      <c r="BS52" s="45" t="s">
        <v>399</v>
      </c>
      <c r="BT52" s="45" t="s">
        <v>399</v>
      </c>
      <c r="BU52" s="45"/>
      <c r="BV52" s="45"/>
      <c r="BW52" s="90" t="s">
        <v>2175</v>
      </c>
      <c r="BX52" s="90" t="s">
        <v>2175</v>
      </c>
      <c r="BY52" s="90" t="s">
        <v>2246</v>
      </c>
      <c r="BZ52" s="90" t="s">
        <v>2246</v>
      </c>
      <c r="CA52" s="75" t="str">
        <f>REPLACE(INDEX(GroupVertices[Group],MATCH("~"&amp;Vertices[[#This Row],[Vertex]],GroupVertices[Vertex],0)),1,1,"")</f>
        <v>1</v>
      </c>
      <c r="CB52" s="2"/>
    </row>
    <row r="53" spans="1:80" ht="34.05" customHeight="1">
      <c r="A53" s="61" t="s">
        <v>594</v>
      </c>
      <c r="C53" s="62"/>
      <c r="D53" s="62"/>
      <c r="E53" s="63"/>
      <c r="F53" s="92"/>
      <c r="G53" s="86" t="str">
        <f>HYPERLINK("https://pbs.twimg.com/profile_images/1453428033042333698/QFjMjQn8_normal.jpg")</f>
        <v>https://pbs.twimg.com/profile_images/1453428033042333698/QFjMjQn8_normal.jpg</v>
      </c>
      <c r="H53" s="93"/>
      <c r="I53" s="66"/>
      <c r="J53" s="67"/>
      <c r="K53" s="94"/>
      <c r="L53" s="66" t="s">
        <v>1874</v>
      </c>
      <c r="M53" s="95"/>
      <c r="N53" s="71">
        <v>2943.4560546875</v>
      </c>
      <c r="O53" s="71">
        <v>6023.41015625</v>
      </c>
      <c r="P53" s="72"/>
      <c r="Q53" s="73"/>
      <c r="R53" s="73"/>
      <c r="S53" s="96"/>
      <c r="T53" s="45">
        <v>0</v>
      </c>
      <c r="U53" s="45">
        <v>2</v>
      </c>
      <c r="V53" s="46">
        <v>75.5</v>
      </c>
      <c r="W53" s="46">
        <v>0.41779</v>
      </c>
      <c r="X53" s="46">
        <v>0.06841</v>
      </c>
      <c r="Y53" s="46">
        <v>0.005826</v>
      </c>
      <c r="Z53" s="46">
        <v>0</v>
      </c>
      <c r="AA53" s="46">
        <v>0</v>
      </c>
      <c r="AB53" s="68">
        <v>53</v>
      </c>
      <c r="AC53" s="68"/>
      <c r="AD53" s="69"/>
      <c r="AE53" s="76" t="s">
        <v>1285</v>
      </c>
      <c r="AF53" s="80" t="s">
        <v>1413</v>
      </c>
      <c r="AG53" s="76">
        <v>9116</v>
      </c>
      <c r="AH53" s="76">
        <v>3361</v>
      </c>
      <c r="AI53" s="76">
        <v>18597</v>
      </c>
      <c r="AJ53" s="76">
        <v>678</v>
      </c>
      <c r="AK53" s="76">
        <v>44</v>
      </c>
      <c r="AL53" s="76">
        <v>278</v>
      </c>
      <c r="AM53" s="76" t="b">
        <v>0</v>
      </c>
      <c r="AN53" s="78">
        <v>39710.07171296296</v>
      </c>
      <c r="AO53" s="76" t="s">
        <v>1520</v>
      </c>
      <c r="AP53" s="76" t="s">
        <v>1606</v>
      </c>
      <c r="AQ53" s="81" t="str">
        <f>HYPERLINK("https://t.co/MaZAlkmgB4")</f>
        <v>https://t.co/MaZAlkmgB4</v>
      </c>
      <c r="AR53" s="81" t="str">
        <f>HYPERLINK("http://HookedOnCustomers.com")</f>
        <v>http://HookedOnCustomers.com</v>
      </c>
      <c r="AS53" s="76" t="s">
        <v>1729</v>
      </c>
      <c r="AT53" s="76"/>
      <c r="AU53" s="76"/>
      <c r="AV53" s="76"/>
      <c r="AW53" s="76"/>
      <c r="AX53" s="81" t="str">
        <f>HYPERLINK("https://t.co/MaZAlkmgB4")</f>
        <v>https://t.co/MaZAlkmgB4</v>
      </c>
      <c r="AY53" s="76" t="b">
        <v>0</v>
      </c>
      <c r="AZ53" s="76"/>
      <c r="BA53" s="76"/>
      <c r="BB53" s="76" t="b">
        <v>1</v>
      </c>
      <c r="BC53" s="76" t="b">
        <v>0</v>
      </c>
      <c r="BD53" s="76" t="b">
        <v>0</v>
      </c>
      <c r="BE53" s="76" t="b">
        <v>0</v>
      </c>
      <c r="BF53" s="76" t="b">
        <v>0</v>
      </c>
      <c r="BG53" s="76" t="b">
        <v>0</v>
      </c>
      <c r="BH53" s="76" t="b">
        <v>0</v>
      </c>
      <c r="BI53" s="81" t="str">
        <f>HYPERLINK("https://pbs.twimg.com/profile_banners/16357285/1399982862")</f>
        <v>https://pbs.twimg.com/profile_banners/16357285/1399982862</v>
      </c>
      <c r="BJ53" s="76"/>
      <c r="BK53" s="76" t="s">
        <v>330</v>
      </c>
      <c r="BL53" s="76" t="b">
        <v>0</v>
      </c>
      <c r="BM53" s="76"/>
      <c r="BN53" s="76" t="s">
        <v>66</v>
      </c>
      <c r="BO53" s="76" t="s">
        <v>332</v>
      </c>
      <c r="BP53" s="97" t="str">
        <f>HYPERLINK("https://twitter.com/bob_thompson")</f>
        <v>https://twitter.com/bob_thompson</v>
      </c>
      <c r="BQ53" s="45" t="s">
        <v>2122</v>
      </c>
      <c r="BR53" s="45" t="s">
        <v>2122</v>
      </c>
      <c r="BS53" s="45" t="s">
        <v>871</v>
      </c>
      <c r="BT53" s="45" t="s">
        <v>871</v>
      </c>
      <c r="BU53" s="45"/>
      <c r="BV53" s="45"/>
      <c r="BW53" s="90" t="s">
        <v>2176</v>
      </c>
      <c r="BX53" s="90" t="s">
        <v>2176</v>
      </c>
      <c r="BY53" s="90" t="s">
        <v>2247</v>
      </c>
      <c r="BZ53" s="90" t="s">
        <v>2247</v>
      </c>
      <c r="CA53" s="75" t="str">
        <f>REPLACE(INDEX(GroupVertices[Group],MATCH("~"&amp;Vertices[[#This Row],[Vertex]],GroupVertices[Vertex],0)),1,1,"")</f>
        <v>1</v>
      </c>
      <c r="CB53" s="2"/>
    </row>
    <row r="54" spans="1:80" ht="34.05" customHeight="1">
      <c r="A54" s="61" t="s">
        <v>682</v>
      </c>
      <c r="C54" s="62"/>
      <c r="D54" s="62"/>
      <c r="E54" s="63"/>
      <c r="F54" s="92"/>
      <c r="G54" s="86" t="str">
        <f>HYPERLINK("https://pbs.twimg.com/profile_images/476911424/ct_logo_twitter_normal.gif")</f>
        <v>https://pbs.twimg.com/profile_images/476911424/ct_logo_twitter_normal.gif</v>
      </c>
      <c r="H54" s="93"/>
      <c r="I54" s="66"/>
      <c r="J54" s="67"/>
      <c r="K54" s="94"/>
      <c r="L54" s="66" t="s">
        <v>1875</v>
      </c>
      <c r="M54" s="95"/>
      <c r="N54" s="71">
        <v>607.9489135742188</v>
      </c>
      <c r="O54" s="71">
        <v>6622.92138671875</v>
      </c>
      <c r="P54" s="72"/>
      <c r="Q54" s="73"/>
      <c r="R54" s="73"/>
      <c r="S54" s="96"/>
      <c r="T54" s="45">
        <v>4</v>
      </c>
      <c r="U54" s="45">
        <v>0</v>
      </c>
      <c r="V54" s="46">
        <v>6</v>
      </c>
      <c r="W54" s="46">
        <v>0.298651</v>
      </c>
      <c r="X54" s="46">
        <v>0.026221</v>
      </c>
      <c r="Y54" s="46">
        <v>0.007197</v>
      </c>
      <c r="Z54" s="46">
        <v>0</v>
      </c>
      <c r="AA54" s="46">
        <v>0</v>
      </c>
      <c r="AB54" s="68">
        <v>54</v>
      </c>
      <c r="AC54" s="68"/>
      <c r="AD54" s="69"/>
      <c r="AE54" s="76" t="s">
        <v>1286</v>
      </c>
      <c r="AF54" s="80" t="s">
        <v>1414</v>
      </c>
      <c r="AG54" s="76">
        <v>14372</v>
      </c>
      <c r="AH54" s="76">
        <v>4</v>
      </c>
      <c r="AI54" s="76">
        <v>41947</v>
      </c>
      <c r="AJ54" s="76">
        <v>942</v>
      </c>
      <c r="AK54" s="76">
        <v>0</v>
      </c>
      <c r="AL54" s="76">
        <v>112</v>
      </c>
      <c r="AM54" s="76" t="b">
        <v>0</v>
      </c>
      <c r="AN54" s="78">
        <v>39916.66229166667</v>
      </c>
      <c r="AO54" s="76"/>
      <c r="AP54" s="76" t="s">
        <v>1607</v>
      </c>
      <c r="AQ54" s="81" t="str">
        <f>HYPERLINK("http://t.co/1yjWo9Otta")</f>
        <v>http://t.co/1yjWo9Otta</v>
      </c>
      <c r="AR54" s="81" t="str">
        <f>HYPERLINK("http://www.customerthink.com")</f>
        <v>http://www.customerthink.com</v>
      </c>
      <c r="AS54" s="76" t="s">
        <v>871</v>
      </c>
      <c r="AT54" s="76"/>
      <c r="AU54" s="76"/>
      <c r="AV54" s="76"/>
      <c r="AW54" s="76"/>
      <c r="AX54" s="81" t="str">
        <f>HYPERLINK("http://t.co/1yjWo9Otta")</f>
        <v>http://t.co/1yjWo9Otta</v>
      </c>
      <c r="AY54" s="76" t="b">
        <v>0</v>
      </c>
      <c r="AZ54" s="76"/>
      <c r="BA54" s="76"/>
      <c r="BB54" s="76" t="b">
        <v>0</v>
      </c>
      <c r="BC54" s="76" t="b">
        <v>1</v>
      </c>
      <c r="BD54" s="76" t="b">
        <v>1</v>
      </c>
      <c r="BE54" s="76" t="b">
        <v>0</v>
      </c>
      <c r="BF54" s="76" t="b">
        <v>0</v>
      </c>
      <c r="BG54" s="76" t="b">
        <v>0</v>
      </c>
      <c r="BH54" s="76" t="b">
        <v>0</v>
      </c>
      <c r="BI54" s="76"/>
      <c r="BJ54" s="76"/>
      <c r="BK54" s="76" t="s">
        <v>330</v>
      </c>
      <c r="BL54" s="76" t="b">
        <v>0</v>
      </c>
      <c r="BM54" s="76"/>
      <c r="BN54" s="76" t="s">
        <v>65</v>
      </c>
      <c r="BO54" s="76" t="s">
        <v>332</v>
      </c>
      <c r="BP54" s="97" t="str">
        <f>HYPERLINK("https://twitter.com/customerthink")</f>
        <v>https://twitter.com/customerthink</v>
      </c>
      <c r="BQ54" s="45"/>
      <c r="BR54" s="45"/>
      <c r="BS54" s="45"/>
      <c r="BT54" s="45"/>
      <c r="BU54" s="45"/>
      <c r="BV54" s="45"/>
      <c r="BW54" s="45"/>
      <c r="BX54" s="45"/>
      <c r="BY54" s="45"/>
      <c r="BZ54" s="45"/>
      <c r="CA54" s="75" t="str">
        <f>REPLACE(INDEX(GroupVertices[Group],MATCH("~"&amp;Vertices[[#This Row],[Vertex]],GroupVertices[Vertex],0)),1,1,"")</f>
        <v>1</v>
      </c>
      <c r="CB54" s="2"/>
    </row>
    <row r="55" spans="1:80" ht="34.05" customHeight="1">
      <c r="A55" s="61" t="s">
        <v>595</v>
      </c>
      <c r="C55" s="62"/>
      <c r="D55" s="62"/>
      <c r="E55" s="63"/>
      <c r="F55" s="92"/>
      <c r="G55" s="86" t="str">
        <f>HYPERLINK("https://pbs.twimg.com/profile_images/1652268191719014402/AJLST_8V_normal.jpg")</f>
        <v>https://pbs.twimg.com/profile_images/1652268191719014402/AJLST_8V_normal.jpg</v>
      </c>
      <c r="H55" s="93"/>
      <c r="I55" s="66"/>
      <c r="J55" s="67"/>
      <c r="K55" s="94"/>
      <c r="L55" s="66" t="s">
        <v>1876</v>
      </c>
      <c r="M55" s="95"/>
      <c r="N55" s="71">
        <v>7293.4296875</v>
      </c>
      <c r="O55" s="71">
        <v>4111.9072265625</v>
      </c>
      <c r="P55" s="72"/>
      <c r="Q55" s="73"/>
      <c r="R55" s="73"/>
      <c r="S55" s="96"/>
      <c r="T55" s="45">
        <v>0</v>
      </c>
      <c r="U55" s="45">
        <v>9</v>
      </c>
      <c r="V55" s="46">
        <v>379.5</v>
      </c>
      <c r="W55" s="46">
        <v>0.45858</v>
      </c>
      <c r="X55" s="46">
        <v>0.131007</v>
      </c>
      <c r="Y55" s="46">
        <v>0.007095</v>
      </c>
      <c r="Z55" s="46">
        <v>0.2222222222222222</v>
      </c>
      <c r="AA55" s="46">
        <v>0</v>
      </c>
      <c r="AB55" s="68">
        <v>55</v>
      </c>
      <c r="AC55" s="68"/>
      <c r="AD55" s="69"/>
      <c r="AE55" s="76" t="s">
        <v>1287</v>
      </c>
      <c r="AF55" s="80" t="s">
        <v>1415</v>
      </c>
      <c r="AG55" s="76">
        <v>155</v>
      </c>
      <c r="AH55" s="76">
        <v>177</v>
      </c>
      <c r="AI55" s="76">
        <v>1401</v>
      </c>
      <c r="AJ55" s="76">
        <v>2</v>
      </c>
      <c r="AK55" s="76">
        <v>271</v>
      </c>
      <c r="AL55" s="76">
        <v>500</v>
      </c>
      <c r="AM55" s="76" t="b">
        <v>0</v>
      </c>
      <c r="AN55" s="78">
        <v>40163.95079861111</v>
      </c>
      <c r="AO55" s="76" t="s">
        <v>1506</v>
      </c>
      <c r="AP55" s="76" t="s">
        <v>1608</v>
      </c>
      <c r="AQ55" s="81" t="str">
        <f>HYPERLINK("https://t.co/sdIvOQwkra")</f>
        <v>https://t.co/sdIvOQwkra</v>
      </c>
      <c r="AR55" s="81" t="str">
        <f>HYPERLINK("https://www.allisoninwonderland.com/")</f>
        <v>https://www.allisoninwonderland.com/</v>
      </c>
      <c r="AS55" s="76" t="s">
        <v>1730</v>
      </c>
      <c r="AT55" s="76"/>
      <c r="AU55" s="76"/>
      <c r="AV55" s="76"/>
      <c r="AW55" s="76"/>
      <c r="AX55" s="81" t="str">
        <f>HYPERLINK("https://t.co/sdIvOQwkra")</f>
        <v>https://t.co/sdIvOQwkra</v>
      </c>
      <c r="AY55" s="76" t="b">
        <v>0</v>
      </c>
      <c r="AZ55" s="76"/>
      <c r="BA55" s="76"/>
      <c r="BB55" s="76" t="b">
        <v>0</v>
      </c>
      <c r="BC55" s="76" t="b">
        <v>1</v>
      </c>
      <c r="BD55" s="76" t="b">
        <v>0</v>
      </c>
      <c r="BE55" s="76" t="b">
        <v>0</v>
      </c>
      <c r="BF55" s="76" t="b">
        <v>0</v>
      </c>
      <c r="BG55" s="76" t="b">
        <v>0</v>
      </c>
      <c r="BH55" s="76" t="b">
        <v>0</v>
      </c>
      <c r="BI55" s="81" t="str">
        <f>HYPERLINK("https://pbs.twimg.com/profile_banners/97307104/1668690321")</f>
        <v>https://pbs.twimg.com/profile_banners/97307104/1668690321</v>
      </c>
      <c r="BJ55" s="76"/>
      <c r="BK55" s="76" t="s">
        <v>330</v>
      </c>
      <c r="BL55" s="76" t="b">
        <v>0</v>
      </c>
      <c r="BM55" s="76"/>
      <c r="BN55" s="76" t="s">
        <v>66</v>
      </c>
      <c r="BO55" s="76" t="s">
        <v>332</v>
      </c>
      <c r="BP55" s="97" t="str">
        <f>HYPERLINK("https://twitter.com/allifrye123")</f>
        <v>https://twitter.com/allifrye123</v>
      </c>
      <c r="BQ55" s="45"/>
      <c r="BR55" s="45"/>
      <c r="BS55" s="45"/>
      <c r="BT55" s="45"/>
      <c r="BU55" s="45"/>
      <c r="BV55" s="45"/>
      <c r="BW55" s="90" t="s">
        <v>2177</v>
      </c>
      <c r="BX55" s="90" t="s">
        <v>2177</v>
      </c>
      <c r="BY55" s="90" t="s">
        <v>2248</v>
      </c>
      <c r="BZ55" s="90" t="s">
        <v>2248</v>
      </c>
      <c r="CA55" s="75" t="str">
        <f>REPLACE(INDEX(GroupVertices[Group],MATCH("~"&amp;Vertices[[#This Row],[Vertex]],GroupVertices[Vertex],0)),1,1,"")</f>
        <v>2</v>
      </c>
      <c r="CB55" s="2"/>
    </row>
    <row r="56" spans="1:80" ht="34.05" customHeight="1">
      <c r="A56" s="61" t="s">
        <v>683</v>
      </c>
      <c r="C56" s="62"/>
      <c r="D56" s="62"/>
      <c r="E56" s="63"/>
      <c r="F56" s="92"/>
      <c r="G56" s="86" t="str">
        <f>HYPERLINK("https://pbs.twimg.com/profile_images/1338395359752679424/_0rznfry_normal.jpg")</f>
        <v>https://pbs.twimg.com/profile_images/1338395359752679424/_0rznfry_normal.jpg</v>
      </c>
      <c r="H56" s="93"/>
      <c r="I56" s="66"/>
      <c r="J56" s="67"/>
      <c r="K56" s="94"/>
      <c r="L56" s="66" t="s">
        <v>1877</v>
      </c>
      <c r="M56" s="95"/>
      <c r="N56" s="71">
        <v>8868.5009765625</v>
      </c>
      <c r="O56" s="71">
        <v>2679.784912109375</v>
      </c>
      <c r="P56" s="72"/>
      <c r="Q56" s="73"/>
      <c r="R56" s="73"/>
      <c r="S56" s="96"/>
      <c r="T56" s="45">
        <v>4</v>
      </c>
      <c r="U56" s="45">
        <v>0</v>
      </c>
      <c r="V56" s="46">
        <v>0.222222</v>
      </c>
      <c r="W56" s="46">
        <v>0.332618</v>
      </c>
      <c r="X56" s="46">
        <v>0.057283</v>
      </c>
      <c r="Y56" s="46">
        <v>0.005897</v>
      </c>
      <c r="Z56" s="46">
        <v>0.6666666666666666</v>
      </c>
      <c r="AA56" s="46">
        <v>0</v>
      </c>
      <c r="AB56" s="68">
        <v>56</v>
      </c>
      <c r="AC56" s="68"/>
      <c r="AD56" s="69"/>
      <c r="AE56" s="76" t="s">
        <v>1288</v>
      </c>
      <c r="AF56" s="80" t="s">
        <v>1416</v>
      </c>
      <c r="AG56" s="76">
        <v>86</v>
      </c>
      <c r="AH56" s="76">
        <v>177</v>
      </c>
      <c r="AI56" s="76">
        <v>548</v>
      </c>
      <c r="AJ56" s="76">
        <v>1</v>
      </c>
      <c r="AK56" s="76">
        <v>721</v>
      </c>
      <c r="AL56" s="76">
        <v>181</v>
      </c>
      <c r="AM56" s="76" t="b">
        <v>0</v>
      </c>
      <c r="AN56" s="78">
        <v>41591.460127314815</v>
      </c>
      <c r="AO56" s="76" t="s">
        <v>324</v>
      </c>
      <c r="AP56" s="76" t="s">
        <v>1609</v>
      </c>
      <c r="AQ56" s="81" t="str">
        <f>HYPERLINK("https://t.co/tHOIkWXYP3")</f>
        <v>https://t.co/tHOIkWXYP3</v>
      </c>
      <c r="AR56" s="81" t="str">
        <f>HYPERLINK("https://ethanetechnologies.com")</f>
        <v>https://ethanetechnologies.com</v>
      </c>
      <c r="AS56" s="76" t="s">
        <v>1731</v>
      </c>
      <c r="AT56" s="76"/>
      <c r="AU56" s="76"/>
      <c r="AV56" s="76"/>
      <c r="AW56" s="76"/>
      <c r="AX56" s="81" t="str">
        <f>HYPERLINK("https://t.co/tHOIkWXYP3")</f>
        <v>https://t.co/tHOIkWXYP3</v>
      </c>
      <c r="AY56" s="76" t="b">
        <v>0</v>
      </c>
      <c r="AZ56" s="76"/>
      <c r="BA56" s="76"/>
      <c r="BB56" s="76" t="b">
        <v>0</v>
      </c>
      <c r="BC56" s="76" t="b">
        <v>1</v>
      </c>
      <c r="BD56" s="76" t="b">
        <v>0</v>
      </c>
      <c r="BE56" s="76" t="b">
        <v>0</v>
      </c>
      <c r="BF56" s="76" t="b">
        <v>0</v>
      </c>
      <c r="BG56" s="76" t="b">
        <v>0</v>
      </c>
      <c r="BH56" s="76" t="b">
        <v>0</v>
      </c>
      <c r="BI56" s="81" t="str">
        <f>HYPERLINK("https://pbs.twimg.com/profile_banners/2192102106/1689750452")</f>
        <v>https://pbs.twimg.com/profile_banners/2192102106/1689750452</v>
      </c>
      <c r="BJ56" s="76"/>
      <c r="BK56" s="76" t="s">
        <v>330</v>
      </c>
      <c r="BL56" s="76" t="b">
        <v>0</v>
      </c>
      <c r="BM56" s="76"/>
      <c r="BN56" s="76" t="s">
        <v>65</v>
      </c>
      <c r="BO56" s="76" t="s">
        <v>332</v>
      </c>
      <c r="BP56" s="97" t="str">
        <f>HYPERLINK("https://twitter.com/ethanewebtech")</f>
        <v>https://twitter.com/ethanewebtech</v>
      </c>
      <c r="BQ56" s="45"/>
      <c r="BR56" s="45"/>
      <c r="BS56" s="45"/>
      <c r="BT56" s="45"/>
      <c r="BU56" s="45"/>
      <c r="BV56" s="45"/>
      <c r="BW56" s="45"/>
      <c r="BX56" s="45"/>
      <c r="BY56" s="45"/>
      <c r="BZ56" s="45"/>
      <c r="CA56" s="75" t="str">
        <f>REPLACE(INDEX(GroupVertices[Group],MATCH("~"&amp;Vertices[[#This Row],[Vertex]],GroupVertices[Vertex],0)),1,1,"")</f>
        <v>2</v>
      </c>
      <c r="CB56" s="2"/>
    </row>
    <row r="57" spans="1:80" ht="34.05" customHeight="1">
      <c r="A57" s="61" t="s">
        <v>684</v>
      </c>
      <c r="C57" s="62"/>
      <c r="D57" s="62"/>
      <c r="E57" s="63"/>
      <c r="F57" s="92"/>
      <c r="G57" s="86" t="str">
        <f>HYPERLINK("https://pbs.twimg.com/profile_images/636271519677571076/4gXj5TAo_normal.png")</f>
        <v>https://pbs.twimg.com/profile_images/636271519677571076/4gXj5TAo_normal.png</v>
      </c>
      <c r="H57" s="93"/>
      <c r="I57" s="66"/>
      <c r="J57" s="67"/>
      <c r="K57" s="94"/>
      <c r="L57" s="66" t="s">
        <v>1878</v>
      </c>
      <c r="M57" s="95"/>
      <c r="N57" s="71">
        <v>9494.3154296875</v>
      </c>
      <c r="O57" s="71">
        <v>4380.087890625</v>
      </c>
      <c r="P57" s="72"/>
      <c r="Q57" s="73"/>
      <c r="R57" s="73"/>
      <c r="S57" s="96"/>
      <c r="T57" s="45">
        <v>4</v>
      </c>
      <c r="U57" s="45">
        <v>0</v>
      </c>
      <c r="V57" s="46">
        <v>0.222222</v>
      </c>
      <c r="W57" s="46">
        <v>0.332618</v>
      </c>
      <c r="X57" s="46">
        <v>0.057283</v>
      </c>
      <c r="Y57" s="46">
        <v>0.005897</v>
      </c>
      <c r="Z57" s="46">
        <v>0.6666666666666666</v>
      </c>
      <c r="AA57" s="46">
        <v>0</v>
      </c>
      <c r="AB57" s="68">
        <v>57</v>
      </c>
      <c r="AC57" s="68"/>
      <c r="AD57" s="69"/>
      <c r="AE57" s="76" t="s">
        <v>1289</v>
      </c>
      <c r="AF57" s="80" t="s">
        <v>1417</v>
      </c>
      <c r="AG57" s="76">
        <v>2156</v>
      </c>
      <c r="AH57" s="76">
        <v>11</v>
      </c>
      <c r="AI57" s="76">
        <v>9159</v>
      </c>
      <c r="AJ57" s="76">
        <v>426</v>
      </c>
      <c r="AK57" s="76">
        <v>2601</v>
      </c>
      <c r="AL57" s="76">
        <v>1222</v>
      </c>
      <c r="AM57" s="76" t="b">
        <v>0</v>
      </c>
      <c r="AN57" s="78">
        <v>40094.58226851852</v>
      </c>
      <c r="AO57" s="76" t="s">
        <v>317</v>
      </c>
      <c r="AP57" s="76" t="s">
        <v>1610</v>
      </c>
      <c r="AQ57" s="81" t="str">
        <f>HYPERLINK("http://t.co/eBy3pLrGZM")</f>
        <v>http://t.co/eBy3pLrGZM</v>
      </c>
      <c r="AR57" s="81" t="str">
        <f>HYPERLINK("http://www.perfectsearchmedia.com")</f>
        <v>http://www.perfectsearchmedia.com</v>
      </c>
      <c r="AS57" s="76" t="s">
        <v>1732</v>
      </c>
      <c r="AT57" s="76"/>
      <c r="AU57" s="76"/>
      <c r="AV57" s="76"/>
      <c r="AW57" s="76">
        <v>1.66470128615831E+18</v>
      </c>
      <c r="AX57" s="81" t="str">
        <f>HYPERLINK("http://t.co/eBy3pLrGZM")</f>
        <v>http://t.co/eBy3pLrGZM</v>
      </c>
      <c r="AY57" s="76" t="b">
        <v>0</v>
      </c>
      <c r="AZ57" s="76"/>
      <c r="BA57" s="76"/>
      <c r="BB57" s="76" t="b">
        <v>0</v>
      </c>
      <c r="BC57" s="76" t="b">
        <v>1</v>
      </c>
      <c r="BD57" s="76" t="b">
        <v>0</v>
      </c>
      <c r="BE57" s="76" t="b">
        <v>0</v>
      </c>
      <c r="BF57" s="76" t="b">
        <v>1</v>
      </c>
      <c r="BG57" s="76" t="b">
        <v>0</v>
      </c>
      <c r="BH57" s="76" t="b">
        <v>0</v>
      </c>
      <c r="BI57" s="81" t="str">
        <f>HYPERLINK("https://pbs.twimg.com/profile_banners/80854249/1452538752")</f>
        <v>https://pbs.twimg.com/profile_banners/80854249/1452538752</v>
      </c>
      <c r="BJ57" s="76"/>
      <c r="BK57" s="76" t="s">
        <v>331</v>
      </c>
      <c r="BL57" s="76" t="b">
        <v>0</v>
      </c>
      <c r="BM57" s="76"/>
      <c r="BN57" s="76" t="s">
        <v>65</v>
      </c>
      <c r="BO57" s="76" t="s">
        <v>332</v>
      </c>
      <c r="BP57" s="97" t="str">
        <f>HYPERLINK("https://twitter.com/perfect_search")</f>
        <v>https://twitter.com/perfect_search</v>
      </c>
      <c r="BQ57" s="45"/>
      <c r="BR57" s="45"/>
      <c r="BS57" s="45"/>
      <c r="BT57" s="45"/>
      <c r="BU57" s="45"/>
      <c r="BV57" s="45"/>
      <c r="BW57" s="45"/>
      <c r="BX57" s="45"/>
      <c r="BY57" s="45"/>
      <c r="BZ57" s="45"/>
      <c r="CA57" s="75" t="str">
        <f>REPLACE(INDEX(GroupVertices[Group],MATCH("~"&amp;Vertices[[#This Row],[Vertex]],GroupVertices[Vertex],0)),1,1,"")</f>
        <v>2</v>
      </c>
      <c r="CB57" s="2"/>
    </row>
    <row r="58" spans="1:80" ht="34.05" customHeight="1">
      <c r="A58" s="61" t="s">
        <v>685</v>
      </c>
      <c r="C58" s="62"/>
      <c r="D58" s="62"/>
      <c r="E58" s="63"/>
      <c r="F58" s="92"/>
      <c r="G58" s="86" t="str">
        <f>HYPERLINK("https://pbs.twimg.com/profile_images/780739870553538560/wK_Bm-OE_normal.jpg")</f>
        <v>https://pbs.twimg.com/profile_images/780739870553538560/wK_Bm-OE_normal.jpg</v>
      </c>
      <c r="H58" s="93"/>
      <c r="I58" s="66"/>
      <c r="J58" s="67"/>
      <c r="K58" s="94"/>
      <c r="L58" s="66" t="s">
        <v>1879</v>
      </c>
      <c r="M58" s="95"/>
      <c r="N58" s="71">
        <v>8619.4052734375</v>
      </c>
      <c r="O58" s="71">
        <v>2288.193115234375</v>
      </c>
      <c r="P58" s="72"/>
      <c r="Q58" s="73"/>
      <c r="R58" s="73"/>
      <c r="S58" s="96"/>
      <c r="T58" s="45">
        <v>4</v>
      </c>
      <c r="U58" s="45">
        <v>0</v>
      </c>
      <c r="V58" s="46">
        <v>0.222222</v>
      </c>
      <c r="W58" s="46">
        <v>0.332618</v>
      </c>
      <c r="X58" s="46">
        <v>0.057283</v>
      </c>
      <c r="Y58" s="46">
        <v>0.005897</v>
      </c>
      <c r="Z58" s="46">
        <v>0.6666666666666666</v>
      </c>
      <c r="AA58" s="46">
        <v>0</v>
      </c>
      <c r="AB58" s="68">
        <v>58</v>
      </c>
      <c r="AC58" s="68"/>
      <c r="AD58" s="69"/>
      <c r="AE58" s="76" t="s">
        <v>1290</v>
      </c>
      <c r="AF58" s="80" t="s">
        <v>1418</v>
      </c>
      <c r="AG58" s="76">
        <v>4398</v>
      </c>
      <c r="AH58" s="76">
        <v>27</v>
      </c>
      <c r="AI58" s="76">
        <v>11748</v>
      </c>
      <c r="AJ58" s="76">
        <v>343</v>
      </c>
      <c r="AK58" s="76">
        <v>230</v>
      </c>
      <c r="AL58" s="76">
        <v>86</v>
      </c>
      <c r="AM58" s="76" t="b">
        <v>0</v>
      </c>
      <c r="AN58" s="78">
        <v>39986.58173611111</v>
      </c>
      <c r="AO58" s="76" t="s">
        <v>1521</v>
      </c>
      <c r="AP58" s="76" t="s">
        <v>1611</v>
      </c>
      <c r="AQ58" s="81" t="str">
        <f>HYPERLINK("http://t.co/tP9KaflWm8")</f>
        <v>http://t.co/tP9KaflWm8</v>
      </c>
      <c r="AR58" s="81" t="str">
        <f>HYPERLINK("http://www.straightnorth.com")</f>
        <v>http://www.straightnorth.com</v>
      </c>
      <c r="AS58" s="76" t="s">
        <v>1733</v>
      </c>
      <c r="AT58" s="76"/>
      <c r="AU58" s="76"/>
      <c r="AV58" s="76"/>
      <c r="AW58" s="76"/>
      <c r="AX58" s="81" t="str">
        <f>HYPERLINK("http://t.co/tP9KaflWm8")</f>
        <v>http://t.co/tP9KaflWm8</v>
      </c>
      <c r="AY58" s="76" t="b">
        <v>1</v>
      </c>
      <c r="AZ58" s="76"/>
      <c r="BA58" s="76"/>
      <c r="BB58" s="76" t="b">
        <v>0</v>
      </c>
      <c r="BC58" s="76" t="b">
        <v>1</v>
      </c>
      <c r="BD58" s="76" t="b">
        <v>0</v>
      </c>
      <c r="BE58" s="76" t="b">
        <v>0</v>
      </c>
      <c r="BF58" s="76" t="b">
        <v>0</v>
      </c>
      <c r="BG58" s="76" t="b">
        <v>0</v>
      </c>
      <c r="BH58" s="76" t="b">
        <v>0</v>
      </c>
      <c r="BI58" s="81" t="str">
        <f>HYPERLINK("https://pbs.twimg.com/profile_banners/49634971/1477679237")</f>
        <v>https://pbs.twimg.com/profile_banners/49634971/1477679237</v>
      </c>
      <c r="BJ58" s="76"/>
      <c r="BK58" s="76" t="s">
        <v>330</v>
      </c>
      <c r="BL58" s="76" t="b">
        <v>0</v>
      </c>
      <c r="BM58" s="76"/>
      <c r="BN58" s="76" t="s">
        <v>65</v>
      </c>
      <c r="BO58" s="76" t="s">
        <v>332</v>
      </c>
      <c r="BP58" s="97" t="str">
        <f>HYPERLINK("https://twitter.com/straightnorth")</f>
        <v>https://twitter.com/straightnorth</v>
      </c>
      <c r="BQ58" s="45"/>
      <c r="BR58" s="45"/>
      <c r="BS58" s="45"/>
      <c r="BT58" s="45"/>
      <c r="BU58" s="45"/>
      <c r="BV58" s="45"/>
      <c r="BW58" s="45"/>
      <c r="BX58" s="45"/>
      <c r="BY58" s="45"/>
      <c r="BZ58" s="45"/>
      <c r="CA58" s="75" t="str">
        <f>REPLACE(INDEX(GroupVertices[Group],MATCH("~"&amp;Vertices[[#This Row],[Vertex]],GroupVertices[Vertex],0)),1,1,"")</f>
        <v>2</v>
      </c>
      <c r="CB58" s="2"/>
    </row>
    <row r="59" spans="1:80" ht="34.05" customHeight="1">
      <c r="A59" s="61" t="s">
        <v>686</v>
      </c>
      <c r="C59" s="62"/>
      <c r="D59" s="62"/>
      <c r="E59" s="63"/>
      <c r="F59" s="92"/>
      <c r="G59" s="86" t="str">
        <f>HYPERLINK("https://pbs.twimg.com/profile_images/1112006815737434114/ZSIT6UiS_normal.png")</f>
        <v>https://pbs.twimg.com/profile_images/1112006815737434114/ZSIT6UiS_normal.png</v>
      </c>
      <c r="H59" s="93"/>
      <c r="I59" s="66"/>
      <c r="J59" s="67"/>
      <c r="K59" s="94"/>
      <c r="L59" s="66" t="s">
        <v>1880</v>
      </c>
      <c r="M59" s="95"/>
      <c r="N59" s="71">
        <v>8225.8388671875</v>
      </c>
      <c r="O59" s="71">
        <v>1893.1348876953125</v>
      </c>
      <c r="P59" s="72"/>
      <c r="Q59" s="73"/>
      <c r="R59" s="73"/>
      <c r="S59" s="96"/>
      <c r="T59" s="45">
        <v>4</v>
      </c>
      <c r="U59" s="45">
        <v>0</v>
      </c>
      <c r="V59" s="46">
        <v>0.222222</v>
      </c>
      <c r="W59" s="46">
        <v>0.332618</v>
      </c>
      <c r="X59" s="46">
        <v>0.057283</v>
      </c>
      <c r="Y59" s="46">
        <v>0.005897</v>
      </c>
      <c r="Z59" s="46">
        <v>0.6666666666666666</v>
      </c>
      <c r="AA59" s="46">
        <v>0</v>
      </c>
      <c r="AB59" s="68">
        <v>59</v>
      </c>
      <c r="AC59" s="68"/>
      <c r="AD59" s="69"/>
      <c r="AE59" s="76" t="s">
        <v>1291</v>
      </c>
      <c r="AF59" s="80" t="s">
        <v>1419</v>
      </c>
      <c r="AG59" s="76">
        <v>1109</v>
      </c>
      <c r="AH59" s="76">
        <v>770</v>
      </c>
      <c r="AI59" s="76">
        <v>5547</v>
      </c>
      <c r="AJ59" s="76">
        <v>103</v>
      </c>
      <c r="AK59" s="76">
        <v>461</v>
      </c>
      <c r="AL59" s="76">
        <v>2168</v>
      </c>
      <c r="AM59" s="76" t="b">
        <v>0</v>
      </c>
      <c r="AN59" s="78">
        <v>41735.08861111111</v>
      </c>
      <c r="AO59" s="76" t="s">
        <v>422</v>
      </c>
      <c r="AP59" s="76" t="s">
        <v>1612</v>
      </c>
      <c r="AQ59" s="76"/>
      <c r="AR59" s="76"/>
      <c r="AS59" s="76"/>
      <c r="AT59" s="76"/>
      <c r="AU59" s="76"/>
      <c r="AV59" s="76"/>
      <c r="AW59" s="76"/>
      <c r="AX59" s="76"/>
      <c r="AY59" s="76" t="b">
        <v>1</v>
      </c>
      <c r="AZ59" s="76"/>
      <c r="BA59" s="76"/>
      <c r="BB59" s="76" t="b">
        <v>0</v>
      </c>
      <c r="BC59" s="76" t="b">
        <v>1</v>
      </c>
      <c r="BD59" s="76" t="b">
        <v>0</v>
      </c>
      <c r="BE59" s="76" t="b">
        <v>0</v>
      </c>
      <c r="BF59" s="76" t="b">
        <v>0</v>
      </c>
      <c r="BG59" s="76" t="b">
        <v>0</v>
      </c>
      <c r="BH59" s="76" t="b">
        <v>0</v>
      </c>
      <c r="BI59" s="81" t="str">
        <f>HYPERLINK("https://pbs.twimg.com/profile_banners/2429718336/1556758375")</f>
        <v>https://pbs.twimg.com/profile_banners/2429718336/1556758375</v>
      </c>
      <c r="BJ59" s="76"/>
      <c r="BK59" s="76" t="s">
        <v>330</v>
      </c>
      <c r="BL59" s="76" t="b">
        <v>0</v>
      </c>
      <c r="BM59" s="76"/>
      <c r="BN59" s="76" t="s">
        <v>65</v>
      </c>
      <c r="BO59" s="76" t="s">
        <v>332</v>
      </c>
      <c r="BP59" s="97" t="str">
        <f>HYPERLINK("https://twitter.com/digitlresource")</f>
        <v>https://twitter.com/digitlresource</v>
      </c>
      <c r="BQ59" s="45"/>
      <c r="BR59" s="45"/>
      <c r="BS59" s="45"/>
      <c r="BT59" s="45"/>
      <c r="BU59" s="45"/>
      <c r="BV59" s="45"/>
      <c r="BW59" s="45"/>
      <c r="BX59" s="45"/>
      <c r="BY59" s="45"/>
      <c r="BZ59" s="45"/>
      <c r="CA59" s="75" t="str">
        <f>REPLACE(INDEX(GroupVertices[Group],MATCH("~"&amp;Vertices[[#This Row],[Vertex]],GroupVertices[Vertex],0)),1,1,"")</f>
        <v>2</v>
      </c>
      <c r="CB59" s="2"/>
    </row>
    <row r="60" spans="1:80" ht="34.05" customHeight="1">
      <c r="A60" s="61" t="s">
        <v>687</v>
      </c>
      <c r="C60" s="62"/>
      <c r="D60" s="62"/>
      <c r="E60" s="63"/>
      <c r="F60" s="92"/>
      <c r="G60" s="86" t="str">
        <f>HYPERLINK("https://pbs.twimg.com/profile_images/1207303082855538688/elZSbhW8_normal.jpg")</f>
        <v>https://pbs.twimg.com/profile_images/1207303082855538688/elZSbhW8_normal.jpg</v>
      </c>
      <c r="H60" s="93"/>
      <c r="I60" s="66"/>
      <c r="J60" s="67"/>
      <c r="K60" s="94"/>
      <c r="L60" s="66" t="s">
        <v>1881</v>
      </c>
      <c r="M60" s="95"/>
      <c r="N60" s="71">
        <v>9262.1533203125</v>
      </c>
      <c r="O60" s="71">
        <v>3515.955810546875</v>
      </c>
      <c r="P60" s="72"/>
      <c r="Q60" s="73"/>
      <c r="R60" s="73"/>
      <c r="S60" s="96"/>
      <c r="T60" s="45">
        <v>4</v>
      </c>
      <c r="U60" s="45">
        <v>0</v>
      </c>
      <c r="V60" s="46">
        <v>0.222222</v>
      </c>
      <c r="W60" s="46">
        <v>0.332618</v>
      </c>
      <c r="X60" s="46">
        <v>0.057283</v>
      </c>
      <c r="Y60" s="46">
        <v>0.005897</v>
      </c>
      <c r="Z60" s="46">
        <v>0.6666666666666666</v>
      </c>
      <c r="AA60" s="46">
        <v>0</v>
      </c>
      <c r="AB60" s="68">
        <v>60</v>
      </c>
      <c r="AC60" s="68"/>
      <c r="AD60" s="69"/>
      <c r="AE60" s="76" t="s">
        <v>1292</v>
      </c>
      <c r="AF60" s="80" t="s">
        <v>1420</v>
      </c>
      <c r="AG60" s="76">
        <v>2779</v>
      </c>
      <c r="AH60" s="76">
        <v>967</v>
      </c>
      <c r="AI60" s="76">
        <v>6653</v>
      </c>
      <c r="AJ60" s="76">
        <v>532</v>
      </c>
      <c r="AK60" s="76">
        <v>29040</v>
      </c>
      <c r="AL60" s="76">
        <v>1954</v>
      </c>
      <c r="AM60" s="76" t="b">
        <v>0</v>
      </c>
      <c r="AN60" s="78">
        <v>39917.70927083334</v>
      </c>
      <c r="AO60" s="76" t="s">
        <v>320</v>
      </c>
      <c r="AP60" s="76" t="s">
        <v>1613</v>
      </c>
      <c r="AQ60" s="81" t="str">
        <f>HYPERLINK("https://t.co/VEJQ2Bb0YN")</f>
        <v>https://t.co/VEJQ2Bb0YN</v>
      </c>
      <c r="AR60" s="81" t="str">
        <f>HYPERLINK("http://www.digivate.com")</f>
        <v>http://www.digivate.com</v>
      </c>
      <c r="AS60" s="76" t="s">
        <v>1734</v>
      </c>
      <c r="AT60" s="76"/>
      <c r="AU60" s="76"/>
      <c r="AV60" s="76"/>
      <c r="AW60" s="76"/>
      <c r="AX60" s="81" t="str">
        <f>HYPERLINK("https://t.co/VEJQ2Bb0YN")</f>
        <v>https://t.co/VEJQ2Bb0YN</v>
      </c>
      <c r="AY60" s="76" t="b">
        <v>0</v>
      </c>
      <c r="AZ60" s="76"/>
      <c r="BA60" s="76"/>
      <c r="BB60" s="76" t="b">
        <v>0</v>
      </c>
      <c r="BC60" s="76" t="b">
        <v>1</v>
      </c>
      <c r="BD60" s="76" t="b">
        <v>0</v>
      </c>
      <c r="BE60" s="76" t="b">
        <v>0</v>
      </c>
      <c r="BF60" s="76" t="b">
        <v>1</v>
      </c>
      <c r="BG60" s="76" t="b">
        <v>0</v>
      </c>
      <c r="BH60" s="76" t="b">
        <v>0</v>
      </c>
      <c r="BI60" s="81" t="str">
        <f>HYPERLINK("https://pbs.twimg.com/profile_banners/31167477/1576678495")</f>
        <v>https://pbs.twimg.com/profile_banners/31167477/1576678495</v>
      </c>
      <c r="BJ60" s="76"/>
      <c r="BK60" s="76" t="s">
        <v>330</v>
      </c>
      <c r="BL60" s="76" t="b">
        <v>0</v>
      </c>
      <c r="BM60" s="76"/>
      <c r="BN60" s="76" t="s">
        <v>65</v>
      </c>
      <c r="BO60" s="76" t="s">
        <v>332</v>
      </c>
      <c r="BP60" s="97" t="str">
        <f>HYPERLINK("https://twitter.com/digivate")</f>
        <v>https://twitter.com/digivate</v>
      </c>
      <c r="BQ60" s="45"/>
      <c r="BR60" s="45"/>
      <c r="BS60" s="45"/>
      <c r="BT60" s="45"/>
      <c r="BU60" s="45"/>
      <c r="BV60" s="45"/>
      <c r="BW60" s="45"/>
      <c r="BX60" s="45"/>
      <c r="BY60" s="45"/>
      <c r="BZ60" s="45"/>
      <c r="CA60" s="75" t="str">
        <f>REPLACE(INDEX(GroupVertices[Group],MATCH("~"&amp;Vertices[[#This Row],[Vertex]],GroupVertices[Vertex],0)),1,1,"")</f>
        <v>2</v>
      </c>
      <c r="CB60" s="2"/>
    </row>
    <row r="61" spans="1:80" ht="34.05" customHeight="1">
      <c r="A61" s="61" t="s">
        <v>688</v>
      </c>
      <c r="C61" s="62"/>
      <c r="D61" s="62"/>
      <c r="E61" s="63"/>
      <c r="F61" s="92"/>
      <c r="G61" s="86" t="str">
        <f>HYPERLINK("https://pbs.twimg.com/profile_images/1156351721934864384/sFjM4oly_normal.jpg")</f>
        <v>https://pbs.twimg.com/profile_images/1156351721934864384/sFjM4oly_normal.jpg</v>
      </c>
      <c r="H61" s="93"/>
      <c r="I61" s="66"/>
      <c r="J61" s="67"/>
      <c r="K61" s="94"/>
      <c r="L61" s="66" t="s">
        <v>1882</v>
      </c>
      <c r="M61" s="95"/>
      <c r="N61" s="71">
        <v>9428.1904296875</v>
      </c>
      <c r="O61" s="71">
        <v>3990.731689453125</v>
      </c>
      <c r="P61" s="72"/>
      <c r="Q61" s="73"/>
      <c r="R61" s="73"/>
      <c r="S61" s="96"/>
      <c r="T61" s="45">
        <v>4</v>
      </c>
      <c r="U61" s="45">
        <v>0</v>
      </c>
      <c r="V61" s="46">
        <v>0.222222</v>
      </c>
      <c r="W61" s="46">
        <v>0.332618</v>
      </c>
      <c r="X61" s="46">
        <v>0.057283</v>
      </c>
      <c r="Y61" s="46">
        <v>0.005897</v>
      </c>
      <c r="Z61" s="46">
        <v>0.6666666666666666</v>
      </c>
      <c r="AA61" s="46">
        <v>0</v>
      </c>
      <c r="AB61" s="68">
        <v>61</v>
      </c>
      <c r="AC61" s="68"/>
      <c r="AD61" s="69"/>
      <c r="AE61" s="76" t="s">
        <v>1293</v>
      </c>
      <c r="AF61" s="80" t="s">
        <v>1421</v>
      </c>
      <c r="AG61" s="76">
        <v>557</v>
      </c>
      <c r="AH61" s="76">
        <v>471</v>
      </c>
      <c r="AI61" s="76">
        <v>656</v>
      </c>
      <c r="AJ61" s="76">
        <v>19</v>
      </c>
      <c r="AK61" s="76">
        <v>363</v>
      </c>
      <c r="AL61" s="76">
        <v>421</v>
      </c>
      <c r="AM61" s="76" t="b">
        <v>0</v>
      </c>
      <c r="AN61" s="78">
        <v>41142.874398148146</v>
      </c>
      <c r="AO61" s="76" t="s">
        <v>1522</v>
      </c>
      <c r="AP61" s="76" t="s">
        <v>1614</v>
      </c>
      <c r="AQ61" s="81" t="str">
        <f>HYPERLINK("http://t.co/8TXWV1XH6c")</f>
        <v>http://t.co/8TXWV1XH6c</v>
      </c>
      <c r="AR61" s="81" t="str">
        <f>HYPERLINK("http://dashtwo.com")</f>
        <v>http://dashtwo.com</v>
      </c>
      <c r="AS61" s="76" t="s">
        <v>1735</v>
      </c>
      <c r="AT61" s="76"/>
      <c r="AU61" s="76"/>
      <c r="AV61" s="76"/>
      <c r="AW61" s="76"/>
      <c r="AX61" s="81" t="str">
        <f>HYPERLINK("http://t.co/8TXWV1XH6c")</f>
        <v>http://t.co/8TXWV1XH6c</v>
      </c>
      <c r="AY61" s="76" t="b">
        <v>0</v>
      </c>
      <c r="AZ61" s="76"/>
      <c r="BA61" s="76"/>
      <c r="BB61" s="76" t="b">
        <v>0</v>
      </c>
      <c r="BC61" s="76" t="b">
        <v>1</v>
      </c>
      <c r="BD61" s="76" t="b">
        <v>0</v>
      </c>
      <c r="BE61" s="76" t="b">
        <v>0</v>
      </c>
      <c r="BF61" s="76" t="b">
        <v>0</v>
      </c>
      <c r="BG61" s="76" t="b">
        <v>0</v>
      </c>
      <c r="BH61" s="76" t="b">
        <v>0</v>
      </c>
      <c r="BI61" s="81" t="str">
        <f>HYPERLINK("https://pbs.twimg.com/profile_banners/772247166/1564530711")</f>
        <v>https://pbs.twimg.com/profile_banners/772247166/1564530711</v>
      </c>
      <c r="BJ61" s="76"/>
      <c r="BK61" s="76" t="s">
        <v>330</v>
      </c>
      <c r="BL61" s="76" t="b">
        <v>0</v>
      </c>
      <c r="BM61" s="76"/>
      <c r="BN61" s="76" t="s">
        <v>65</v>
      </c>
      <c r="BO61" s="76" t="s">
        <v>332</v>
      </c>
      <c r="BP61" s="97" t="str">
        <f>HYPERLINK("https://twitter.com/dashtwo")</f>
        <v>https://twitter.com/dashtwo</v>
      </c>
      <c r="BQ61" s="45"/>
      <c r="BR61" s="45"/>
      <c r="BS61" s="45"/>
      <c r="BT61" s="45"/>
      <c r="BU61" s="45"/>
      <c r="BV61" s="45"/>
      <c r="BW61" s="45"/>
      <c r="BX61" s="45"/>
      <c r="BY61" s="45"/>
      <c r="BZ61" s="45"/>
      <c r="CA61" s="75" t="str">
        <f>REPLACE(INDEX(GroupVertices[Group],MATCH("~"&amp;Vertices[[#This Row],[Vertex]],GroupVertices[Vertex],0)),1,1,"")</f>
        <v>2</v>
      </c>
      <c r="CB61" s="2"/>
    </row>
    <row r="62" spans="1:80" ht="34.05" customHeight="1">
      <c r="A62" s="61" t="s">
        <v>635</v>
      </c>
      <c r="C62" s="62"/>
      <c r="D62" s="62"/>
      <c r="E62" s="63"/>
      <c r="F62" s="92"/>
      <c r="G62" s="86" t="str">
        <f>HYPERLINK("https://pbs.twimg.com/profile_images/1637868337458733056/ttqXG4C6_normal.jpg")</f>
        <v>https://pbs.twimg.com/profile_images/1637868337458733056/ttqXG4C6_normal.jpg</v>
      </c>
      <c r="H62" s="93"/>
      <c r="I62" s="66"/>
      <c r="J62" s="67"/>
      <c r="K62" s="94"/>
      <c r="L62" s="66" t="s">
        <v>1883</v>
      </c>
      <c r="M62" s="95"/>
      <c r="N62" s="71">
        <v>7046.427734375</v>
      </c>
      <c r="O62" s="71">
        <v>3757.427001953125</v>
      </c>
      <c r="P62" s="72"/>
      <c r="Q62" s="73"/>
      <c r="R62" s="73"/>
      <c r="S62" s="96"/>
      <c r="T62" s="45">
        <v>3</v>
      </c>
      <c r="U62" s="45">
        <v>9</v>
      </c>
      <c r="V62" s="46">
        <v>379.722222</v>
      </c>
      <c r="W62" s="46">
        <v>0.459941</v>
      </c>
      <c r="X62" s="46">
        <v>0.142462</v>
      </c>
      <c r="Y62" s="46">
        <v>0.007223</v>
      </c>
      <c r="Z62" s="46">
        <v>0.26666666666666666</v>
      </c>
      <c r="AA62" s="46">
        <v>0.2</v>
      </c>
      <c r="AB62" s="68">
        <v>62</v>
      </c>
      <c r="AC62" s="68"/>
      <c r="AD62" s="69"/>
      <c r="AE62" s="76" t="s">
        <v>1294</v>
      </c>
      <c r="AF62" s="80" t="s">
        <v>1422</v>
      </c>
      <c r="AG62" s="76">
        <v>1181</v>
      </c>
      <c r="AH62" s="76">
        <v>1811</v>
      </c>
      <c r="AI62" s="76">
        <v>845</v>
      </c>
      <c r="AJ62" s="76">
        <v>92</v>
      </c>
      <c r="AK62" s="76">
        <v>80</v>
      </c>
      <c r="AL62" s="76">
        <v>165</v>
      </c>
      <c r="AM62" s="76" t="b">
        <v>0</v>
      </c>
      <c r="AN62" s="78">
        <v>39975.62125</v>
      </c>
      <c r="AO62" s="76" t="s">
        <v>1523</v>
      </c>
      <c r="AP62" s="76" t="s">
        <v>1615</v>
      </c>
      <c r="AQ62" s="81" t="str">
        <f>HYPERLINK("https://t.co/jPiUNgzmda")</f>
        <v>https://t.co/jPiUNgzmda</v>
      </c>
      <c r="AR62" s="81" t="str">
        <f>HYPERLINK("https://www.leverinteractive.com/")</f>
        <v>https://www.leverinteractive.com/</v>
      </c>
      <c r="AS62" s="76" t="s">
        <v>1736</v>
      </c>
      <c r="AT62" s="76"/>
      <c r="AU62" s="76"/>
      <c r="AV62" s="76"/>
      <c r="AW62" s="76"/>
      <c r="AX62" s="81" t="str">
        <f>HYPERLINK("https://t.co/jPiUNgzmda")</f>
        <v>https://t.co/jPiUNgzmda</v>
      </c>
      <c r="AY62" s="76" t="b">
        <v>0</v>
      </c>
      <c r="AZ62" s="76"/>
      <c r="BA62" s="76"/>
      <c r="BB62" s="76" t="b">
        <v>0</v>
      </c>
      <c r="BC62" s="76" t="b">
        <v>1</v>
      </c>
      <c r="BD62" s="76" t="b">
        <v>0</v>
      </c>
      <c r="BE62" s="76" t="b">
        <v>0</v>
      </c>
      <c r="BF62" s="76" t="b">
        <v>0</v>
      </c>
      <c r="BG62" s="76" t="b">
        <v>0</v>
      </c>
      <c r="BH62" s="76" t="b">
        <v>0</v>
      </c>
      <c r="BI62" s="81" t="str">
        <f>HYPERLINK("https://pbs.twimg.com/profile_banners/46403338/1679333217")</f>
        <v>https://pbs.twimg.com/profile_banners/46403338/1679333217</v>
      </c>
      <c r="BJ62" s="76"/>
      <c r="BK62" s="76" t="s">
        <v>330</v>
      </c>
      <c r="BL62" s="76" t="b">
        <v>0</v>
      </c>
      <c r="BM62" s="76"/>
      <c r="BN62" s="76" t="s">
        <v>66</v>
      </c>
      <c r="BO62" s="76" t="s">
        <v>332</v>
      </c>
      <c r="BP62" s="97" t="str">
        <f>HYPERLINK("https://twitter.com/leveronline")</f>
        <v>https://twitter.com/leveronline</v>
      </c>
      <c r="BQ62" s="45"/>
      <c r="BR62" s="45"/>
      <c r="BS62" s="45"/>
      <c r="BT62" s="45"/>
      <c r="BU62" s="45"/>
      <c r="BV62" s="45"/>
      <c r="BW62" s="90" t="s">
        <v>2178</v>
      </c>
      <c r="BX62" s="90" t="s">
        <v>2178</v>
      </c>
      <c r="BY62" s="90" t="s">
        <v>2249</v>
      </c>
      <c r="BZ62" s="90" t="s">
        <v>2249</v>
      </c>
      <c r="CA62" s="75" t="str">
        <f>REPLACE(INDEX(GroupVertices[Group],MATCH("~"&amp;Vertices[[#This Row],[Vertex]],GroupVertices[Vertex],0)),1,1,"")</f>
        <v>2</v>
      </c>
      <c r="CB62" s="2"/>
    </row>
    <row r="63" spans="1:80" ht="34.05" customHeight="1">
      <c r="A63" s="61" t="s">
        <v>633</v>
      </c>
      <c r="C63" s="62"/>
      <c r="D63" s="62"/>
      <c r="E63" s="63"/>
      <c r="F63" s="92"/>
      <c r="G63" s="86" t="str">
        <f>HYPERLINK("https://pbs.twimg.com/profile_images/860443608020811776/rWwzFtYG_normal.jpg")</f>
        <v>https://pbs.twimg.com/profile_images/860443608020811776/rWwzFtYG_normal.jpg</v>
      </c>
      <c r="H63" s="93"/>
      <c r="I63" s="66"/>
      <c r="J63" s="67"/>
      <c r="K63" s="94"/>
      <c r="L63" s="66" t="s">
        <v>1884</v>
      </c>
      <c r="M63" s="95"/>
      <c r="N63" s="71">
        <v>7394.3369140625</v>
      </c>
      <c r="O63" s="71">
        <v>3357.567138671875</v>
      </c>
      <c r="P63" s="72"/>
      <c r="Q63" s="73"/>
      <c r="R63" s="73"/>
      <c r="S63" s="96"/>
      <c r="T63" s="45">
        <v>4</v>
      </c>
      <c r="U63" s="45">
        <v>31</v>
      </c>
      <c r="V63" s="46">
        <v>5539.722222</v>
      </c>
      <c r="W63" s="46">
        <v>0.492063</v>
      </c>
      <c r="X63" s="46">
        <v>0.193325</v>
      </c>
      <c r="Y63" s="46">
        <v>0.022003</v>
      </c>
      <c r="Z63" s="46">
        <v>0.03225806451612903</v>
      </c>
      <c r="AA63" s="46">
        <v>0.09375</v>
      </c>
      <c r="AB63" s="68">
        <v>63</v>
      </c>
      <c r="AC63" s="68"/>
      <c r="AD63" s="69"/>
      <c r="AE63" s="76" t="s">
        <v>1295</v>
      </c>
      <c r="AF63" s="80" t="s">
        <v>1222</v>
      </c>
      <c r="AG63" s="76">
        <v>872</v>
      </c>
      <c r="AH63" s="76">
        <v>261</v>
      </c>
      <c r="AI63" s="76">
        <v>5273</v>
      </c>
      <c r="AJ63" s="76">
        <v>16</v>
      </c>
      <c r="AK63" s="76">
        <v>1499</v>
      </c>
      <c r="AL63" s="76">
        <v>4682</v>
      </c>
      <c r="AM63" s="76" t="b">
        <v>0</v>
      </c>
      <c r="AN63" s="78">
        <v>42663.420694444445</v>
      </c>
      <c r="AO63" s="76"/>
      <c r="AP63" s="76" t="s">
        <v>1616</v>
      </c>
      <c r="AQ63" s="81" t="str">
        <f>HYPERLINK("https://t.co/bMAPeR9H8U")</f>
        <v>https://t.co/bMAPeR9H8U</v>
      </c>
      <c r="AR63" s="81" t="str">
        <f>HYPERLINK("https://www.topdevelopers.co")</f>
        <v>https://www.topdevelopers.co</v>
      </c>
      <c r="AS63" s="76" t="s">
        <v>1737</v>
      </c>
      <c r="AT63" s="81" t="str">
        <f>HYPERLINK("https://t.co/hh7FwtO8h3")</f>
        <v>https://t.co/hh7FwtO8h3</v>
      </c>
      <c r="AU63" s="81" t="str">
        <f>HYPERLINK("http://TopDevelopers.co")</f>
        <v>http://TopDevelopers.co</v>
      </c>
      <c r="AV63" s="76" t="s">
        <v>1295</v>
      </c>
      <c r="AW63" s="76"/>
      <c r="AX63" s="81" t="str">
        <f>HYPERLINK("https://t.co/bMAPeR9H8U")</f>
        <v>https://t.co/bMAPeR9H8U</v>
      </c>
      <c r="AY63" s="76" t="b">
        <v>0</v>
      </c>
      <c r="AZ63" s="76"/>
      <c r="BA63" s="76"/>
      <c r="BB63" s="76" t="b">
        <v>0</v>
      </c>
      <c r="BC63" s="76" t="b">
        <v>1</v>
      </c>
      <c r="BD63" s="76" t="b">
        <v>1</v>
      </c>
      <c r="BE63" s="76" t="b">
        <v>0</v>
      </c>
      <c r="BF63" s="76" t="b">
        <v>0</v>
      </c>
      <c r="BG63" s="76" t="b">
        <v>0</v>
      </c>
      <c r="BH63" s="76" t="b">
        <v>0</v>
      </c>
      <c r="BI63" s="81" t="str">
        <f>HYPERLINK("https://pbs.twimg.com/profile_banners/789044938122022912/1565791931")</f>
        <v>https://pbs.twimg.com/profile_banners/789044938122022912/1565791931</v>
      </c>
      <c r="BJ63" s="76"/>
      <c r="BK63" s="76" t="s">
        <v>330</v>
      </c>
      <c r="BL63" s="76" t="b">
        <v>0</v>
      </c>
      <c r="BM63" s="76"/>
      <c r="BN63" s="76" t="s">
        <v>66</v>
      </c>
      <c r="BO63" s="76" t="s">
        <v>332</v>
      </c>
      <c r="BP63" s="97" t="str">
        <f>HYPERLINK("https://twitter.com/topdevelopersco")</f>
        <v>https://twitter.com/topdevelopersco</v>
      </c>
      <c r="BQ63" s="45" t="s">
        <v>2123</v>
      </c>
      <c r="BR63" s="45" t="s">
        <v>2140</v>
      </c>
      <c r="BS63" s="45" t="s">
        <v>2016</v>
      </c>
      <c r="BT63" s="45" t="s">
        <v>886</v>
      </c>
      <c r="BU63" s="45" t="s">
        <v>2151</v>
      </c>
      <c r="BV63" s="45" t="s">
        <v>2157</v>
      </c>
      <c r="BW63" s="90" t="s">
        <v>2179</v>
      </c>
      <c r="BX63" s="90" t="s">
        <v>2229</v>
      </c>
      <c r="BY63" s="90" t="s">
        <v>2250</v>
      </c>
      <c r="BZ63" s="90" t="s">
        <v>2250</v>
      </c>
      <c r="CA63" s="75" t="str">
        <f>REPLACE(INDEX(GroupVertices[Group],MATCH("~"&amp;Vertices[[#This Row],[Vertex]],GroupVertices[Vertex],0)),1,1,"")</f>
        <v>2</v>
      </c>
      <c r="CB63" s="2"/>
    </row>
    <row r="64" spans="1:80" ht="34.05" customHeight="1">
      <c r="A64" s="61" t="s">
        <v>596</v>
      </c>
      <c r="C64" s="62"/>
      <c r="D64" s="62"/>
      <c r="E64" s="63"/>
      <c r="F64" s="92"/>
      <c r="G64" s="86" t="str">
        <f>HYPERLINK("https://pbs.twimg.com/profile_images/2067772740/Twitt_normal.jpg")</f>
        <v>https://pbs.twimg.com/profile_images/2067772740/Twitt_normal.jpg</v>
      </c>
      <c r="H64" s="93"/>
      <c r="I64" s="66"/>
      <c r="J64" s="67"/>
      <c r="K64" s="94"/>
      <c r="L64" s="66" t="s">
        <v>1885</v>
      </c>
      <c r="M64" s="95"/>
      <c r="N64" s="71">
        <v>7216.43994140625</v>
      </c>
      <c r="O64" s="71">
        <v>5401.16650390625</v>
      </c>
      <c r="P64" s="72"/>
      <c r="Q64" s="73"/>
      <c r="R64" s="73"/>
      <c r="S64" s="96"/>
      <c r="T64" s="45">
        <v>0</v>
      </c>
      <c r="U64" s="45">
        <v>4</v>
      </c>
      <c r="V64" s="46">
        <v>760</v>
      </c>
      <c r="W64" s="46">
        <v>0.422343</v>
      </c>
      <c r="X64" s="46">
        <v>0.068497</v>
      </c>
      <c r="Y64" s="46">
        <v>0.007325</v>
      </c>
      <c r="Z64" s="46">
        <v>0</v>
      </c>
      <c r="AA64" s="46">
        <v>0</v>
      </c>
      <c r="AB64" s="68">
        <v>64</v>
      </c>
      <c r="AC64" s="68"/>
      <c r="AD64" s="69"/>
      <c r="AE64" s="76" t="s">
        <v>1296</v>
      </c>
      <c r="AF64" s="80" t="s">
        <v>1423</v>
      </c>
      <c r="AG64" s="76">
        <v>86</v>
      </c>
      <c r="AH64" s="76">
        <v>399</v>
      </c>
      <c r="AI64" s="76">
        <v>398</v>
      </c>
      <c r="AJ64" s="76">
        <v>0</v>
      </c>
      <c r="AK64" s="76">
        <v>783</v>
      </c>
      <c r="AL64" s="76">
        <v>12</v>
      </c>
      <c r="AM64" s="76" t="b">
        <v>0</v>
      </c>
      <c r="AN64" s="78">
        <v>41007.393599537034</v>
      </c>
      <c r="AO64" s="76"/>
      <c r="AP64" s="76"/>
      <c r="AQ64" s="76"/>
      <c r="AR64" s="76"/>
      <c r="AS64" s="76"/>
      <c r="AT64" s="76"/>
      <c r="AU64" s="76"/>
      <c r="AV64" s="76"/>
      <c r="AW64" s="76">
        <v>1.25525660880592E+18</v>
      </c>
      <c r="AX64" s="76"/>
      <c r="AY64" s="76" t="b">
        <v>0</v>
      </c>
      <c r="AZ64" s="76"/>
      <c r="BA64" s="76"/>
      <c r="BB64" s="76" t="b">
        <v>0</v>
      </c>
      <c r="BC64" s="76" t="b">
        <v>1</v>
      </c>
      <c r="BD64" s="76" t="b">
        <v>1</v>
      </c>
      <c r="BE64" s="76" t="b">
        <v>0</v>
      </c>
      <c r="BF64" s="76" t="b">
        <v>1</v>
      </c>
      <c r="BG64" s="76" t="b">
        <v>0</v>
      </c>
      <c r="BH64" s="76" t="b">
        <v>0</v>
      </c>
      <c r="BI64" s="76"/>
      <c r="BJ64" s="76"/>
      <c r="BK64" s="76" t="s">
        <v>330</v>
      </c>
      <c r="BL64" s="76" t="b">
        <v>0</v>
      </c>
      <c r="BM64" s="76"/>
      <c r="BN64" s="76" t="s">
        <v>66</v>
      </c>
      <c r="BO64" s="76" t="s">
        <v>332</v>
      </c>
      <c r="BP64" s="97" t="str">
        <f>HYPERLINK("https://twitter.com/laurieciss")</f>
        <v>https://twitter.com/laurieciss</v>
      </c>
      <c r="BQ64" s="45"/>
      <c r="BR64" s="45"/>
      <c r="BS64" s="45"/>
      <c r="BT64" s="45"/>
      <c r="BU64" s="45"/>
      <c r="BV64" s="45"/>
      <c r="BW64" s="90" t="s">
        <v>2180</v>
      </c>
      <c r="BX64" s="90" t="s">
        <v>2180</v>
      </c>
      <c r="BY64" s="90" t="s">
        <v>2251</v>
      </c>
      <c r="BZ64" s="90" t="s">
        <v>2251</v>
      </c>
      <c r="CA64" s="75" t="str">
        <f>REPLACE(INDEX(GroupVertices[Group],MATCH("~"&amp;Vertices[[#This Row],[Vertex]],GroupVertices[Vertex],0)),1,1,"")</f>
        <v>3</v>
      </c>
      <c r="CB64" s="2"/>
    </row>
    <row r="65" spans="1:80" ht="34.05" customHeight="1">
      <c r="A65" s="61" t="s">
        <v>689</v>
      </c>
      <c r="C65" s="62"/>
      <c r="D65" s="62"/>
      <c r="E65" s="63"/>
      <c r="F65" s="92"/>
      <c r="G65" s="86" t="str">
        <f>HYPERLINK("https://pbs.twimg.com/profile_images/1487192260143988741/gZKXnAAq_normal.jpg")</f>
        <v>https://pbs.twimg.com/profile_images/1487192260143988741/gZKXnAAq_normal.jpg</v>
      </c>
      <c r="H65" s="93"/>
      <c r="I65" s="66"/>
      <c r="J65" s="67"/>
      <c r="K65" s="94"/>
      <c r="L65" s="66" t="s">
        <v>1886</v>
      </c>
      <c r="M65" s="95"/>
      <c r="N65" s="71">
        <v>4762.78369140625</v>
      </c>
      <c r="O65" s="71">
        <v>181.95713806152344</v>
      </c>
      <c r="P65" s="72"/>
      <c r="Q65" s="73"/>
      <c r="R65" s="73"/>
      <c r="S65" s="96"/>
      <c r="T65" s="45">
        <v>1</v>
      </c>
      <c r="U65" s="45">
        <v>0</v>
      </c>
      <c r="V65" s="46">
        <v>0</v>
      </c>
      <c r="W65" s="46">
        <v>0.297505</v>
      </c>
      <c r="X65" s="46">
        <v>0.006564</v>
      </c>
      <c r="Y65" s="46">
        <v>0.005723</v>
      </c>
      <c r="Z65" s="46">
        <v>0</v>
      </c>
      <c r="AA65" s="46">
        <v>0</v>
      </c>
      <c r="AB65" s="68">
        <v>65</v>
      </c>
      <c r="AC65" s="68"/>
      <c r="AD65" s="69"/>
      <c r="AE65" s="76" t="s">
        <v>1297</v>
      </c>
      <c r="AF65" s="80" t="s">
        <v>1424</v>
      </c>
      <c r="AG65" s="76">
        <v>68</v>
      </c>
      <c r="AH65" s="76">
        <v>101</v>
      </c>
      <c r="AI65" s="76">
        <v>84</v>
      </c>
      <c r="AJ65" s="76">
        <v>1</v>
      </c>
      <c r="AK65" s="76">
        <v>99</v>
      </c>
      <c r="AL65" s="76">
        <v>21</v>
      </c>
      <c r="AM65" s="76" t="b">
        <v>0</v>
      </c>
      <c r="AN65" s="78">
        <v>43932.54702546296</v>
      </c>
      <c r="AO65" s="76" t="s">
        <v>1524</v>
      </c>
      <c r="AP65" s="76"/>
      <c r="AQ65" s="81" t="str">
        <f>HYPERLINK("https://t.co/DB0f2TxE2T")</f>
        <v>https://t.co/DB0f2TxE2T</v>
      </c>
      <c r="AR65" s="81" t="str">
        <f>HYPERLINK("http://www.biopyrenees.com")</f>
        <v>http://www.biopyrenees.com</v>
      </c>
      <c r="AS65" s="76" t="s">
        <v>1738</v>
      </c>
      <c r="AT65" s="76"/>
      <c r="AU65" s="76"/>
      <c r="AV65" s="76"/>
      <c r="AW65" s="76">
        <v>1.41570798901368E+18</v>
      </c>
      <c r="AX65" s="81" t="str">
        <f>HYPERLINK("https://t.co/DB0f2TxE2T")</f>
        <v>https://t.co/DB0f2TxE2T</v>
      </c>
      <c r="AY65" s="76" t="b">
        <v>0</v>
      </c>
      <c r="AZ65" s="76"/>
      <c r="BA65" s="76"/>
      <c r="BB65" s="76" t="b">
        <v>0</v>
      </c>
      <c r="BC65" s="76" t="b">
        <v>1</v>
      </c>
      <c r="BD65" s="76" t="b">
        <v>1</v>
      </c>
      <c r="BE65" s="76" t="b">
        <v>0</v>
      </c>
      <c r="BF65" s="76" t="b">
        <v>0</v>
      </c>
      <c r="BG65" s="76" t="b">
        <v>0</v>
      </c>
      <c r="BH65" s="76" t="b">
        <v>0</v>
      </c>
      <c r="BI65" s="81" t="str">
        <f>HYPERLINK("https://pbs.twimg.com/profile_banners/1248960811021881344/1643585747")</f>
        <v>https://pbs.twimg.com/profile_banners/1248960811021881344/1643585747</v>
      </c>
      <c r="BJ65" s="76"/>
      <c r="BK65" s="76" t="s">
        <v>330</v>
      </c>
      <c r="BL65" s="76" t="b">
        <v>0</v>
      </c>
      <c r="BM65" s="76"/>
      <c r="BN65" s="76" t="s">
        <v>65</v>
      </c>
      <c r="BO65" s="76" t="s">
        <v>332</v>
      </c>
      <c r="BP65" s="97" t="str">
        <f>HYPERLINK("https://twitter.com/labobiopyrenees")</f>
        <v>https://twitter.com/labobiopyrenees</v>
      </c>
      <c r="BQ65" s="45"/>
      <c r="BR65" s="45"/>
      <c r="BS65" s="45"/>
      <c r="BT65" s="45"/>
      <c r="BU65" s="45"/>
      <c r="BV65" s="45"/>
      <c r="BW65" s="45"/>
      <c r="BX65" s="45"/>
      <c r="BY65" s="45"/>
      <c r="BZ65" s="45"/>
      <c r="CA65" s="75" t="str">
        <f>REPLACE(INDEX(GroupVertices[Group],MATCH("~"&amp;Vertices[[#This Row],[Vertex]],GroupVertices[Vertex],0)),1,1,"")</f>
        <v>3</v>
      </c>
      <c r="CB65" s="2"/>
    </row>
    <row r="66" spans="1:80" ht="34.05" customHeight="1">
      <c r="A66" s="61" t="s">
        <v>597</v>
      </c>
      <c r="C66" s="62"/>
      <c r="D66" s="62"/>
      <c r="E66" s="63"/>
      <c r="F66" s="92"/>
      <c r="G66" s="86" t="str">
        <f>HYPERLINK("https://pbs.twimg.com/profile_images/1164192706660315136/LGUyT95O_normal.jpg")</f>
        <v>https://pbs.twimg.com/profile_images/1164192706660315136/LGUyT95O_normal.jpg</v>
      </c>
      <c r="H66" s="93"/>
      <c r="I66" s="66"/>
      <c r="J66" s="67"/>
      <c r="K66" s="94"/>
      <c r="L66" s="66" t="s">
        <v>1887</v>
      </c>
      <c r="M66" s="95"/>
      <c r="N66" s="71">
        <v>9253.091796875</v>
      </c>
      <c r="O66" s="71">
        <v>7635.36083984375</v>
      </c>
      <c r="P66" s="72"/>
      <c r="Q66" s="73"/>
      <c r="R66" s="73"/>
      <c r="S66" s="96"/>
      <c r="T66" s="45">
        <v>2</v>
      </c>
      <c r="U66" s="45">
        <v>1</v>
      </c>
      <c r="V66" s="46">
        <v>0</v>
      </c>
      <c r="W66" s="46">
        <v>0.297505</v>
      </c>
      <c r="X66" s="46">
        <v>0.007259</v>
      </c>
      <c r="Y66" s="46">
        <v>0.006187</v>
      </c>
      <c r="Z66" s="46">
        <v>0</v>
      </c>
      <c r="AA66" s="46">
        <v>0</v>
      </c>
      <c r="AB66" s="68">
        <v>66</v>
      </c>
      <c r="AC66" s="68"/>
      <c r="AD66" s="69"/>
      <c r="AE66" s="76" t="s">
        <v>1298</v>
      </c>
      <c r="AF66" s="80" t="s">
        <v>1425</v>
      </c>
      <c r="AG66" s="76">
        <v>115657</v>
      </c>
      <c r="AH66" s="76">
        <v>1904</v>
      </c>
      <c r="AI66" s="76">
        <v>41174</v>
      </c>
      <c r="AJ66" s="76">
        <v>1563</v>
      </c>
      <c r="AK66" s="76">
        <v>7731</v>
      </c>
      <c r="AL66" s="76">
        <v>12566</v>
      </c>
      <c r="AM66" s="76" t="b">
        <v>0</v>
      </c>
      <c r="AN66" s="78">
        <v>41005.46084490741</v>
      </c>
      <c r="AO66" s="76" t="s">
        <v>304</v>
      </c>
      <c r="AP66" s="76" t="s">
        <v>1617</v>
      </c>
      <c r="AQ66" s="81" t="str">
        <f>HYPERLINK("https://t.co/WCE0UwSNRY")</f>
        <v>https://t.co/WCE0UwSNRY</v>
      </c>
      <c r="AR66" s="81" t="str">
        <f>HYPERLINK("https://www.alternatives-economiques.fr/")</f>
        <v>https://www.alternatives-economiques.fr/</v>
      </c>
      <c r="AS66" s="76" t="s">
        <v>1739</v>
      </c>
      <c r="AT66" s="76"/>
      <c r="AU66" s="76"/>
      <c r="AV66" s="76"/>
      <c r="AW66" s="76"/>
      <c r="AX66" s="81" t="str">
        <f>HYPERLINK("https://t.co/WCE0UwSNRY")</f>
        <v>https://t.co/WCE0UwSNRY</v>
      </c>
      <c r="AY66" s="76" t="b">
        <v>0</v>
      </c>
      <c r="AZ66" s="76"/>
      <c r="BA66" s="76"/>
      <c r="BB66" s="76" t="b">
        <v>1</v>
      </c>
      <c r="BC66" s="76" t="b">
        <v>1</v>
      </c>
      <c r="BD66" s="76" t="b">
        <v>0</v>
      </c>
      <c r="BE66" s="76" t="b">
        <v>0</v>
      </c>
      <c r="BF66" s="76" t="b">
        <v>1</v>
      </c>
      <c r="BG66" s="76" t="b">
        <v>0</v>
      </c>
      <c r="BH66" s="76" t="b">
        <v>0</v>
      </c>
      <c r="BI66" s="81" t="str">
        <f>HYPERLINK("https://pbs.twimg.com/profile_banners/546720037/1646305740")</f>
        <v>https://pbs.twimg.com/profile_banners/546720037/1646305740</v>
      </c>
      <c r="BJ66" s="76"/>
      <c r="BK66" s="76" t="s">
        <v>330</v>
      </c>
      <c r="BL66" s="76" t="b">
        <v>0</v>
      </c>
      <c r="BM66" s="76"/>
      <c r="BN66" s="76" t="s">
        <v>66</v>
      </c>
      <c r="BO66" s="76" t="s">
        <v>332</v>
      </c>
      <c r="BP66" s="97" t="str">
        <f>HYPERLINK("https://twitter.com/altereco_")</f>
        <v>https://twitter.com/altereco_</v>
      </c>
      <c r="BQ66" s="45" t="s">
        <v>2004</v>
      </c>
      <c r="BR66" s="45" t="s">
        <v>2004</v>
      </c>
      <c r="BS66" s="45" t="s">
        <v>872</v>
      </c>
      <c r="BT66" s="45" t="s">
        <v>872</v>
      </c>
      <c r="BU66" s="45"/>
      <c r="BV66" s="45"/>
      <c r="BW66" s="90" t="s">
        <v>2181</v>
      </c>
      <c r="BX66" s="90" t="s">
        <v>2181</v>
      </c>
      <c r="BY66" s="90" t="s">
        <v>2252</v>
      </c>
      <c r="BZ66" s="90" t="s">
        <v>2252</v>
      </c>
      <c r="CA66" s="75" t="str">
        <f>REPLACE(INDEX(GroupVertices[Group],MATCH("~"&amp;Vertices[[#This Row],[Vertex]],GroupVertices[Vertex],0)),1,1,"")</f>
        <v>3</v>
      </c>
      <c r="CB66" s="2"/>
    </row>
    <row r="67" spans="1:80" ht="34.05" customHeight="1">
      <c r="A67" s="61" t="s">
        <v>598</v>
      </c>
      <c r="C67" s="62"/>
      <c r="D67" s="62"/>
      <c r="E67" s="63"/>
      <c r="F67" s="92"/>
      <c r="G67" s="86" t="str">
        <f>HYPERLINK("https://pbs.twimg.com/profile_images/1094193552698077185/_I-5pm2s_normal.jpg")</f>
        <v>https://pbs.twimg.com/profile_images/1094193552698077185/_I-5pm2s_normal.jpg</v>
      </c>
      <c r="H67" s="93"/>
      <c r="I67" s="66"/>
      <c r="J67" s="67"/>
      <c r="K67" s="94"/>
      <c r="L67" s="66" t="s">
        <v>1888</v>
      </c>
      <c r="M67" s="95"/>
      <c r="N67" s="71">
        <v>6080.33984375</v>
      </c>
      <c r="O67" s="71">
        <v>6544.04052734375</v>
      </c>
      <c r="P67" s="72"/>
      <c r="Q67" s="73"/>
      <c r="R67" s="73"/>
      <c r="S67" s="96"/>
      <c r="T67" s="45">
        <v>0</v>
      </c>
      <c r="U67" s="45">
        <v>1</v>
      </c>
      <c r="V67" s="46">
        <v>0</v>
      </c>
      <c r="W67" s="46">
        <v>0.41555</v>
      </c>
      <c r="X67" s="46">
        <v>0.065898</v>
      </c>
      <c r="Y67" s="46">
        <v>0.005556</v>
      </c>
      <c r="Z67" s="46">
        <v>0</v>
      </c>
      <c r="AA67" s="46">
        <v>0</v>
      </c>
      <c r="AB67" s="68">
        <v>67</v>
      </c>
      <c r="AC67" s="68"/>
      <c r="AD67" s="69"/>
      <c r="AE67" s="76" t="s">
        <v>1299</v>
      </c>
      <c r="AF67" s="80" t="s">
        <v>1426</v>
      </c>
      <c r="AG67" s="76">
        <v>17628</v>
      </c>
      <c r="AH67" s="76">
        <v>15397</v>
      </c>
      <c r="AI67" s="76">
        <v>40726</v>
      </c>
      <c r="AJ67" s="76">
        <v>1271</v>
      </c>
      <c r="AK67" s="76">
        <v>14103</v>
      </c>
      <c r="AL67" s="76">
        <v>12352</v>
      </c>
      <c r="AM67" s="76" t="b">
        <v>0</v>
      </c>
      <c r="AN67" s="78">
        <v>42198.87721064815</v>
      </c>
      <c r="AO67" s="76" t="s">
        <v>327</v>
      </c>
      <c r="AP67" s="76" t="s">
        <v>1618</v>
      </c>
      <c r="AQ67" s="81" t="str">
        <f>HYPERLINK("https://t.co/rSzz1iqylN")</f>
        <v>https://t.co/rSzz1iqylN</v>
      </c>
      <c r="AR67" s="81" t="str">
        <f>HYPERLINK("http://grwth.link/gmc-global-tb")</f>
        <v>http://grwth.link/gmc-global-tb</v>
      </c>
      <c r="AS67" s="76" t="s">
        <v>1740</v>
      </c>
      <c r="AT67" s="76"/>
      <c r="AU67" s="76"/>
      <c r="AV67" s="76"/>
      <c r="AW67" s="76">
        <v>1.20551892230218E+18</v>
      </c>
      <c r="AX67" s="81" t="str">
        <f>HYPERLINK("https://t.co/rSzz1iqylN")</f>
        <v>https://t.co/rSzz1iqylN</v>
      </c>
      <c r="AY67" s="76" t="b">
        <v>0</v>
      </c>
      <c r="AZ67" s="76"/>
      <c r="BA67" s="76"/>
      <c r="BB67" s="76" t="b">
        <v>0</v>
      </c>
      <c r="BC67" s="76" t="b">
        <v>1</v>
      </c>
      <c r="BD67" s="76" t="b">
        <v>0</v>
      </c>
      <c r="BE67" s="76" t="b">
        <v>0</v>
      </c>
      <c r="BF67" s="76" t="b">
        <v>1</v>
      </c>
      <c r="BG67" s="76" t="b">
        <v>0</v>
      </c>
      <c r="BH67" s="76" t="b">
        <v>0</v>
      </c>
      <c r="BI67" s="81" t="str">
        <f>HYPERLINK("https://pbs.twimg.com/profile_banners/3278888852/1549711140")</f>
        <v>https://pbs.twimg.com/profile_banners/3278888852/1549711140</v>
      </c>
      <c r="BJ67" s="76"/>
      <c r="BK67" s="76" t="s">
        <v>330</v>
      </c>
      <c r="BL67" s="76" t="b">
        <v>0</v>
      </c>
      <c r="BM67" s="76"/>
      <c r="BN67" s="76" t="s">
        <v>66</v>
      </c>
      <c r="BO67" s="76" t="s">
        <v>332</v>
      </c>
      <c r="BP67" s="97" t="str">
        <f>HYPERLINK("https://twitter.com/growthmktconf")</f>
        <v>https://twitter.com/growthmktconf</v>
      </c>
      <c r="BQ67" s="45" t="s">
        <v>2124</v>
      </c>
      <c r="BR67" s="45" t="s">
        <v>2124</v>
      </c>
      <c r="BS67" s="45" t="s">
        <v>873</v>
      </c>
      <c r="BT67" s="45" t="s">
        <v>873</v>
      </c>
      <c r="BU67" s="45"/>
      <c r="BV67" s="45"/>
      <c r="BW67" s="90" t="s">
        <v>2182</v>
      </c>
      <c r="BX67" s="90" t="s">
        <v>2182</v>
      </c>
      <c r="BY67" s="90" t="s">
        <v>2253</v>
      </c>
      <c r="BZ67" s="90" t="s">
        <v>2253</v>
      </c>
      <c r="CA67" s="75" t="str">
        <f>REPLACE(INDEX(GroupVertices[Group],MATCH("~"&amp;Vertices[[#This Row],[Vertex]],GroupVertices[Vertex],0)),1,1,"")</f>
        <v>1</v>
      </c>
      <c r="CB67" s="2"/>
    </row>
    <row r="68" spans="1:80" ht="34.05" customHeight="1">
      <c r="A68" s="61" t="s">
        <v>599</v>
      </c>
      <c r="C68" s="62"/>
      <c r="D68" s="62"/>
      <c r="E68" s="63"/>
      <c r="F68" s="92"/>
      <c r="G68" s="86" t="str">
        <f>HYPERLINK("https://pbs.twimg.com/profile_images/1293970537878880259/4vWgJzMG_normal.jpg")</f>
        <v>https://pbs.twimg.com/profile_images/1293970537878880259/4vWgJzMG_normal.jpg</v>
      </c>
      <c r="H68" s="93"/>
      <c r="I68" s="66"/>
      <c r="J68" s="67"/>
      <c r="K68" s="94"/>
      <c r="L68" s="66" t="s">
        <v>1889</v>
      </c>
      <c r="M68" s="95"/>
      <c r="N68" s="71">
        <v>6468.06201171875</v>
      </c>
      <c r="O68" s="71">
        <v>4590.96630859375</v>
      </c>
      <c r="P68" s="72"/>
      <c r="Q68" s="73"/>
      <c r="R68" s="73"/>
      <c r="S68" s="96"/>
      <c r="T68" s="45">
        <v>0</v>
      </c>
      <c r="U68" s="45">
        <v>1</v>
      </c>
      <c r="V68" s="46">
        <v>0</v>
      </c>
      <c r="W68" s="46">
        <v>0.41555</v>
      </c>
      <c r="X68" s="46">
        <v>0.065898</v>
      </c>
      <c r="Y68" s="46">
        <v>0.005556</v>
      </c>
      <c r="Z68" s="46">
        <v>0</v>
      </c>
      <c r="AA68" s="46">
        <v>0</v>
      </c>
      <c r="AB68" s="68">
        <v>68</v>
      </c>
      <c r="AC68" s="68"/>
      <c r="AD68" s="69"/>
      <c r="AE68" s="76" t="s">
        <v>1300</v>
      </c>
      <c r="AF68" s="80" t="s">
        <v>1427</v>
      </c>
      <c r="AG68" s="76">
        <v>2604</v>
      </c>
      <c r="AH68" s="76">
        <v>2351</v>
      </c>
      <c r="AI68" s="76">
        <v>9582</v>
      </c>
      <c r="AJ68" s="76">
        <v>112</v>
      </c>
      <c r="AK68" s="76">
        <v>671</v>
      </c>
      <c r="AL68" s="76">
        <v>2946</v>
      </c>
      <c r="AM68" s="76" t="b">
        <v>0</v>
      </c>
      <c r="AN68" s="78">
        <v>41887.79651620371</v>
      </c>
      <c r="AO68" s="76"/>
      <c r="AP68" s="76" t="s">
        <v>1619</v>
      </c>
      <c r="AQ68" s="81" t="str">
        <f>HYPERLINK("https://t.co/xlQaN2GIuq")</f>
        <v>https://t.co/xlQaN2GIuq</v>
      </c>
      <c r="AR68" s="81" t="str">
        <f>HYPERLINK("https://slidesource.com/")</f>
        <v>https://slidesource.com/</v>
      </c>
      <c r="AS68" s="76" t="s">
        <v>1741</v>
      </c>
      <c r="AT68" s="76"/>
      <c r="AU68" s="76"/>
      <c r="AV68" s="76"/>
      <c r="AW68" s="76">
        <v>1.33888091487777E+18</v>
      </c>
      <c r="AX68" s="81" t="str">
        <f>HYPERLINK("https://t.co/xlQaN2GIuq")</f>
        <v>https://t.co/xlQaN2GIuq</v>
      </c>
      <c r="AY68" s="76" t="b">
        <v>1</v>
      </c>
      <c r="AZ68" s="76"/>
      <c r="BA68" s="76"/>
      <c r="BB68" s="76" t="b">
        <v>1</v>
      </c>
      <c r="BC68" s="76" t="b">
        <v>1</v>
      </c>
      <c r="BD68" s="76" t="b">
        <v>0</v>
      </c>
      <c r="BE68" s="76" t="b">
        <v>0</v>
      </c>
      <c r="BF68" s="76" t="b">
        <v>0</v>
      </c>
      <c r="BG68" s="76" t="b">
        <v>0</v>
      </c>
      <c r="BH68" s="76" t="b">
        <v>0</v>
      </c>
      <c r="BI68" s="81" t="str">
        <f>HYPERLINK("https://pbs.twimg.com/profile_banners/2792438832/1597855006")</f>
        <v>https://pbs.twimg.com/profile_banners/2792438832/1597855006</v>
      </c>
      <c r="BJ68" s="76"/>
      <c r="BK68" s="76" t="s">
        <v>330</v>
      </c>
      <c r="BL68" s="76" t="b">
        <v>0</v>
      </c>
      <c r="BM68" s="76"/>
      <c r="BN68" s="76" t="s">
        <v>66</v>
      </c>
      <c r="BO68" s="76" t="s">
        <v>332</v>
      </c>
      <c r="BP68" s="97" t="str">
        <f>HYPERLINK("https://twitter.com/slidesource")</f>
        <v>https://twitter.com/slidesource</v>
      </c>
      <c r="BQ68" s="45"/>
      <c r="BR68" s="45"/>
      <c r="BS68" s="45"/>
      <c r="BT68" s="45"/>
      <c r="BU68" s="45"/>
      <c r="BV68" s="45"/>
      <c r="BW68" s="90" t="s">
        <v>2183</v>
      </c>
      <c r="BX68" s="90" t="s">
        <v>2183</v>
      </c>
      <c r="BY68" s="90" t="s">
        <v>2254</v>
      </c>
      <c r="BZ68" s="90" t="s">
        <v>2254</v>
      </c>
      <c r="CA68" s="75" t="str">
        <f>REPLACE(INDEX(GroupVertices[Group],MATCH("~"&amp;Vertices[[#This Row],[Vertex]],GroupVertices[Vertex],0)),1,1,"")</f>
        <v>1</v>
      </c>
      <c r="CB68" s="2"/>
    </row>
    <row r="69" spans="1:80" ht="34.05" customHeight="1">
      <c r="A69" s="61" t="s">
        <v>600</v>
      </c>
      <c r="C69" s="62"/>
      <c r="D69" s="62"/>
      <c r="E69" s="63"/>
      <c r="F69" s="92"/>
      <c r="G69" s="86" t="str">
        <f>HYPERLINK("https://pbs.twimg.com/profile_images/1283814083712565248/fAfZbOhm_normal.jpg")</f>
        <v>https://pbs.twimg.com/profile_images/1283814083712565248/fAfZbOhm_normal.jpg</v>
      </c>
      <c r="H69" s="93"/>
      <c r="I69" s="66"/>
      <c r="J69" s="67"/>
      <c r="K69" s="94"/>
      <c r="L69" s="66" t="s">
        <v>1890</v>
      </c>
      <c r="M69" s="95"/>
      <c r="N69" s="71">
        <v>5035.01171875</v>
      </c>
      <c r="O69" s="71">
        <v>5625.849609375</v>
      </c>
      <c r="P69" s="72"/>
      <c r="Q69" s="73"/>
      <c r="R69" s="73"/>
      <c r="S69" s="96"/>
      <c r="T69" s="45">
        <v>0</v>
      </c>
      <c r="U69" s="45">
        <v>1</v>
      </c>
      <c r="V69" s="46">
        <v>0</v>
      </c>
      <c r="W69" s="46">
        <v>0.41555</v>
      </c>
      <c r="X69" s="46">
        <v>0.065898</v>
      </c>
      <c r="Y69" s="46">
        <v>0.005556</v>
      </c>
      <c r="Z69" s="46">
        <v>0</v>
      </c>
      <c r="AA69" s="46">
        <v>0</v>
      </c>
      <c r="AB69" s="68">
        <v>69</v>
      </c>
      <c r="AC69" s="68"/>
      <c r="AD69" s="69"/>
      <c r="AE69" s="76" t="s">
        <v>1301</v>
      </c>
      <c r="AF69" s="80" t="s">
        <v>1428</v>
      </c>
      <c r="AG69" s="76">
        <v>18650</v>
      </c>
      <c r="AH69" s="76">
        <v>16871</v>
      </c>
      <c r="AI69" s="76">
        <v>24569</v>
      </c>
      <c r="AJ69" s="76">
        <v>1228</v>
      </c>
      <c r="AK69" s="76">
        <v>3684</v>
      </c>
      <c r="AL69" s="76">
        <v>8136</v>
      </c>
      <c r="AM69" s="76" t="b">
        <v>0</v>
      </c>
      <c r="AN69" s="78">
        <v>40360.12159722222</v>
      </c>
      <c r="AO69" s="76" t="s">
        <v>1525</v>
      </c>
      <c r="AP69" s="76" t="s">
        <v>1620</v>
      </c>
      <c r="AQ69" s="76"/>
      <c r="AR69" s="76"/>
      <c r="AS69" s="76"/>
      <c r="AT69" s="76"/>
      <c r="AU69" s="76"/>
      <c r="AV69" s="76"/>
      <c r="AW69" s="76"/>
      <c r="AX69" s="76"/>
      <c r="AY69" s="76" t="b">
        <v>0</v>
      </c>
      <c r="AZ69" s="76"/>
      <c r="BA69" s="76"/>
      <c r="BB69" s="76" t="b">
        <v>0</v>
      </c>
      <c r="BC69" s="76" t="b">
        <v>1</v>
      </c>
      <c r="BD69" s="76" t="b">
        <v>0</v>
      </c>
      <c r="BE69" s="76" t="b">
        <v>0</v>
      </c>
      <c r="BF69" s="76" t="b">
        <v>0</v>
      </c>
      <c r="BG69" s="76" t="b">
        <v>0</v>
      </c>
      <c r="BH69" s="76" t="b">
        <v>0</v>
      </c>
      <c r="BI69" s="81" t="str">
        <f>HYPERLINK("https://pbs.twimg.com/profile_banners/161532559/1548350823")</f>
        <v>https://pbs.twimg.com/profile_banners/161532559/1548350823</v>
      </c>
      <c r="BJ69" s="76"/>
      <c r="BK69" s="76" t="s">
        <v>330</v>
      </c>
      <c r="BL69" s="76" t="b">
        <v>0</v>
      </c>
      <c r="BM69" s="76"/>
      <c r="BN69" s="76" t="s">
        <v>66</v>
      </c>
      <c r="BO69" s="76" t="s">
        <v>332</v>
      </c>
      <c r="BP69" s="97" t="str">
        <f>HYPERLINK("https://twitter.com/artworksbyshana")</f>
        <v>https://twitter.com/artworksbyshana</v>
      </c>
      <c r="BQ69" s="45" t="s">
        <v>2125</v>
      </c>
      <c r="BR69" s="45" t="s">
        <v>2125</v>
      </c>
      <c r="BS69" s="45" t="s">
        <v>233</v>
      </c>
      <c r="BT69" s="45" t="s">
        <v>233</v>
      </c>
      <c r="BU69" s="45" t="s">
        <v>673</v>
      </c>
      <c r="BV69" s="45" t="s">
        <v>673</v>
      </c>
      <c r="BW69" s="90" t="s">
        <v>2184</v>
      </c>
      <c r="BX69" s="90" t="s">
        <v>2184</v>
      </c>
      <c r="BY69" s="90" t="s">
        <v>2255</v>
      </c>
      <c r="BZ69" s="90" t="s">
        <v>2255</v>
      </c>
      <c r="CA69" s="75" t="str">
        <f>REPLACE(INDEX(GroupVertices[Group],MATCH("~"&amp;Vertices[[#This Row],[Vertex]],GroupVertices[Vertex],0)),1,1,"")</f>
        <v>1</v>
      </c>
      <c r="CB69" s="2"/>
    </row>
    <row r="70" spans="1:80" ht="34.05" customHeight="1">
      <c r="A70" s="61" t="s">
        <v>601</v>
      </c>
      <c r="C70" s="62"/>
      <c r="D70" s="62"/>
      <c r="E70" s="63"/>
      <c r="F70" s="92"/>
      <c r="G70" s="86" t="str">
        <f>HYPERLINK("https://pbs.twimg.com/profile_images/1430661185435754496/Tq0Bqq2u_normal.jpg")</f>
        <v>https://pbs.twimg.com/profile_images/1430661185435754496/Tq0Bqq2u_normal.jpg</v>
      </c>
      <c r="H70" s="93"/>
      <c r="I70" s="66"/>
      <c r="J70" s="67"/>
      <c r="K70" s="94"/>
      <c r="L70" s="66" t="s">
        <v>1891</v>
      </c>
      <c r="M70" s="95"/>
      <c r="N70" s="71">
        <v>3624.57568359375</v>
      </c>
      <c r="O70" s="71">
        <v>2908.242431640625</v>
      </c>
      <c r="P70" s="72"/>
      <c r="Q70" s="73"/>
      <c r="R70" s="73"/>
      <c r="S70" s="96"/>
      <c r="T70" s="45">
        <v>0</v>
      </c>
      <c r="U70" s="45">
        <v>2</v>
      </c>
      <c r="V70" s="46">
        <v>308</v>
      </c>
      <c r="W70" s="46">
        <v>0.41779</v>
      </c>
      <c r="X70" s="46">
        <v>0.066508</v>
      </c>
      <c r="Y70" s="46">
        <v>0.006446</v>
      </c>
      <c r="Z70" s="46">
        <v>0</v>
      </c>
      <c r="AA70" s="46">
        <v>0</v>
      </c>
      <c r="AB70" s="68">
        <v>70</v>
      </c>
      <c r="AC70" s="68"/>
      <c r="AD70" s="69"/>
      <c r="AE70" s="76" t="s">
        <v>1302</v>
      </c>
      <c r="AF70" s="80" t="s">
        <v>1429</v>
      </c>
      <c r="AG70" s="76">
        <v>68484</v>
      </c>
      <c r="AH70" s="76">
        <v>39894</v>
      </c>
      <c r="AI70" s="76">
        <v>389559</v>
      </c>
      <c r="AJ70" s="76">
        <v>4898</v>
      </c>
      <c r="AK70" s="76">
        <v>353308</v>
      </c>
      <c r="AL70" s="76">
        <v>520</v>
      </c>
      <c r="AM70" s="76" t="b">
        <v>0</v>
      </c>
      <c r="AN70" s="78">
        <v>40229.77454861111</v>
      </c>
      <c r="AO70" s="76" t="s">
        <v>1526</v>
      </c>
      <c r="AP70" s="76" t="s">
        <v>1621</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1" t="str">
        <f>HYPERLINK("https://pbs.twimg.com/profile_banners/115991458/1629931181")</f>
        <v>https://pbs.twimg.com/profile_banners/115991458/1629931181</v>
      </c>
      <c r="BJ70" s="76"/>
      <c r="BK70" s="76" t="s">
        <v>330</v>
      </c>
      <c r="BL70" s="76" t="b">
        <v>0</v>
      </c>
      <c r="BM70" s="76"/>
      <c r="BN70" s="76" t="s">
        <v>66</v>
      </c>
      <c r="BO70" s="76" t="s">
        <v>332</v>
      </c>
      <c r="BP70" s="97" t="str">
        <f>HYPERLINK("https://twitter.com/gvalan")</f>
        <v>https://twitter.com/gvalan</v>
      </c>
      <c r="BQ70" s="45" t="s">
        <v>2013</v>
      </c>
      <c r="BR70" s="45" t="s">
        <v>2013</v>
      </c>
      <c r="BS70" s="45" t="s">
        <v>874</v>
      </c>
      <c r="BT70" s="45" t="s">
        <v>874</v>
      </c>
      <c r="BU70" s="45"/>
      <c r="BV70" s="45"/>
      <c r="BW70" s="90" t="s">
        <v>2185</v>
      </c>
      <c r="BX70" s="90" t="s">
        <v>2185</v>
      </c>
      <c r="BY70" s="90" t="s">
        <v>2256</v>
      </c>
      <c r="BZ70" s="90" t="s">
        <v>2256</v>
      </c>
      <c r="CA70" s="75" t="str">
        <f>REPLACE(INDEX(GroupVertices[Group],MATCH("~"&amp;Vertices[[#This Row],[Vertex]],GroupVertices[Vertex],0)),1,1,"")</f>
        <v>16</v>
      </c>
      <c r="CB70" s="2"/>
    </row>
    <row r="71" spans="1:80" ht="34.05" customHeight="1">
      <c r="A71" s="61" t="s">
        <v>690</v>
      </c>
      <c r="C71" s="62"/>
      <c r="D71" s="62"/>
      <c r="E71" s="63"/>
      <c r="F71" s="92"/>
      <c r="G71" s="86" t="str">
        <f>HYPERLINK("https://pbs.twimg.com/profile_images/558503425499873281/XiMPxMYV_normal.png")</f>
        <v>https://pbs.twimg.com/profile_images/558503425499873281/XiMPxMYV_normal.png</v>
      </c>
      <c r="H71" s="93"/>
      <c r="I71" s="66"/>
      <c r="J71" s="67"/>
      <c r="K71" s="94"/>
      <c r="L71" s="66" t="s">
        <v>1892</v>
      </c>
      <c r="M71" s="95"/>
      <c r="N71" s="71">
        <v>2066.907958984375</v>
      </c>
      <c r="O71" s="71">
        <v>909.4109497070312</v>
      </c>
      <c r="P71" s="72"/>
      <c r="Q71" s="73"/>
      <c r="R71" s="73"/>
      <c r="S71" s="96"/>
      <c r="T71" s="45">
        <v>1</v>
      </c>
      <c r="U71" s="45">
        <v>0</v>
      </c>
      <c r="V71" s="46">
        <v>0</v>
      </c>
      <c r="W71" s="46">
        <v>0.295238</v>
      </c>
      <c r="X71" s="46">
        <v>0.006373</v>
      </c>
      <c r="Y71" s="46">
        <v>0.005932</v>
      </c>
      <c r="Z71" s="46">
        <v>0</v>
      </c>
      <c r="AA71" s="46">
        <v>0</v>
      </c>
      <c r="AB71" s="68">
        <v>71</v>
      </c>
      <c r="AC71" s="68"/>
      <c r="AD71" s="69"/>
      <c r="AE71" s="76" t="s">
        <v>1303</v>
      </c>
      <c r="AF71" s="80" t="s">
        <v>1430</v>
      </c>
      <c r="AG71" s="76">
        <v>762</v>
      </c>
      <c r="AH71" s="76">
        <v>30</v>
      </c>
      <c r="AI71" s="76">
        <v>2147</v>
      </c>
      <c r="AJ71" s="76">
        <v>78</v>
      </c>
      <c r="AK71" s="76">
        <v>12</v>
      </c>
      <c r="AL71" s="76">
        <v>17</v>
      </c>
      <c r="AM71" s="76" t="b">
        <v>0</v>
      </c>
      <c r="AN71" s="78">
        <v>41892.967835648145</v>
      </c>
      <c r="AO71" s="76" t="s">
        <v>1527</v>
      </c>
      <c r="AP71" s="76" t="s">
        <v>1622</v>
      </c>
      <c r="AQ71" s="81" t="str">
        <f>HYPERLINK("http://t.co/YJC3FvzK6G")</f>
        <v>http://t.co/YJC3FvzK6G</v>
      </c>
      <c r="AR71" s="81" t="str">
        <f>HYPERLINK("http://www.successlakeseo.com")</f>
        <v>http://www.successlakeseo.com</v>
      </c>
      <c r="AS71" s="76" t="s">
        <v>1742</v>
      </c>
      <c r="AT71" s="76"/>
      <c r="AU71" s="76"/>
      <c r="AV71" s="76"/>
      <c r="AW71" s="76"/>
      <c r="AX71" s="81" t="str">
        <f>HYPERLINK("http://t.co/YJC3FvzK6G")</f>
        <v>http://t.co/YJC3FvzK6G</v>
      </c>
      <c r="AY71" s="76" t="b">
        <v>0</v>
      </c>
      <c r="AZ71" s="76"/>
      <c r="BA71" s="76"/>
      <c r="BB71" s="76" t="b">
        <v>1</v>
      </c>
      <c r="BC71" s="76" t="b">
        <v>1</v>
      </c>
      <c r="BD71" s="76" t="b">
        <v>0</v>
      </c>
      <c r="BE71" s="76" t="b">
        <v>0</v>
      </c>
      <c r="BF71" s="76" t="b">
        <v>0</v>
      </c>
      <c r="BG71" s="76" t="b">
        <v>0</v>
      </c>
      <c r="BH71" s="76" t="b">
        <v>0</v>
      </c>
      <c r="BI71" s="81" t="str">
        <f>HYPERLINK("https://pbs.twimg.com/profile_banners/2802648367/1421992539")</f>
        <v>https://pbs.twimg.com/profile_banners/2802648367/1421992539</v>
      </c>
      <c r="BJ71" s="76"/>
      <c r="BK71" s="76" t="s">
        <v>330</v>
      </c>
      <c r="BL71" s="76" t="b">
        <v>0</v>
      </c>
      <c r="BM71" s="76"/>
      <c r="BN71" s="76" t="s">
        <v>65</v>
      </c>
      <c r="BO71" s="76" t="s">
        <v>332</v>
      </c>
      <c r="BP71" s="97" t="str">
        <f>HYPERLINK("https://twitter.com/successlake")</f>
        <v>https://twitter.com/successlake</v>
      </c>
      <c r="BQ71" s="45"/>
      <c r="BR71" s="45"/>
      <c r="BS71" s="45"/>
      <c r="BT71" s="45"/>
      <c r="BU71" s="45"/>
      <c r="BV71" s="45"/>
      <c r="BW71" s="45"/>
      <c r="BX71" s="45"/>
      <c r="BY71" s="45"/>
      <c r="BZ71" s="45"/>
      <c r="CA71" s="75" t="str">
        <f>REPLACE(INDEX(GroupVertices[Group],MATCH("~"&amp;Vertices[[#This Row],[Vertex]],GroupVertices[Vertex],0)),1,1,"")</f>
        <v>16</v>
      </c>
      <c r="CB71" s="2"/>
    </row>
    <row r="72" spans="1:80" ht="34.05" customHeight="1">
      <c r="A72" s="61" t="s">
        <v>602</v>
      </c>
      <c r="C72" s="62"/>
      <c r="D72" s="62"/>
      <c r="E72" s="63"/>
      <c r="F72" s="92"/>
      <c r="G72" s="86" t="str">
        <f>HYPERLINK("https://pbs.twimg.com/profile_images/1581987060390367232/4N2HfJLX_normal.jpg")</f>
        <v>https://pbs.twimg.com/profile_images/1581987060390367232/4N2HfJLX_normal.jpg</v>
      </c>
      <c r="H72" s="93"/>
      <c r="I72" s="66"/>
      <c r="J72" s="67"/>
      <c r="K72" s="94"/>
      <c r="L72" s="66" t="s">
        <v>1893</v>
      </c>
      <c r="M72" s="95"/>
      <c r="N72" s="71">
        <v>4109.20556640625</v>
      </c>
      <c r="O72" s="71">
        <v>5992.03857421875</v>
      </c>
      <c r="P72" s="72"/>
      <c r="Q72" s="73"/>
      <c r="R72" s="73"/>
      <c r="S72" s="96"/>
      <c r="T72" s="45">
        <v>0</v>
      </c>
      <c r="U72" s="45">
        <v>1</v>
      </c>
      <c r="V72" s="46">
        <v>0</v>
      </c>
      <c r="W72" s="46">
        <v>0.41555</v>
      </c>
      <c r="X72" s="46">
        <v>0.065898</v>
      </c>
      <c r="Y72" s="46">
        <v>0.005556</v>
      </c>
      <c r="Z72" s="46">
        <v>0</v>
      </c>
      <c r="AA72" s="46">
        <v>0</v>
      </c>
      <c r="AB72" s="68">
        <v>72</v>
      </c>
      <c r="AC72" s="68"/>
      <c r="AD72" s="69"/>
      <c r="AE72" s="76" t="s">
        <v>1304</v>
      </c>
      <c r="AF72" s="80" t="s">
        <v>1431</v>
      </c>
      <c r="AG72" s="76">
        <v>51</v>
      </c>
      <c r="AH72" s="76">
        <v>42</v>
      </c>
      <c r="AI72" s="76">
        <v>16</v>
      </c>
      <c r="AJ72" s="76">
        <v>1</v>
      </c>
      <c r="AK72" s="76">
        <v>13</v>
      </c>
      <c r="AL72" s="76">
        <v>2</v>
      </c>
      <c r="AM72" s="76" t="b">
        <v>0</v>
      </c>
      <c r="AN72" s="78">
        <v>40363.39829861111</v>
      </c>
      <c r="AO72" s="76" t="s">
        <v>319</v>
      </c>
      <c r="AP72" s="76"/>
      <c r="AQ72" s="76"/>
      <c r="AR72" s="76"/>
      <c r="AS72" s="76"/>
      <c r="AT72" s="76"/>
      <c r="AU72" s="76"/>
      <c r="AV72" s="76"/>
      <c r="AW72" s="76"/>
      <c r="AX72" s="76"/>
      <c r="AY72" s="76" t="b">
        <v>0</v>
      </c>
      <c r="AZ72" s="76" t="b">
        <v>1</v>
      </c>
      <c r="BA72" s="76" t="b">
        <v>1</v>
      </c>
      <c r="BB72" s="76" t="b">
        <v>1</v>
      </c>
      <c r="BC72" s="76" t="b">
        <v>1</v>
      </c>
      <c r="BD72" s="76" t="b">
        <v>1</v>
      </c>
      <c r="BE72" s="76" t="b">
        <v>0</v>
      </c>
      <c r="BF72" s="76" t="b">
        <v>0</v>
      </c>
      <c r="BG72" s="76" t="b">
        <v>0</v>
      </c>
      <c r="BH72" s="76" t="b">
        <v>0</v>
      </c>
      <c r="BI72" s="81" t="str">
        <f>HYPERLINK("https://pbs.twimg.com/profile_banners/162659925/1694775415")</f>
        <v>https://pbs.twimg.com/profile_banners/162659925/1694775415</v>
      </c>
      <c r="BJ72" s="76"/>
      <c r="BK72" s="76" t="s">
        <v>330</v>
      </c>
      <c r="BL72" s="76" t="b">
        <v>1</v>
      </c>
      <c r="BM72" s="76"/>
      <c r="BN72" s="76" t="s">
        <v>66</v>
      </c>
      <c r="BO72" s="76" t="s">
        <v>332</v>
      </c>
      <c r="BP72" s="97" t="str">
        <f>HYPERLINK("https://twitter.com/chandra_sekhare")</f>
        <v>https://twitter.com/chandra_sekhare</v>
      </c>
      <c r="BQ72" s="45"/>
      <c r="BR72" s="45"/>
      <c r="BS72" s="45"/>
      <c r="BT72" s="45"/>
      <c r="BU72" s="45" t="s">
        <v>837</v>
      </c>
      <c r="BV72" s="45" t="s">
        <v>837</v>
      </c>
      <c r="BW72" s="90" t="s">
        <v>2186</v>
      </c>
      <c r="BX72" s="90" t="s">
        <v>2186</v>
      </c>
      <c r="BY72" s="90" t="s">
        <v>2257</v>
      </c>
      <c r="BZ72" s="90" t="s">
        <v>2257</v>
      </c>
      <c r="CA72" s="75" t="str">
        <f>REPLACE(INDEX(GroupVertices[Group],MATCH("~"&amp;Vertices[[#This Row],[Vertex]],GroupVertices[Vertex],0)),1,1,"")</f>
        <v>1</v>
      </c>
      <c r="CB72" s="2"/>
    </row>
    <row r="73" spans="1:80" ht="34.05" customHeight="1">
      <c r="A73" s="61" t="s">
        <v>603</v>
      </c>
      <c r="C73" s="62"/>
      <c r="D73" s="62"/>
      <c r="E73" s="63"/>
      <c r="F73" s="92"/>
      <c r="G73" s="86" t="str">
        <f>HYPERLINK("https://pbs.twimg.com/profile_images/3151993004/9e73269faab0ce782dd7dce36b95c1f8_normal.jpeg")</f>
        <v>https://pbs.twimg.com/profile_images/3151993004/9e73269faab0ce782dd7dce36b95c1f8_normal.jpeg</v>
      </c>
      <c r="H73" s="93"/>
      <c r="I73" s="66"/>
      <c r="J73" s="67"/>
      <c r="K73" s="94"/>
      <c r="L73" s="66" t="s">
        <v>1894</v>
      </c>
      <c r="M73" s="95"/>
      <c r="N73" s="71">
        <v>4839.943359375</v>
      </c>
      <c r="O73" s="71">
        <v>7251.7509765625</v>
      </c>
      <c r="P73" s="72"/>
      <c r="Q73" s="73"/>
      <c r="R73" s="73"/>
      <c r="S73" s="96"/>
      <c r="T73" s="45">
        <v>1</v>
      </c>
      <c r="U73" s="45">
        <v>2</v>
      </c>
      <c r="V73" s="46">
        <v>0</v>
      </c>
      <c r="W73" s="46">
        <v>0.41555</v>
      </c>
      <c r="X73" s="46">
        <v>0.072881</v>
      </c>
      <c r="Y73" s="46">
        <v>0.006007</v>
      </c>
      <c r="Z73" s="46">
        <v>0</v>
      </c>
      <c r="AA73" s="46">
        <v>0</v>
      </c>
      <c r="AB73" s="68">
        <v>73</v>
      </c>
      <c r="AC73" s="68"/>
      <c r="AD73" s="69"/>
      <c r="AE73" s="76" t="s">
        <v>1305</v>
      </c>
      <c r="AF73" s="80" t="s">
        <v>1219</v>
      </c>
      <c r="AG73" s="76">
        <v>15</v>
      </c>
      <c r="AH73" s="76">
        <v>14</v>
      </c>
      <c r="AI73" s="76">
        <v>69</v>
      </c>
      <c r="AJ73" s="76">
        <v>0</v>
      </c>
      <c r="AK73" s="76">
        <v>21</v>
      </c>
      <c r="AL73" s="76">
        <v>6</v>
      </c>
      <c r="AM73" s="76" t="b">
        <v>0</v>
      </c>
      <c r="AN73" s="78">
        <v>40527.22754629629</v>
      </c>
      <c r="AO73" s="76" t="s">
        <v>1528</v>
      </c>
      <c r="AP73" s="76" t="s">
        <v>1623</v>
      </c>
      <c r="AQ73" s="76"/>
      <c r="AR73" s="76"/>
      <c r="AS73" s="76"/>
      <c r="AT73" s="76"/>
      <c r="AU73" s="76"/>
      <c r="AV73" s="76"/>
      <c r="AW73" s="76"/>
      <c r="AX73" s="76"/>
      <c r="AY73" s="76" t="b">
        <v>0</v>
      </c>
      <c r="AZ73" s="76" t="b">
        <v>1</v>
      </c>
      <c r="BA73" s="76"/>
      <c r="BB73" s="76" t="b">
        <v>1</v>
      </c>
      <c r="BC73" s="76" t="b">
        <v>1</v>
      </c>
      <c r="BD73" s="76" t="b">
        <v>1</v>
      </c>
      <c r="BE73" s="76" t="b">
        <v>0</v>
      </c>
      <c r="BF73" s="76" t="b">
        <v>0</v>
      </c>
      <c r="BG73" s="76" t="b">
        <v>0</v>
      </c>
      <c r="BH73" s="76" t="b">
        <v>0</v>
      </c>
      <c r="BI73" s="76"/>
      <c r="BJ73" s="76"/>
      <c r="BK73" s="76" t="s">
        <v>330</v>
      </c>
      <c r="BL73" s="76" t="b">
        <v>0</v>
      </c>
      <c r="BM73" s="76"/>
      <c r="BN73" s="76" t="s">
        <v>66</v>
      </c>
      <c r="BO73" s="76" t="s">
        <v>332</v>
      </c>
      <c r="BP73" s="97" t="str">
        <f>HYPERLINK("https://twitter.com/rameshdudala")</f>
        <v>https://twitter.com/rameshdudala</v>
      </c>
      <c r="BQ73" s="45" t="s">
        <v>2126</v>
      </c>
      <c r="BR73" s="45" t="s">
        <v>2126</v>
      </c>
      <c r="BS73" s="45" t="s">
        <v>236</v>
      </c>
      <c r="BT73" s="45" t="s">
        <v>236</v>
      </c>
      <c r="BU73" s="45"/>
      <c r="BV73" s="45"/>
      <c r="BW73" s="90" t="s">
        <v>2187</v>
      </c>
      <c r="BX73" s="90" t="s">
        <v>2230</v>
      </c>
      <c r="BY73" s="90" t="s">
        <v>2258</v>
      </c>
      <c r="BZ73" s="90" t="s">
        <v>2258</v>
      </c>
      <c r="CA73" s="75" t="str">
        <f>REPLACE(INDEX(GroupVertices[Group],MATCH("~"&amp;Vertices[[#This Row],[Vertex]],GroupVertices[Vertex],0)),1,1,"")</f>
        <v>1</v>
      </c>
      <c r="CB73" s="2"/>
    </row>
    <row r="74" spans="1:80" ht="34.05" customHeight="1">
      <c r="A74" s="61" t="s">
        <v>604</v>
      </c>
      <c r="C74" s="62"/>
      <c r="D74" s="62"/>
      <c r="E74" s="63"/>
      <c r="F74" s="92"/>
      <c r="G74" s="86" t="str">
        <f>HYPERLINK("https://pbs.twimg.com/profile_images/1402816470212481025/vdLEQOzr_normal.jpg")</f>
        <v>https://pbs.twimg.com/profile_images/1402816470212481025/vdLEQOzr_normal.jpg</v>
      </c>
      <c r="H74" s="93"/>
      <c r="I74" s="66"/>
      <c r="J74" s="67"/>
      <c r="K74" s="94"/>
      <c r="L74" s="66" t="s">
        <v>1895</v>
      </c>
      <c r="M74" s="95"/>
      <c r="N74" s="71">
        <v>7248.9189453125</v>
      </c>
      <c r="O74" s="71">
        <v>5753.46630859375</v>
      </c>
      <c r="P74" s="72"/>
      <c r="Q74" s="73"/>
      <c r="R74" s="73"/>
      <c r="S74" s="96"/>
      <c r="T74" s="45">
        <v>0</v>
      </c>
      <c r="U74" s="45">
        <v>1</v>
      </c>
      <c r="V74" s="46">
        <v>0</v>
      </c>
      <c r="W74" s="46">
        <v>0.41555</v>
      </c>
      <c r="X74" s="46">
        <v>0.065898</v>
      </c>
      <c r="Y74" s="46">
        <v>0.005556</v>
      </c>
      <c r="Z74" s="46">
        <v>0</v>
      </c>
      <c r="AA74" s="46">
        <v>0</v>
      </c>
      <c r="AB74" s="68">
        <v>74</v>
      </c>
      <c r="AC74" s="68"/>
      <c r="AD74" s="69"/>
      <c r="AE74" s="76" t="s">
        <v>1306</v>
      </c>
      <c r="AF74" s="80" t="s">
        <v>1230</v>
      </c>
      <c r="AG74" s="76">
        <v>196</v>
      </c>
      <c r="AH74" s="76">
        <v>100</v>
      </c>
      <c r="AI74" s="76">
        <v>248</v>
      </c>
      <c r="AJ74" s="76">
        <v>0</v>
      </c>
      <c r="AK74" s="76">
        <v>2110</v>
      </c>
      <c r="AL74" s="76">
        <v>152</v>
      </c>
      <c r="AM74" s="76" t="b">
        <v>0</v>
      </c>
      <c r="AN74" s="78">
        <v>44048.29913194444</v>
      </c>
      <c r="AO74" s="76" t="s">
        <v>1061</v>
      </c>
      <c r="AP74" s="76" t="s">
        <v>1624</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1" t="str">
        <f>HYPERLINK("https://pbs.twimg.com/profile_banners/1290908011347603457/1596611892")</f>
        <v>https://pbs.twimg.com/profile_banners/1290908011347603457/1596611892</v>
      </c>
      <c r="BJ74" s="76"/>
      <c r="BK74" s="76" t="s">
        <v>330</v>
      </c>
      <c r="BL74" s="76" t="b">
        <v>0</v>
      </c>
      <c r="BM74" s="76"/>
      <c r="BN74" s="76" t="s">
        <v>66</v>
      </c>
      <c r="BO74" s="76" t="s">
        <v>332</v>
      </c>
      <c r="BP74" s="97" t="str">
        <f>HYPERLINK("https://twitter.com/aim_pvsk")</f>
        <v>https://twitter.com/aim_pvsk</v>
      </c>
      <c r="BQ74" s="45"/>
      <c r="BR74" s="45"/>
      <c r="BS74" s="45"/>
      <c r="BT74" s="45"/>
      <c r="BU74" s="45" t="s">
        <v>837</v>
      </c>
      <c r="BV74" s="45" t="s">
        <v>837</v>
      </c>
      <c r="BW74" s="90" t="s">
        <v>2186</v>
      </c>
      <c r="BX74" s="90" t="s">
        <v>2186</v>
      </c>
      <c r="BY74" s="90" t="s">
        <v>2257</v>
      </c>
      <c r="BZ74" s="90" t="s">
        <v>2257</v>
      </c>
      <c r="CA74" s="75" t="str">
        <f>REPLACE(INDEX(GroupVertices[Group],MATCH("~"&amp;Vertices[[#This Row],[Vertex]],GroupVertices[Vertex],0)),1,1,"")</f>
        <v>1</v>
      </c>
      <c r="CB74" s="2"/>
    </row>
    <row r="75" spans="1:80" ht="34.05" customHeight="1">
      <c r="A75" s="61" t="s">
        <v>605</v>
      </c>
      <c r="C75" s="62"/>
      <c r="D75" s="62"/>
      <c r="E75" s="63"/>
      <c r="F75" s="92"/>
      <c r="G75" s="86" t="str">
        <f>HYPERLINK("https://pbs.twimg.com/profile_images/1673066044682907649/yjKNjvL-_normal.jpg")</f>
        <v>https://pbs.twimg.com/profile_images/1673066044682907649/yjKNjvL-_normal.jpg</v>
      </c>
      <c r="H75" s="93"/>
      <c r="I75" s="66"/>
      <c r="J75" s="67"/>
      <c r="K75" s="94"/>
      <c r="L75" s="66" t="s">
        <v>1896</v>
      </c>
      <c r="M75" s="95"/>
      <c r="N75" s="71">
        <v>4410.16943359375</v>
      </c>
      <c r="O75" s="71">
        <v>6829.09130859375</v>
      </c>
      <c r="P75" s="72"/>
      <c r="Q75" s="73"/>
      <c r="R75" s="73"/>
      <c r="S75" s="96"/>
      <c r="T75" s="45">
        <v>0</v>
      </c>
      <c r="U75" s="45">
        <v>1</v>
      </c>
      <c r="V75" s="46">
        <v>0</v>
      </c>
      <c r="W75" s="46">
        <v>0.41555</v>
      </c>
      <c r="X75" s="46">
        <v>0.065898</v>
      </c>
      <c r="Y75" s="46">
        <v>0.005556</v>
      </c>
      <c r="Z75" s="46">
        <v>0</v>
      </c>
      <c r="AA75" s="46">
        <v>0</v>
      </c>
      <c r="AB75" s="68">
        <v>75</v>
      </c>
      <c r="AC75" s="68"/>
      <c r="AD75" s="69"/>
      <c r="AE75" s="76" t="s">
        <v>1307</v>
      </c>
      <c r="AF75" s="80" t="s">
        <v>1432</v>
      </c>
      <c r="AG75" s="76">
        <v>54140</v>
      </c>
      <c r="AH75" s="76">
        <v>57104</v>
      </c>
      <c r="AI75" s="76">
        <v>217999</v>
      </c>
      <c r="AJ75" s="76">
        <v>1999</v>
      </c>
      <c r="AK75" s="76">
        <v>3943</v>
      </c>
      <c r="AL75" s="76">
        <v>119718</v>
      </c>
      <c r="AM75" s="76" t="b">
        <v>0</v>
      </c>
      <c r="AN75" s="78">
        <v>40599.1528587963</v>
      </c>
      <c r="AO75" s="76" t="s">
        <v>1529</v>
      </c>
      <c r="AP75" s="76" t="s">
        <v>1625</v>
      </c>
      <c r="AQ75" s="76"/>
      <c r="AR75" s="76"/>
      <c r="AS75" s="76"/>
      <c r="AT75" s="76"/>
      <c r="AU75" s="76"/>
      <c r="AV75" s="76"/>
      <c r="AW75" s="76">
        <v>1.43026997391879E+18</v>
      </c>
      <c r="AX75" s="76"/>
      <c r="AY75" s="76" t="b">
        <v>0</v>
      </c>
      <c r="AZ75" s="76"/>
      <c r="BA75" s="76"/>
      <c r="BB75" s="76" t="b">
        <v>1</v>
      </c>
      <c r="BC75" s="76" t="b">
        <v>1</v>
      </c>
      <c r="BD75" s="76" t="b">
        <v>0</v>
      </c>
      <c r="BE75" s="76" t="b">
        <v>0</v>
      </c>
      <c r="BF75" s="76" t="b">
        <v>0</v>
      </c>
      <c r="BG75" s="76" t="b">
        <v>0</v>
      </c>
      <c r="BH75" s="76" t="b">
        <v>0</v>
      </c>
      <c r="BI75" s="81" t="str">
        <f>HYPERLINK("https://pbs.twimg.com/profile_banners/257294613/1639943807")</f>
        <v>https://pbs.twimg.com/profile_banners/257294613/1639943807</v>
      </c>
      <c r="BJ75" s="76"/>
      <c r="BK75" s="76" t="s">
        <v>330</v>
      </c>
      <c r="BL75" s="76" t="b">
        <v>0</v>
      </c>
      <c r="BM75" s="76"/>
      <c r="BN75" s="76" t="s">
        <v>66</v>
      </c>
      <c r="BO75" s="76" t="s">
        <v>332</v>
      </c>
      <c r="BP75" s="97" t="str">
        <f>HYPERLINK("https://twitter.com/coopsgreenteam")</f>
        <v>https://twitter.com/coopsgreenteam</v>
      </c>
      <c r="BQ75" s="45"/>
      <c r="BR75" s="45"/>
      <c r="BS75" s="45"/>
      <c r="BT75" s="45"/>
      <c r="BU75" s="45"/>
      <c r="BV75" s="45"/>
      <c r="BW75" s="90" t="s">
        <v>2188</v>
      </c>
      <c r="BX75" s="90" t="s">
        <v>2188</v>
      </c>
      <c r="BY75" s="90" t="s">
        <v>2259</v>
      </c>
      <c r="BZ75" s="90" t="s">
        <v>2259</v>
      </c>
      <c r="CA75" s="75" t="str">
        <f>REPLACE(INDEX(GroupVertices[Group],MATCH("~"&amp;Vertices[[#This Row],[Vertex]],GroupVertices[Vertex],0)),1,1,"")</f>
        <v>1</v>
      </c>
      <c r="CB75" s="2"/>
    </row>
    <row r="76" spans="1:80" ht="34.05" customHeight="1">
      <c r="A76" s="61" t="s">
        <v>606</v>
      </c>
      <c r="C76" s="62"/>
      <c r="D76" s="62"/>
      <c r="E76" s="63"/>
      <c r="F76" s="92"/>
      <c r="G76" s="86" t="str">
        <f>HYPERLINK("https://pbs.twimg.com/profile_images/1612798186049122307/BSp3Z-bI_normal.jpg")</f>
        <v>https://pbs.twimg.com/profile_images/1612798186049122307/BSp3Z-bI_normal.jpg</v>
      </c>
      <c r="H76" s="93"/>
      <c r="I76" s="66"/>
      <c r="J76" s="67"/>
      <c r="K76" s="94"/>
      <c r="L76" s="66" t="s">
        <v>1897</v>
      </c>
      <c r="M76" s="95"/>
      <c r="N76" s="71">
        <v>3688.0615234375</v>
      </c>
      <c r="O76" s="71">
        <v>4609.94580078125</v>
      </c>
      <c r="P76" s="72"/>
      <c r="Q76" s="73"/>
      <c r="R76" s="73"/>
      <c r="S76" s="96"/>
      <c r="T76" s="45">
        <v>0</v>
      </c>
      <c r="U76" s="45">
        <v>1</v>
      </c>
      <c r="V76" s="46">
        <v>0</v>
      </c>
      <c r="W76" s="46">
        <v>0.41555</v>
      </c>
      <c r="X76" s="46">
        <v>0.065898</v>
      </c>
      <c r="Y76" s="46">
        <v>0.005556</v>
      </c>
      <c r="Z76" s="46">
        <v>0</v>
      </c>
      <c r="AA76" s="46">
        <v>0</v>
      </c>
      <c r="AB76" s="68">
        <v>76</v>
      </c>
      <c r="AC76" s="68"/>
      <c r="AD76" s="69"/>
      <c r="AE76" s="76" t="s">
        <v>1308</v>
      </c>
      <c r="AF76" s="80" t="s">
        <v>1231</v>
      </c>
      <c r="AG76" s="76">
        <v>343</v>
      </c>
      <c r="AH76" s="76">
        <v>1575</v>
      </c>
      <c r="AI76" s="76">
        <v>1631</v>
      </c>
      <c r="AJ76" s="76">
        <v>2</v>
      </c>
      <c r="AK76" s="76">
        <v>812</v>
      </c>
      <c r="AL76" s="76">
        <v>1352</v>
      </c>
      <c r="AM76" s="76" t="b">
        <v>0</v>
      </c>
      <c r="AN76" s="78">
        <v>42607.220729166664</v>
      </c>
      <c r="AO76" s="76" t="s">
        <v>309</v>
      </c>
      <c r="AP76" s="76" t="s">
        <v>1626</v>
      </c>
      <c r="AQ76" s="81" t="str">
        <f>HYPERLINK("https://t.co/x0ZpKT9zSF")</f>
        <v>https://t.co/x0ZpKT9zSF</v>
      </c>
      <c r="AR76" s="81" t="str">
        <f>HYPERLINK("https://www.indywood.co.in")</f>
        <v>https://www.indywood.co.in</v>
      </c>
      <c r="AS76" s="76" t="s">
        <v>1743</v>
      </c>
      <c r="AT76" s="76"/>
      <c r="AU76" s="76"/>
      <c r="AV76" s="76"/>
      <c r="AW76" s="76"/>
      <c r="AX76" s="81" t="str">
        <f>HYPERLINK("https://t.co/x0ZpKT9zSF")</f>
        <v>https://t.co/x0ZpKT9zSF</v>
      </c>
      <c r="AY76" s="76" t="b">
        <v>0</v>
      </c>
      <c r="AZ76" s="76"/>
      <c r="BA76" s="76"/>
      <c r="BB76" s="76" t="b">
        <v>0</v>
      </c>
      <c r="BC76" s="76" t="b">
        <v>1</v>
      </c>
      <c r="BD76" s="76" t="b">
        <v>0</v>
      </c>
      <c r="BE76" s="76" t="b">
        <v>0</v>
      </c>
      <c r="BF76" s="76" t="b">
        <v>0</v>
      </c>
      <c r="BG76" s="76" t="b">
        <v>0</v>
      </c>
      <c r="BH76" s="76" t="b">
        <v>0</v>
      </c>
      <c r="BI76" s="81" t="str">
        <f>HYPERLINK("https://pbs.twimg.com/profile_banners/768678755715784704/1548217525")</f>
        <v>https://pbs.twimg.com/profile_banners/768678755715784704/1548217525</v>
      </c>
      <c r="BJ76" s="76"/>
      <c r="BK76" s="76" t="s">
        <v>330</v>
      </c>
      <c r="BL76" s="76" t="b">
        <v>0</v>
      </c>
      <c r="BM76" s="76"/>
      <c r="BN76" s="76" t="s">
        <v>66</v>
      </c>
      <c r="BO76" s="76" t="s">
        <v>332</v>
      </c>
      <c r="BP76" s="97" t="str">
        <f>HYPERLINK("https://twitter.com/indywoodifc")</f>
        <v>https://twitter.com/indywoodifc</v>
      </c>
      <c r="BQ76" s="45"/>
      <c r="BR76" s="45"/>
      <c r="BS76" s="45"/>
      <c r="BT76" s="45"/>
      <c r="BU76" s="45" t="s">
        <v>838</v>
      </c>
      <c r="BV76" s="45" t="s">
        <v>2158</v>
      </c>
      <c r="BW76" s="90" t="s">
        <v>2189</v>
      </c>
      <c r="BX76" s="90" t="s">
        <v>2189</v>
      </c>
      <c r="BY76" s="90" t="s">
        <v>2260</v>
      </c>
      <c r="BZ76" s="90" t="s">
        <v>2260</v>
      </c>
      <c r="CA76" s="75" t="str">
        <f>REPLACE(INDEX(GroupVertices[Group],MATCH("~"&amp;Vertices[[#This Row],[Vertex]],GroupVertices[Vertex],0)),1,1,"")</f>
        <v>1</v>
      </c>
      <c r="CB76" s="2"/>
    </row>
    <row r="77" spans="1:80" ht="34.05" customHeight="1">
      <c r="A77" s="61" t="s">
        <v>607</v>
      </c>
      <c r="C77" s="62"/>
      <c r="D77" s="62"/>
      <c r="E77" s="63"/>
      <c r="F77" s="92"/>
      <c r="G77" s="86" t="str">
        <f>HYPERLINK("https://pbs.twimg.com/profile_images/1631805669832638465/3rIgk94z_normal.png")</f>
        <v>https://pbs.twimg.com/profile_images/1631805669832638465/3rIgk94z_normal.png</v>
      </c>
      <c r="H77" s="93"/>
      <c r="I77" s="66"/>
      <c r="J77" s="67"/>
      <c r="K77" s="94"/>
      <c r="L77" s="66" t="s">
        <v>1898</v>
      </c>
      <c r="M77" s="95"/>
      <c r="N77" s="71">
        <v>5943.2080078125</v>
      </c>
      <c r="O77" s="71">
        <v>5344.21728515625</v>
      </c>
      <c r="P77" s="72"/>
      <c r="Q77" s="73"/>
      <c r="R77" s="73"/>
      <c r="S77" s="96"/>
      <c r="T77" s="45">
        <v>0</v>
      </c>
      <c r="U77" s="45">
        <v>1</v>
      </c>
      <c r="V77" s="46">
        <v>0</v>
      </c>
      <c r="W77" s="46">
        <v>0.41555</v>
      </c>
      <c r="X77" s="46">
        <v>0.065898</v>
      </c>
      <c r="Y77" s="46">
        <v>0.005556</v>
      </c>
      <c r="Z77" s="46">
        <v>0</v>
      </c>
      <c r="AA77" s="46">
        <v>0</v>
      </c>
      <c r="AB77" s="68">
        <v>77</v>
      </c>
      <c r="AC77" s="68"/>
      <c r="AD77" s="69"/>
      <c r="AE77" s="76" t="s">
        <v>1309</v>
      </c>
      <c r="AF77" s="80" t="s">
        <v>1433</v>
      </c>
      <c r="AG77" s="76">
        <v>2290</v>
      </c>
      <c r="AH77" s="76">
        <v>4807</v>
      </c>
      <c r="AI77" s="76">
        <v>2631</v>
      </c>
      <c r="AJ77" s="76">
        <v>0</v>
      </c>
      <c r="AK77" s="76">
        <v>40</v>
      </c>
      <c r="AL77" s="76">
        <v>1051</v>
      </c>
      <c r="AM77" s="76" t="b">
        <v>0</v>
      </c>
      <c r="AN77" s="78">
        <v>42369.354375</v>
      </c>
      <c r="AO77" s="76" t="s">
        <v>298</v>
      </c>
      <c r="AP77" s="76" t="s">
        <v>1627</v>
      </c>
      <c r="AQ77" s="81" t="str">
        <f>HYPERLINK("https://t.co/c6MCfXnXZU")</f>
        <v>https://t.co/c6MCfXnXZU</v>
      </c>
      <c r="AR77" s="81" t="str">
        <f>HYPERLINK("https://promote.news/")</f>
        <v>https://promote.news/</v>
      </c>
      <c r="AS77" s="76" t="s">
        <v>1744</v>
      </c>
      <c r="AT77" s="81" t="str">
        <f>HYPERLINK("https://t.co/qSFBOmKEfE")</f>
        <v>https://t.co/qSFBOmKEfE</v>
      </c>
      <c r="AU77" s="81" t="str">
        <f>HYPERLINK("http://promote.news")</f>
        <v>http://promote.news</v>
      </c>
      <c r="AV77" s="76" t="s">
        <v>1744</v>
      </c>
      <c r="AW77" s="76"/>
      <c r="AX77" s="81" t="str">
        <f>HYPERLINK("https://t.co/c6MCfXnXZU")</f>
        <v>https://t.co/c6MCfXnXZU</v>
      </c>
      <c r="AY77" s="76" t="b">
        <v>0</v>
      </c>
      <c r="AZ77" s="76"/>
      <c r="BA77" s="76"/>
      <c r="BB77" s="76" t="b">
        <v>0</v>
      </c>
      <c r="BC77" s="76" t="b">
        <v>1</v>
      </c>
      <c r="BD77" s="76" t="b">
        <v>0</v>
      </c>
      <c r="BE77" s="76" t="b">
        <v>0</v>
      </c>
      <c r="BF77" s="76" t="b">
        <v>0</v>
      </c>
      <c r="BG77" s="76" t="b">
        <v>0</v>
      </c>
      <c r="BH77" s="76" t="b">
        <v>0</v>
      </c>
      <c r="BI77" s="81" t="str">
        <f>HYPERLINK("https://pbs.twimg.com/profile_banners/4662675315/1586449925")</f>
        <v>https://pbs.twimg.com/profile_banners/4662675315/1586449925</v>
      </c>
      <c r="BJ77" s="76"/>
      <c r="BK77" s="76" t="s">
        <v>330</v>
      </c>
      <c r="BL77" s="76" t="b">
        <v>0</v>
      </c>
      <c r="BM77" s="76"/>
      <c r="BN77" s="76" t="s">
        <v>66</v>
      </c>
      <c r="BO77" s="76" t="s">
        <v>332</v>
      </c>
      <c r="BP77" s="97" t="str">
        <f>HYPERLINK("https://twitter.com/procharitynews")</f>
        <v>https://twitter.com/procharitynews</v>
      </c>
      <c r="BQ77" s="45" t="s">
        <v>860</v>
      </c>
      <c r="BR77" s="45" t="s">
        <v>860</v>
      </c>
      <c r="BS77" s="45" t="s">
        <v>875</v>
      </c>
      <c r="BT77" s="45" t="s">
        <v>2145</v>
      </c>
      <c r="BU77" s="45"/>
      <c r="BV77" s="45"/>
      <c r="BW77" s="90" t="s">
        <v>2190</v>
      </c>
      <c r="BX77" s="90" t="s">
        <v>2190</v>
      </c>
      <c r="BY77" s="90" t="s">
        <v>2261</v>
      </c>
      <c r="BZ77" s="90" t="s">
        <v>2261</v>
      </c>
      <c r="CA77" s="75" t="str">
        <f>REPLACE(INDEX(GroupVertices[Group],MATCH("~"&amp;Vertices[[#This Row],[Vertex]],GroupVertices[Vertex],0)),1,1,"")</f>
        <v>1</v>
      </c>
      <c r="CB77" s="2"/>
    </row>
    <row r="78" spans="1:80" ht="34.05" customHeight="1">
      <c r="A78" s="61" t="s">
        <v>608</v>
      </c>
      <c r="C78" s="62"/>
      <c r="D78" s="62"/>
      <c r="E78" s="63"/>
      <c r="F78" s="92"/>
      <c r="G78" s="86" t="str">
        <f>HYPERLINK("https://pbs.twimg.com/profile_images/796527478844096513/nfWOLST-_normal.jpg")</f>
        <v>https://pbs.twimg.com/profile_images/796527478844096513/nfWOLST-_normal.jpg</v>
      </c>
      <c r="H78" s="93"/>
      <c r="I78" s="66"/>
      <c r="J78" s="67"/>
      <c r="K78" s="94"/>
      <c r="L78" s="66" t="s">
        <v>1899</v>
      </c>
      <c r="M78" s="95"/>
      <c r="N78" s="71">
        <v>6814.1005859375</v>
      </c>
      <c r="O78" s="71">
        <v>6544.62158203125</v>
      </c>
      <c r="P78" s="72"/>
      <c r="Q78" s="73"/>
      <c r="R78" s="73"/>
      <c r="S78" s="96"/>
      <c r="T78" s="45">
        <v>0</v>
      </c>
      <c r="U78" s="45">
        <v>1</v>
      </c>
      <c r="V78" s="46">
        <v>0</v>
      </c>
      <c r="W78" s="46">
        <v>0.41555</v>
      </c>
      <c r="X78" s="46">
        <v>0.065898</v>
      </c>
      <c r="Y78" s="46">
        <v>0.005556</v>
      </c>
      <c r="Z78" s="46">
        <v>0</v>
      </c>
      <c r="AA78" s="46">
        <v>0</v>
      </c>
      <c r="AB78" s="68">
        <v>78</v>
      </c>
      <c r="AC78" s="68"/>
      <c r="AD78" s="69"/>
      <c r="AE78" s="76" t="s">
        <v>1310</v>
      </c>
      <c r="AF78" s="80" t="s">
        <v>1434</v>
      </c>
      <c r="AG78" s="76">
        <v>2792</v>
      </c>
      <c r="AH78" s="76">
        <v>1427</v>
      </c>
      <c r="AI78" s="76">
        <v>8512</v>
      </c>
      <c r="AJ78" s="76">
        <v>167</v>
      </c>
      <c r="AK78" s="76">
        <v>2005</v>
      </c>
      <c r="AL78" s="76">
        <v>4107</v>
      </c>
      <c r="AM78" s="76" t="b">
        <v>0</v>
      </c>
      <c r="AN78" s="78">
        <v>41985.62769675926</v>
      </c>
      <c r="AO78" s="76" t="s">
        <v>427</v>
      </c>
      <c r="AP78" s="76"/>
      <c r="AQ78" s="81" t="str">
        <f>HYPERLINK("https://t.co/2KbnYwYbAe")</f>
        <v>https://t.co/2KbnYwYbAe</v>
      </c>
      <c r="AR78" s="81" t="str">
        <f>HYPERLINK("http://www.codewright.net")</f>
        <v>http://www.codewright.net</v>
      </c>
      <c r="AS78" s="76" t="s">
        <v>1745</v>
      </c>
      <c r="AT78" s="76"/>
      <c r="AU78" s="76"/>
      <c r="AV78" s="76"/>
      <c r="AW78" s="76"/>
      <c r="AX78" s="81" t="str">
        <f>HYPERLINK("https://t.co/2KbnYwYbAe")</f>
        <v>https://t.co/2KbnYwYbAe</v>
      </c>
      <c r="AY78" s="76" t="b">
        <v>0</v>
      </c>
      <c r="AZ78" s="76"/>
      <c r="BA78" s="76"/>
      <c r="BB78" s="76" t="b">
        <v>1</v>
      </c>
      <c r="BC78" s="76" t="b">
        <v>1</v>
      </c>
      <c r="BD78" s="76" t="b">
        <v>1</v>
      </c>
      <c r="BE78" s="76" t="b">
        <v>0</v>
      </c>
      <c r="BF78" s="76" t="b">
        <v>0</v>
      </c>
      <c r="BG78" s="76" t="b">
        <v>0</v>
      </c>
      <c r="BH78" s="76" t="b">
        <v>0</v>
      </c>
      <c r="BI78" s="81" t="str">
        <f>HYPERLINK("https://pbs.twimg.com/profile_banners/2917786541/1478741596")</f>
        <v>https://pbs.twimg.com/profile_banners/2917786541/1478741596</v>
      </c>
      <c r="BJ78" s="76"/>
      <c r="BK78" s="76" t="s">
        <v>330</v>
      </c>
      <c r="BL78" s="76" t="b">
        <v>0</v>
      </c>
      <c r="BM78" s="76"/>
      <c r="BN78" s="76" t="s">
        <v>66</v>
      </c>
      <c r="BO78" s="76" t="s">
        <v>332</v>
      </c>
      <c r="BP78" s="97" t="str">
        <f>HYPERLINK("https://twitter.com/codeitwright")</f>
        <v>https://twitter.com/codeitwright</v>
      </c>
      <c r="BQ78" s="45"/>
      <c r="BR78" s="45"/>
      <c r="BS78" s="45"/>
      <c r="BT78" s="45"/>
      <c r="BU78" s="45"/>
      <c r="BV78" s="45"/>
      <c r="BW78" s="90" t="s">
        <v>2191</v>
      </c>
      <c r="BX78" s="90" t="s">
        <v>2191</v>
      </c>
      <c r="BY78" s="90" t="s">
        <v>2262</v>
      </c>
      <c r="BZ78" s="90" t="s">
        <v>2262</v>
      </c>
      <c r="CA78" s="75" t="str">
        <f>REPLACE(INDEX(GroupVertices[Group],MATCH("~"&amp;Vertices[[#This Row],[Vertex]],GroupVertices[Vertex],0)),1,1,"")</f>
        <v>1</v>
      </c>
      <c r="CB78" s="2"/>
    </row>
    <row r="79" spans="1:80" ht="34.05" customHeight="1">
      <c r="A79" s="61" t="s">
        <v>609</v>
      </c>
      <c r="C79" s="62"/>
      <c r="D79" s="62"/>
      <c r="E79" s="63"/>
      <c r="F79" s="92"/>
      <c r="G79" s="86" t="str">
        <f>HYPERLINK("https://pbs.twimg.com/profile_images/930046786521137152/zfBILylG_normal.jpg")</f>
        <v>https://pbs.twimg.com/profile_images/930046786521137152/zfBILylG_normal.jpg</v>
      </c>
      <c r="H79" s="93"/>
      <c r="I79" s="66"/>
      <c r="J79" s="67"/>
      <c r="K79" s="94"/>
      <c r="L79" s="66" t="s">
        <v>1900</v>
      </c>
      <c r="M79" s="95"/>
      <c r="N79" s="71">
        <v>2562.556396484375</v>
      </c>
      <c r="O79" s="71">
        <v>4577.048828125</v>
      </c>
      <c r="P79" s="72"/>
      <c r="Q79" s="73"/>
      <c r="R79" s="73"/>
      <c r="S79" s="96"/>
      <c r="T79" s="45">
        <v>0</v>
      </c>
      <c r="U79" s="45">
        <v>3</v>
      </c>
      <c r="V79" s="46">
        <v>614</v>
      </c>
      <c r="W79" s="46">
        <v>0.420054</v>
      </c>
      <c r="X79" s="46">
        <v>0.06713</v>
      </c>
      <c r="Y79" s="46">
        <v>0.007301</v>
      </c>
      <c r="Z79" s="46">
        <v>0</v>
      </c>
      <c r="AA79" s="46">
        <v>0</v>
      </c>
      <c r="AB79" s="68">
        <v>79</v>
      </c>
      <c r="AC79" s="68"/>
      <c r="AD79" s="69"/>
      <c r="AE79" s="76" t="s">
        <v>1311</v>
      </c>
      <c r="AF79" s="80" t="s">
        <v>1435</v>
      </c>
      <c r="AG79" s="76">
        <v>5988</v>
      </c>
      <c r="AH79" s="76">
        <v>6123</v>
      </c>
      <c r="AI79" s="76">
        <v>26984</v>
      </c>
      <c r="AJ79" s="76">
        <v>336</v>
      </c>
      <c r="AK79" s="76">
        <v>36513</v>
      </c>
      <c r="AL79" s="76">
        <v>9844</v>
      </c>
      <c r="AM79" s="76" t="b">
        <v>0</v>
      </c>
      <c r="AN79" s="78">
        <v>42079.73489583333</v>
      </c>
      <c r="AO79" s="76" t="s">
        <v>327</v>
      </c>
      <c r="AP79" s="76" t="s">
        <v>1628</v>
      </c>
      <c r="AQ79" s="81" t="str">
        <f>HYPERLINK("https://t.co/7DZmdqo0JW")</f>
        <v>https://t.co/7DZmdqo0JW</v>
      </c>
      <c r="AR79" s="81" t="str">
        <f>HYPERLINK("http://jetruby.com/?rs=twitter-profile")</f>
        <v>http://jetruby.com/?rs=twitter-profile</v>
      </c>
      <c r="AS79" s="76" t="s">
        <v>1746</v>
      </c>
      <c r="AT79" s="81" t="str">
        <f>HYPERLINK("https://t.co/NE8E1rsE50")</f>
        <v>https://t.co/NE8E1rsE50</v>
      </c>
      <c r="AU79" s="81" t="str">
        <f>HYPERLINK("http://bit.ly/2fsOQVW")</f>
        <v>http://bit.ly/2fsOQVW</v>
      </c>
      <c r="AV79" s="76" t="s">
        <v>1817</v>
      </c>
      <c r="AW79" s="76">
        <v>1.2173663949265E+18</v>
      </c>
      <c r="AX79" s="81" t="str">
        <f>HYPERLINK("https://t.co/7DZmdqo0JW")</f>
        <v>https://t.co/7DZmdqo0JW</v>
      </c>
      <c r="AY79" s="76" t="b">
        <v>0</v>
      </c>
      <c r="AZ79" s="76"/>
      <c r="BA79" s="76"/>
      <c r="BB79" s="76" t="b">
        <v>1</v>
      </c>
      <c r="BC79" s="76" t="b">
        <v>1</v>
      </c>
      <c r="BD79" s="76" t="b">
        <v>0</v>
      </c>
      <c r="BE79" s="76" t="b">
        <v>0</v>
      </c>
      <c r="BF79" s="76" t="b">
        <v>1</v>
      </c>
      <c r="BG79" s="76" t="b">
        <v>0</v>
      </c>
      <c r="BH79" s="76" t="b">
        <v>0</v>
      </c>
      <c r="BI79" s="81" t="str">
        <f>HYPERLINK("https://pbs.twimg.com/profile_banners/3092433987/1677077068")</f>
        <v>https://pbs.twimg.com/profile_banners/3092433987/1677077068</v>
      </c>
      <c r="BJ79" s="76"/>
      <c r="BK79" s="76" t="s">
        <v>330</v>
      </c>
      <c r="BL79" s="76" t="b">
        <v>0</v>
      </c>
      <c r="BM79" s="76"/>
      <c r="BN79" s="76" t="s">
        <v>66</v>
      </c>
      <c r="BO79" s="76" t="s">
        <v>332</v>
      </c>
      <c r="BP79" s="97" t="str">
        <f>HYPERLINK("https://twitter.com/jetrubyagency")</f>
        <v>https://twitter.com/jetrubyagency</v>
      </c>
      <c r="BQ79" s="45"/>
      <c r="BR79" s="45"/>
      <c r="BS79" s="45"/>
      <c r="BT79" s="45"/>
      <c r="BU79" s="45"/>
      <c r="BV79" s="45"/>
      <c r="BW79" s="90" t="s">
        <v>2192</v>
      </c>
      <c r="BX79" s="90" t="s">
        <v>2192</v>
      </c>
      <c r="BY79" s="90" t="s">
        <v>2263</v>
      </c>
      <c r="BZ79" s="90" t="s">
        <v>2263</v>
      </c>
      <c r="CA79" s="75" t="str">
        <f>REPLACE(INDEX(GroupVertices[Group],MATCH("~"&amp;Vertices[[#This Row],[Vertex]],GroupVertices[Vertex],0)),1,1,"")</f>
        <v>9</v>
      </c>
      <c r="CB79" s="2"/>
    </row>
    <row r="80" spans="1:80" ht="34.05" customHeight="1">
      <c r="A80" s="61" t="s">
        <v>691</v>
      </c>
      <c r="C80" s="62"/>
      <c r="D80" s="62"/>
      <c r="E80" s="63"/>
      <c r="F80" s="92"/>
      <c r="G80" s="86" t="str">
        <f>HYPERLINK("https://pbs.twimg.com/profile_images/1020108877638094853/7St9UJfM_normal.jpg")</f>
        <v>https://pbs.twimg.com/profile_images/1020108877638094853/7St9UJfM_normal.jpg</v>
      </c>
      <c r="H80" s="93"/>
      <c r="I80" s="66"/>
      <c r="J80" s="67"/>
      <c r="K80" s="94"/>
      <c r="L80" s="66" t="s">
        <v>1901</v>
      </c>
      <c r="M80" s="95"/>
      <c r="N80" s="71">
        <v>120.4914321899414</v>
      </c>
      <c r="O80" s="71">
        <v>4396.3818359375</v>
      </c>
      <c r="P80" s="72"/>
      <c r="Q80" s="73"/>
      <c r="R80" s="73"/>
      <c r="S80" s="96"/>
      <c r="T80" s="45">
        <v>1</v>
      </c>
      <c r="U80" s="45">
        <v>0</v>
      </c>
      <c r="V80" s="46">
        <v>0</v>
      </c>
      <c r="W80" s="46">
        <v>0.296367</v>
      </c>
      <c r="X80" s="46">
        <v>0.006433</v>
      </c>
      <c r="Y80" s="46">
        <v>0.005814</v>
      </c>
      <c r="Z80" s="46">
        <v>0</v>
      </c>
      <c r="AA80" s="46">
        <v>0</v>
      </c>
      <c r="AB80" s="68">
        <v>80</v>
      </c>
      <c r="AC80" s="68"/>
      <c r="AD80" s="69"/>
      <c r="AE80" s="76" t="s">
        <v>1312</v>
      </c>
      <c r="AF80" s="80" t="s">
        <v>1436</v>
      </c>
      <c r="AG80" s="76">
        <v>5393</v>
      </c>
      <c r="AH80" s="76">
        <v>2063</v>
      </c>
      <c r="AI80" s="76">
        <v>4096</v>
      </c>
      <c r="AJ80" s="76">
        <v>103</v>
      </c>
      <c r="AK80" s="76">
        <v>196</v>
      </c>
      <c r="AL80" s="76">
        <v>587</v>
      </c>
      <c r="AM80" s="76" t="b">
        <v>0</v>
      </c>
      <c r="AN80" s="78">
        <v>39674.78456018519</v>
      </c>
      <c r="AO80" s="76" t="s">
        <v>299</v>
      </c>
      <c r="AP80" s="76" t="s">
        <v>1629</v>
      </c>
      <c r="AQ80" s="81" t="str">
        <f>HYPERLINK("https://t.co/AcMaJawcRz")</f>
        <v>https://t.co/AcMaJawcRz</v>
      </c>
      <c r="AR80" s="81" t="str">
        <f>HYPERLINK("http://www.skotwaldron.com")</f>
        <v>http://www.skotwaldron.com</v>
      </c>
      <c r="AS80" s="76" t="s">
        <v>1747</v>
      </c>
      <c r="AT80" s="76"/>
      <c r="AU80" s="76"/>
      <c r="AV80" s="76"/>
      <c r="AW80" s="76"/>
      <c r="AX80" s="81" t="str">
        <f>HYPERLINK("https://t.co/AcMaJawcRz")</f>
        <v>https://t.co/AcMaJawcRz</v>
      </c>
      <c r="AY80" s="76" t="b">
        <v>0</v>
      </c>
      <c r="AZ80" s="76"/>
      <c r="BA80" s="76"/>
      <c r="BB80" s="76" t="b">
        <v>0</v>
      </c>
      <c r="BC80" s="76" t="b">
        <v>1</v>
      </c>
      <c r="BD80" s="76" t="b">
        <v>0</v>
      </c>
      <c r="BE80" s="76" t="b">
        <v>0</v>
      </c>
      <c r="BF80" s="76" t="b">
        <v>0</v>
      </c>
      <c r="BG80" s="76" t="b">
        <v>0</v>
      </c>
      <c r="BH80" s="76" t="b">
        <v>0</v>
      </c>
      <c r="BI80" s="76"/>
      <c r="BJ80" s="76"/>
      <c r="BK80" s="76" t="s">
        <v>330</v>
      </c>
      <c r="BL80" s="76" t="b">
        <v>0</v>
      </c>
      <c r="BM80" s="76"/>
      <c r="BN80" s="76" t="s">
        <v>65</v>
      </c>
      <c r="BO80" s="76" t="s">
        <v>332</v>
      </c>
      <c r="BP80" s="97" t="str">
        <f>HYPERLINK("https://twitter.com/skotwaldron")</f>
        <v>https://twitter.com/skotwaldron</v>
      </c>
      <c r="BQ80" s="45"/>
      <c r="BR80" s="45"/>
      <c r="BS80" s="45"/>
      <c r="BT80" s="45"/>
      <c r="BU80" s="45"/>
      <c r="BV80" s="45"/>
      <c r="BW80" s="45"/>
      <c r="BX80" s="45"/>
      <c r="BY80" s="45"/>
      <c r="BZ80" s="45"/>
      <c r="CA80" s="75" t="str">
        <f>REPLACE(INDEX(GroupVertices[Group],MATCH("~"&amp;Vertices[[#This Row],[Vertex]],GroupVertices[Vertex],0)),1,1,"")</f>
        <v>9</v>
      </c>
      <c r="CB80" s="2"/>
    </row>
    <row r="81" spans="1:80" ht="34.05" customHeight="1">
      <c r="A81" s="61" t="s">
        <v>692</v>
      </c>
      <c r="C81" s="62"/>
      <c r="D81" s="62"/>
      <c r="E81" s="63"/>
      <c r="F81" s="92"/>
      <c r="G81" s="86" t="str">
        <f>HYPERLINK("https://pbs.twimg.com/profile_images/868577100873289728/A8z-n6Jl_normal.jpg")</f>
        <v>https://pbs.twimg.com/profile_images/868577100873289728/A8z-n6Jl_normal.jpg</v>
      </c>
      <c r="H81" s="93"/>
      <c r="I81" s="66"/>
      <c r="J81" s="67"/>
      <c r="K81" s="94"/>
      <c r="L81" s="66" t="s">
        <v>1902</v>
      </c>
      <c r="M81" s="95"/>
      <c r="N81" s="71">
        <v>120.4914321899414</v>
      </c>
      <c r="O81" s="71">
        <v>4883.30810546875</v>
      </c>
      <c r="P81" s="72"/>
      <c r="Q81" s="73"/>
      <c r="R81" s="73"/>
      <c r="S81" s="96"/>
      <c r="T81" s="45">
        <v>1</v>
      </c>
      <c r="U81" s="45">
        <v>0</v>
      </c>
      <c r="V81" s="46">
        <v>0</v>
      </c>
      <c r="W81" s="46">
        <v>0.296367</v>
      </c>
      <c r="X81" s="46">
        <v>0.006433</v>
      </c>
      <c r="Y81" s="46">
        <v>0.005814</v>
      </c>
      <c r="Z81" s="46">
        <v>0</v>
      </c>
      <c r="AA81" s="46">
        <v>0</v>
      </c>
      <c r="AB81" s="68">
        <v>81</v>
      </c>
      <c r="AC81" s="68"/>
      <c r="AD81" s="69"/>
      <c r="AE81" s="76" t="s">
        <v>1313</v>
      </c>
      <c r="AF81" s="80" t="s">
        <v>1220</v>
      </c>
      <c r="AG81" s="76">
        <v>2573</v>
      </c>
      <c r="AH81" s="76">
        <v>1552</v>
      </c>
      <c r="AI81" s="76">
        <v>36291</v>
      </c>
      <c r="AJ81" s="76">
        <v>71</v>
      </c>
      <c r="AK81" s="76">
        <v>39743</v>
      </c>
      <c r="AL81" s="76">
        <v>77</v>
      </c>
      <c r="AM81" s="76" t="b">
        <v>0</v>
      </c>
      <c r="AN81" s="78">
        <v>42873.03246527778</v>
      </c>
      <c r="AO81" s="76" t="s">
        <v>294</v>
      </c>
      <c r="AP81" s="76" t="s">
        <v>1630</v>
      </c>
      <c r="AQ81" s="81" t="str">
        <f>HYPERLINK("https://t.co/3gjYwsUSNZ")</f>
        <v>https://t.co/3gjYwsUSNZ</v>
      </c>
      <c r="AR81" s="81" t="str">
        <f>HYPERLINK("https://toprankvisibility.com")</f>
        <v>https://toprankvisibility.com</v>
      </c>
      <c r="AS81" s="76" t="s">
        <v>1748</v>
      </c>
      <c r="AT81" s="76"/>
      <c r="AU81" s="76"/>
      <c r="AV81" s="76"/>
      <c r="AW81" s="76">
        <v>9.86046136170369E+17</v>
      </c>
      <c r="AX81" s="81" t="str">
        <f>HYPERLINK("https://t.co/3gjYwsUSNZ")</f>
        <v>https://t.co/3gjYwsUSNZ</v>
      </c>
      <c r="AY81" s="76" t="b">
        <v>0</v>
      </c>
      <c r="AZ81" s="76"/>
      <c r="BA81" s="76"/>
      <c r="BB81" s="76" t="b">
        <v>0</v>
      </c>
      <c r="BC81" s="76" t="b">
        <v>1</v>
      </c>
      <c r="BD81" s="76" t="b">
        <v>1</v>
      </c>
      <c r="BE81" s="76" t="b">
        <v>0</v>
      </c>
      <c r="BF81" s="76" t="b">
        <v>1</v>
      </c>
      <c r="BG81" s="76" t="b">
        <v>0</v>
      </c>
      <c r="BH81" s="76" t="b">
        <v>0</v>
      </c>
      <c r="BI81" s="81" t="str">
        <f>HYPERLINK("https://pbs.twimg.com/profile_banners/865005703550844928/1495919768")</f>
        <v>https://pbs.twimg.com/profile_banners/865005703550844928/1495919768</v>
      </c>
      <c r="BJ81" s="76"/>
      <c r="BK81" s="76" t="s">
        <v>330</v>
      </c>
      <c r="BL81" s="76" t="b">
        <v>0</v>
      </c>
      <c r="BM81" s="76"/>
      <c r="BN81" s="76" t="s">
        <v>65</v>
      </c>
      <c r="BO81" s="76" t="s">
        <v>332</v>
      </c>
      <c r="BP81" s="97" t="str">
        <f>HYPERLINK("https://twitter.com/rankvisibility")</f>
        <v>https://twitter.com/rankvisibility</v>
      </c>
      <c r="BQ81" s="45"/>
      <c r="BR81" s="45"/>
      <c r="BS81" s="45"/>
      <c r="BT81" s="45"/>
      <c r="BU81" s="45"/>
      <c r="BV81" s="45"/>
      <c r="BW81" s="45"/>
      <c r="BX81" s="45"/>
      <c r="BY81" s="45"/>
      <c r="BZ81" s="45"/>
      <c r="CA81" s="75" t="str">
        <f>REPLACE(INDEX(GroupVertices[Group],MATCH("~"&amp;Vertices[[#This Row],[Vertex]],GroupVertices[Vertex],0)),1,1,"")</f>
        <v>9</v>
      </c>
      <c r="CB81" s="2"/>
    </row>
    <row r="82" spans="1:80" ht="34.05" customHeight="1">
      <c r="A82" s="61" t="s">
        <v>610</v>
      </c>
      <c r="C82" s="62"/>
      <c r="D82" s="62"/>
      <c r="E82" s="63"/>
      <c r="F82" s="92"/>
      <c r="G82" s="86" t="str">
        <f>HYPERLINK("https://pbs.twimg.com/profile_images/793451736061079552/mzm0DXCC_normal.jpg")</f>
        <v>https://pbs.twimg.com/profile_images/793451736061079552/mzm0DXCC_normal.jpg</v>
      </c>
      <c r="H82" s="93"/>
      <c r="I82" s="66"/>
      <c r="J82" s="67"/>
      <c r="K82" s="94"/>
      <c r="L82" s="66" t="s">
        <v>1903</v>
      </c>
      <c r="M82" s="95"/>
      <c r="N82" s="71">
        <v>4427.06103515625</v>
      </c>
      <c r="O82" s="71">
        <v>2702.703125</v>
      </c>
      <c r="P82" s="72"/>
      <c r="Q82" s="73"/>
      <c r="R82" s="73"/>
      <c r="S82" s="96"/>
      <c r="T82" s="45">
        <v>0</v>
      </c>
      <c r="U82" s="45">
        <v>1</v>
      </c>
      <c r="V82" s="46">
        <v>0</v>
      </c>
      <c r="W82" s="46">
        <v>0.41555</v>
      </c>
      <c r="X82" s="46">
        <v>0.065898</v>
      </c>
      <c r="Y82" s="46">
        <v>0.005556</v>
      </c>
      <c r="Z82" s="46">
        <v>0</v>
      </c>
      <c r="AA82" s="46">
        <v>0</v>
      </c>
      <c r="AB82" s="68">
        <v>82</v>
      </c>
      <c r="AC82" s="68"/>
      <c r="AD82" s="69"/>
      <c r="AE82" s="76" t="s">
        <v>1314</v>
      </c>
      <c r="AF82" s="80" t="s">
        <v>1437</v>
      </c>
      <c r="AG82" s="76">
        <v>3039</v>
      </c>
      <c r="AH82" s="76">
        <v>3288</v>
      </c>
      <c r="AI82" s="76">
        <v>14788</v>
      </c>
      <c r="AJ82" s="76">
        <v>109</v>
      </c>
      <c r="AK82" s="76">
        <v>1088</v>
      </c>
      <c r="AL82" s="76">
        <v>1835</v>
      </c>
      <c r="AM82" s="76" t="b">
        <v>0</v>
      </c>
      <c r="AN82" s="78">
        <v>40613.573645833334</v>
      </c>
      <c r="AO82" s="76" t="s">
        <v>1530</v>
      </c>
      <c r="AP82" s="76" t="s">
        <v>1631</v>
      </c>
      <c r="AQ82" s="81" t="str">
        <f>HYPERLINK("https://t.co/6uVvGBiCKB")</f>
        <v>https://t.co/6uVvGBiCKB</v>
      </c>
      <c r="AR82" s="81" t="str">
        <f>HYPERLINK("http://www.redbookproductions.co.uk")</f>
        <v>http://www.redbookproductions.co.uk</v>
      </c>
      <c r="AS82" s="76" t="s">
        <v>1749</v>
      </c>
      <c r="AT82" s="76"/>
      <c r="AU82" s="76"/>
      <c r="AV82" s="76"/>
      <c r="AW82" s="76"/>
      <c r="AX82" s="81" t="str">
        <f>HYPERLINK("https://t.co/6uVvGBiCKB")</f>
        <v>https://t.co/6uVvGBiCKB</v>
      </c>
      <c r="AY82" s="76" t="b">
        <v>0</v>
      </c>
      <c r="AZ82" s="76"/>
      <c r="BA82" s="76"/>
      <c r="BB82" s="76" t="b">
        <v>0</v>
      </c>
      <c r="BC82" s="76" t="b">
        <v>1</v>
      </c>
      <c r="BD82" s="76" t="b">
        <v>0</v>
      </c>
      <c r="BE82" s="76" t="b">
        <v>0</v>
      </c>
      <c r="BF82" s="76" t="b">
        <v>1</v>
      </c>
      <c r="BG82" s="76" t="b">
        <v>0</v>
      </c>
      <c r="BH82" s="76" t="b">
        <v>0</v>
      </c>
      <c r="BI82" s="81" t="str">
        <f>HYPERLINK("https://pbs.twimg.com/profile_banners/264184368/1478008633")</f>
        <v>https://pbs.twimg.com/profile_banners/264184368/1478008633</v>
      </c>
      <c r="BJ82" s="76"/>
      <c r="BK82" s="76" t="s">
        <v>330</v>
      </c>
      <c r="BL82" s="76" t="b">
        <v>0</v>
      </c>
      <c r="BM82" s="76"/>
      <c r="BN82" s="76" t="s">
        <v>66</v>
      </c>
      <c r="BO82" s="76" t="s">
        <v>332</v>
      </c>
      <c r="BP82" s="97" t="str">
        <f>HYPERLINK("https://twitter.com/redbookfilms")</f>
        <v>https://twitter.com/redbookfilms</v>
      </c>
      <c r="BQ82" s="45" t="s">
        <v>2127</v>
      </c>
      <c r="BR82" s="45" t="s">
        <v>2127</v>
      </c>
      <c r="BS82" s="45" t="s">
        <v>233</v>
      </c>
      <c r="BT82" s="45" t="s">
        <v>233</v>
      </c>
      <c r="BU82" s="45"/>
      <c r="BV82" s="45"/>
      <c r="BW82" s="90" t="s">
        <v>2193</v>
      </c>
      <c r="BX82" s="90" t="s">
        <v>2193</v>
      </c>
      <c r="BY82" s="90" t="s">
        <v>2264</v>
      </c>
      <c r="BZ82" s="90" t="s">
        <v>2264</v>
      </c>
      <c r="CA82" s="75" t="str">
        <f>REPLACE(INDEX(GroupVertices[Group],MATCH("~"&amp;Vertices[[#This Row],[Vertex]],GroupVertices[Vertex],0)),1,1,"")</f>
        <v>1</v>
      </c>
      <c r="CB82" s="2"/>
    </row>
    <row r="83" spans="1:80" ht="34.05" customHeight="1">
      <c r="A83" s="61" t="s">
        <v>611</v>
      </c>
      <c r="C83" s="62"/>
      <c r="D83" s="62"/>
      <c r="E83" s="63"/>
      <c r="F83" s="92"/>
      <c r="G83" s="86" t="str">
        <f>HYPERLINK("https://pbs.twimg.com/profile_images/70171146/home_icon_normal.jpg")</f>
        <v>https://pbs.twimg.com/profile_images/70171146/home_icon_normal.jpg</v>
      </c>
      <c r="H83" s="93"/>
      <c r="I83" s="66"/>
      <c r="J83" s="67"/>
      <c r="K83" s="94"/>
      <c r="L83" s="66" t="s">
        <v>1904</v>
      </c>
      <c r="M83" s="95"/>
      <c r="N83" s="71">
        <v>6710.72119140625</v>
      </c>
      <c r="O83" s="71">
        <v>5297.92529296875</v>
      </c>
      <c r="P83" s="72"/>
      <c r="Q83" s="73"/>
      <c r="R83" s="73"/>
      <c r="S83" s="96"/>
      <c r="T83" s="45">
        <v>0</v>
      </c>
      <c r="U83" s="45">
        <v>1</v>
      </c>
      <c r="V83" s="46">
        <v>0</v>
      </c>
      <c r="W83" s="46">
        <v>0.41555</v>
      </c>
      <c r="X83" s="46">
        <v>0.065898</v>
      </c>
      <c r="Y83" s="46">
        <v>0.005556</v>
      </c>
      <c r="Z83" s="46">
        <v>0</v>
      </c>
      <c r="AA83" s="46">
        <v>0</v>
      </c>
      <c r="AB83" s="68">
        <v>83</v>
      </c>
      <c r="AC83" s="68"/>
      <c r="AD83" s="69"/>
      <c r="AE83" s="76" t="s">
        <v>1315</v>
      </c>
      <c r="AF83" s="80" t="s">
        <v>1438</v>
      </c>
      <c r="AG83" s="76">
        <v>6116</v>
      </c>
      <c r="AH83" s="76">
        <v>3371</v>
      </c>
      <c r="AI83" s="76">
        <v>51422</v>
      </c>
      <c r="AJ83" s="76">
        <v>149</v>
      </c>
      <c r="AK83" s="76">
        <v>1</v>
      </c>
      <c r="AL83" s="76">
        <v>0</v>
      </c>
      <c r="AM83" s="76" t="b">
        <v>0</v>
      </c>
      <c r="AN83" s="78">
        <v>39811.92533564815</v>
      </c>
      <c r="AO83" s="76" t="s">
        <v>293</v>
      </c>
      <c r="AP83" s="76" t="s">
        <v>1632</v>
      </c>
      <c r="AQ83" s="81" t="str">
        <f>HYPERLINK("http://t.co/HRrR2A34m1")</f>
        <v>http://t.co/HRrR2A34m1</v>
      </c>
      <c r="AR83" s="81" t="str">
        <f>HYPERLINK("http://www.twibs.com")</f>
        <v>http://www.twibs.com</v>
      </c>
      <c r="AS83" s="76" t="s">
        <v>1750</v>
      </c>
      <c r="AT83" s="76"/>
      <c r="AU83" s="76"/>
      <c r="AV83" s="76"/>
      <c r="AW83" s="76"/>
      <c r="AX83" s="81" t="str">
        <f>HYPERLINK("http://t.co/HRrR2A34m1")</f>
        <v>http://t.co/HRrR2A34m1</v>
      </c>
      <c r="AY83" s="76" t="b">
        <v>0</v>
      </c>
      <c r="AZ83" s="76"/>
      <c r="BA83" s="76"/>
      <c r="BB83" s="76" t="b">
        <v>0</v>
      </c>
      <c r="BC83" s="76" t="b">
        <v>1</v>
      </c>
      <c r="BD83" s="76" t="b">
        <v>0</v>
      </c>
      <c r="BE83" s="76" t="b">
        <v>0</v>
      </c>
      <c r="BF83" s="76" t="b">
        <v>0</v>
      </c>
      <c r="BG83" s="76" t="b">
        <v>0</v>
      </c>
      <c r="BH83" s="76" t="b">
        <v>0</v>
      </c>
      <c r="BI83" s="76"/>
      <c r="BJ83" s="76"/>
      <c r="BK83" s="76" t="s">
        <v>330</v>
      </c>
      <c r="BL83" s="76" t="b">
        <v>0</v>
      </c>
      <c r="BM83" s="76"/>
      <c r="BN83" s="76" t="s">
        <v>66</v>
      </c>
      <c r="BO83" s="76" t="s">
        <v>332</v>
      </c>
      <c r="BP83" s="97" t="str">
        <f>HYPERLINK("https://twitter.com/twibs")</f>
        <v>https://twitter.com/twibs</v>
      </c>
      <c r="BQ83" s="45" t="s">
        <v>861</v>
      </c>
      <c r="BR83" s="45" t="s">
        <v>2141</v>
      </c>
      <c r="BS83" s="45" t="s">
        <v>1750</v>
      </c>
      <c r="BT83" s="45" t="s">
        <v>1750</v>
      </c>
      <c r="BU83" s="45"/>
      <c r="BV83" s="45"/>
      <c r="BW83" s="90" t="s">
        <v>2194</v>
      </c>
      <c r="BX83" s="90" t="s">
        <v>2194</v>
      </c>
      <c r="BY83" s="90" t="s">
        <v>2265</v>
      </c>
      <c r="BZ83" s="90" t="s">
        <v>2265</v>
      </c>
      <c r="CA83" s="75" t="str">
        <f>REPLACE(INDEX(GroupVertices[Group],MATCH("~"&amp;Vertices[[#This Row],[Vertex]],GroupVertices[Vertex],0)),1,1,"")</f>
        <v>1</v>
      </c>
      <c r="CB83" s="2"/>
    </row>
    <row r="84" spans="1:80" ht="34.05" customHeight="1">
      <c r="A84" s="61" t="s">
        <v>612</v>
      </c>
      <c r="C84" s="62"/>
      <c r="D84" s="62"/>
      <c r="E84" s="63"/>
      <c r="F84" s="92"/>
      <c r="G84" s="86" t="str">
        <f>HYPERLINK("https://pbs.twimg.com/profile_images/1003750515606421506/9nTZsVzQ_normal.jpg")</f>
        <v>https://pbs.twimg.com/profile_images/1003750515606421506/9nTZsVzQ_normal.jpg</v>
      </c>
      <c r="H84" s="93"/>
      <c r="I84" s="66"/>
      <c r="J84" s="67"/>
      <c r="K84" s="94"/>
      <c r="L84" s="66" t="s">
        <v>1905</v>
      </c>
      <c r="M84" s="95"/>
      <c r="N84" s="71">
        <v>3363.244384765625</v>
      </c>
      <c r="O84" s="71">
        <v>3687.91015625</v>
      </c>
      <c r="P84" s="72"/>
      <c r="Q84" s="73"/>
      <c r="R84" s="73"/>
      <c r="S84" s="96"/>
      <c r="T84" s="45">
        <v>0</v>
      </c>
      <c r="U84" s="45">
        <v>1</v>
      </c>
      <c r="V84" s="46">
        <v>0</v>
      </c>
      <c r="W84" s="46">
        <v>0.41555</v>
      </c>
      <c r="X84" s="46">
        <v>0.065898</v>
      </c>
      <c r="Y84" s="46">
        <v>0.005556</v>
      </c>
      <c r="Z84" s="46">
        <v>0</v>
      </c>
      <c r="AA84" s="46">
        <v>0</v>
      </c>
      <c r="AB84" s="68">
        <v>84</v>
      </c>
      <c r="AC84" s="68"/>
      <c r="AD84" s="69"/>
      <c r="AE84" s="76" t="s">
        <v>1316</v>
      </c>
      <c r="AF84" s="80" t="s">
        <v>1439</v>
      </c>
      <c r="AG84" s="76">
        <v>345</v>
      </c>
      <c r="AH84" s="76">
        <v>293</v>
      </c>
      <c r="AI84" s="76">
        <v>7632</v>
      </c>
      <c r="AJ84" s="76">
        <v>161</v>
      </c>
      <c r="AK84" s="76">
        <v>21</v>
      </c>
      <c r="AL84" s="76">
        <v>0</v>
      </c>
      <c r="AM84" s="76" t="b">
        <v>0</v>
      </c>
      <c r="AN84" s="78">
        <v>42285.664872685185</v>
      </c>
      <c r="AO84" s="76" t="s">
        <v>1531</v>
      </c>
      <c r="AP84" s="76" t="s">
        <v>1633</v>
      </c>
      <c r="AQ84" s="81" t="str">
        <f>HYPERLINK("https://t.co/S4APQmhwj2")</f>
        <v>https://t.co/S4APQmhwj2</v>
      </c>
      <c r="AR84" s="81" t="str">
        <f>HYPERLINK("http://twitterpulse.io")</f>
        <v>http://twitterpulse.io</v>
      </c>
      <c r="AS84" s="76" t="s">
        <v>1751</v>
      </c>
      <c r="AT84" s="76"/>
      <c r="AU84" s="76"/>
      <c r="AV84" s="76"/>
      <c r="AW84" s="76"/>
      <c r="AX84" s="81" t="str">
        <f>HYPERLINK("https://t.co/S4APQmhwj2")</f>
        <v>https://t.co/S4APQmhwj2</v>
      </c>
      <c r="AY84" s="76" t="b">
        <v>0</v>
      </c>
      <c r="AZ84" s="76"/>
      <c r="BA84" s="76"/>
      <c r="BB84" s="76" t="b">
        <v>0</v>
      </c>
      <c r="BC84" s="76" t="b">
        <v>1</v>
      </c>
      <c r="BD84" s="76" t="b">
        <v>0</v>
      </c>
      <c r="BE84" s="76" t="b">
        <v>0</v>
      </c>
      <c r="BF84" s="76" t="b">
        <v>0</v>
      </c>
      <c r="BG84" s="76" t="b">
        <v>0</v>
      </c>
      <c r="BH84" s="76" t="b">
        <v>0</v>
      </c>
      <c r="BI84" s="81" t="str">
        <f>HYPERLINK("https://pbs.twimg.com/profile_banners/3900808721/1483445780")</f>
        <v>https://pbs.twimg.com/profile_banners/3900808721/1483445780</v>
      </c>
      <c r="BJ84" s="76"/>
      <c r="BK84" s="76" t="s">
        <v>330</v>
      </c>
      <c r="BL84" s="76" t="b">
        <v>0</v>
      </c>
      <c r="BM84" s="76"/>
      <c r="BN84" s="76" t="s">
        <v>66</v>
      </c>
      <c r="BO84" s="76" t="s">
        <v>332</v>
      </c>
      <c r="BP84" s="97" t="str">
        <f>HYPERLINK("https://twitter.com/twitpulse_in")</f>
        <v>https://twitter.com/twitpulse_in</v>
      </c>
      <c r="BQ84" s="45"/>
      <c r="BR84" s="45"/>
      <c r="BS84" s="45"/>
      <c r="BT84" s="45"/>
      <c r="BU84" s="45"/>
      <c r="BV84" s="45"/>
      <c r="BW84" s="90" t="s">
        <v>2195</v>
      </c>
      <c r="BX84" s="90" t="s">
        <v>2195</v>
      </c>
      <c r="BY84" s="90" t="s">
        <v>2266</v>
      </c>
      <c r="BZ84" s="90" t="s">
        <v>2266</v>
      </c>
      <c r="CA84" s="75" t="str">
        <f>REPLACE(INDEX(GroupVertices[Group],MATCH("~"&amp;Vertices[[#This Row],[Vertex]],GroupVertices[Vertex],0)),1,1,"")</f>
        <v>1</v>
      </c>
      <c r="CB84" s="2"/>
    </row>
    <row r="85" spans="1:80" ht="34.05" customHeight="1">
      <c r="A85" s="61" t="s">
        <v>613</v>
      </c>
      <c r="C85" s="62"/>
      <c r="D85" s="62"/>
      <c r="E85" s="63"/>
      <c r="F85" s="92"/>
      <c r="G85" s="86" t="str">
        <f>HYPERLINK("https://pbs.twimg.com/profile_images/1728484573242359808/V7LB1QvG_normal.jpg")</f>
        <v>https://pbs.twimg.com/profile_images/1728484573242359808/V7LB1QvG_normal.jpg</v>
      </c>
      <c r="H85" s="93"/>
      <c r="I85" s="66"/>
      <c r="J85" s="67"/>
      <c r="K85" s="94"/>
      <c r="L85" s="66" t="s">
        <v>1906</v>
      </c>
      <c r="M85" s="95"/>
      <c r="N85" s="71">
        <v>3379.957763671875</v>
      </c>
      <c r="O85" s="71">
        <v>3174.682861328125</v>
      </c>
      <c r="P85" s="72"/>
      <c r="Q85" s="73"/>
      <c r="R85" s="73"/>
      <c r="S85" s="96"/>
      <c r="T85" s="45">
        <v>0</v>
      </c>
      <c r="U85" s="45">
        <v>2</v>
      </c>
      <c r="V85" s="46">
        <v>308</v>
      </c>
      <c r="W85" s="46">
        <v>0.41779</v>
      </c>
      <c r="X85" s="46">
        <v>0.066508</v>
      </c>
      <c r="Y85" s="46">
        <v>0.006446</v>
      </c>
      <c r="Z85" s="46">
        <v>0</v>
      </c>
      <c r="AA85" s="46">
        <v>0</v>
      </c>
      <c r="AB85" s="68">
        <v>85</v>
      </c>
      <c r="AC85" s="68"/>
      <c r="AD85" s="69"/>
      <c r="AE85" s="76" t="s">
        <v>1317</v>
      </c>
      <c r="AF85" s="80" t="s">
        <v>1440</v>
      </c>
      <c r="AG85" s="76">
        <v>6410</v>
      </c>
      <c r="AH85" s="76">
        <v>862</v>
      </c>
      <c r="AI85" s="76">
        <v>8084</v>
      </c>
      <c r="AJ85" s="76">
        <v>211</v>
      </c>
      <c r="AK85" s="76">
        <v>4353</v>
      </c>
      <c r="AL85" s="76">
        <v>7995</v>
      </c>
      <c r="AM85" s="76" t="b">
        <v>0</v>
      </c>
      <c r="AN85" s="78">
        <v>41909.121400462966</v>
      </c>
      <c r="AO85" s="76"/>
      <c r="AP85" s="76" t="s">
        <v>1634</v>
      </c>
      <c r="AQ85" s="81" t="str">
        <f>HYPERLINK("https://t.co/q62eSj0Xe6")</f>
        <v>https://t.co/q62eSj0Xe6</v>
      </c>
      <c r="AR85" s="81" t="str">
        <f>HYPERLINK("http://cssnectar.com")</f>
        <v>http://cssnectar.com</v>
      </c>
      <c r="AS85" s="76" t="s">
        <v>878</v>
      </c>
      <c r="AT85" s="76"/>
      <c r="AU85" s="76"/>
      <c r="AV85" s="76"/>
      <c r="AW85" s="76"/>
      <c r="AX85" s="81" t="str">
        <f>HYPERLINK("https://t.co/q62eSj0Xe6")</f>
        <v>https://t.co/q62eSj0Xe6</v>
      </c>
      <c r="AY85" s="76" t="b">
        <v>0</v>
      </c>
      <c r="AZ85" s="76"/>
      <c r="BA85" s="76"/>
      <c r="BB85" s="76" t="b">
        <v>0</v>
      </c>
      <c r="BC85" s="76" t="b">
        <v>1</v>
      </c>
      <c r="BD85" s="76" t="b">
        <v>0</v>
      </c>
      <c r="BE85" s="76" t="b">
        <v>0</v>
      </c>
      <c r="BF85" s="76" t="b">
        <v>0</v>
      </c>
      <c r="BG85" s="76" t="b">
        <v>0</v>
      </c>
      <c r="BH85" s="76" t="b">
        <v>0</v>
      </c>
      <c r="BI85" s="81" t="str">
        <f>HYPERLINK("https://pbs.twimg.com/profile_banners/2833476896/1701130385")</f>
        <v>https://pbs.twimg.com/profile_banners/2833476896/1701130385</v>
      </c>
      <c r="BJ85" s="76"/>
      <c r="BK85" s="76" t="s">
        <v>330</v>
      </c>
      <c r="BL85" s="76" t="b">
        <v>0</v>
      </c>
      <c r="BM85" s="76"/>
      <c r="BN85" s="76" t="s">
        <v>66</v>
      </c>
      <c r="BO85" s="76" t="s">
        <v>332</v>
      </c>
      <c r="BP85" s="97" t="str">
        <f>HYPERLINK("https://twitter.com/cssnectar")</f>
        <v>https://twitter.com/cssnectar</v>
      </c>
      <c r="BQ85" s="45" t="s">
        <v>2012</v>
      </c>
      <c r="BR85" s="45" t="s">
        <v>2142</v>
      </c>
      <c r="BS85" s="45" t="s">
        <v>878</v>
      </c>
      <c r="BT85" s="45" t="s">
        <v>878</v>
      </c>
      <c r="BU85" s="45" t="s">
        <v>506</v>
      </c>
      <c r="BV85" s="45" t="s">
        <v>506</v>
      </c>
      <c r="BW85" s="90" t="s">
        <v>2196</v>
      </c>
      <c r="BX85" s="90" t="s">
        <v>2231</v>
      </c>
      <c r="BY85" s="90" t="s">
        <v>2267</v>
      </c>
      <c r="BZ85" s="90" t="s">
        <v>2300</v>
      </c>
      <c r="CA85" s="75" t="str">
        <f>REPLACE(INDEX(GroupVertices[Group],MATCH("~"&amp;Vertices[[#This Row],[Vertex]],GroupVertices[Vertex],0)),1,1,"")</f>
        <v>15</v>
      </c>
      <c r="CB85" s="2"/>
    </row>
    <row r="86" spans="1:80" ht="34.05" customHeight="1">
      <c r="A86" s="61" t="s">
        <v>693</v>
      </c>
      <c r="C86" s="62"/>
      <c r="D86" s="62"/>
      <c r="E86" s="63"/>
      <c r="F86" s="92"/>
      <c r="G86" s="86" t="str">
        <f>HYPERLINK("https://abs.twimg.com/sticky/default_profile_images/default_profile_normal.png")</f>
        <v>https://abs.twimg.com/sticky/default_profile_images/default_profile_normal.png</v>
      </c>
      <c r="H86" s="93"/>
      <c r="I86" s="66"/>
      <c r="J86" s="67"/>
      <c r="K86" s="94"/>
      <c r="L86" s="66" t="s">
        <v>1907</v>
      </c>
      <c r="M86" s="95"/>
      <c r="N86" s="71">
        <v>1654.91259765625</v>
      </c>
      <c r="O86" s="71">
        <v>1277.9779052734375</v>
      </c>
      <c r="P86" s="72"/>
      <c r="Q86" s="73"/>
      <c r="R86" s="73"/>
      <c r="S86" s="96"/>
      <c r="T86" s="45">
        <v>1</v>
      </c>
      <c r="U86" s="45">
        <v>0</v>
      </c>
      <c r="V86" s="46">
        <v>0</v>
      </c>
      <c r="W86" s="46">
        <v>0.295238</v>
      </c>
      <c r="X86" s="46">
        <v>0.006373</v>
      </c>
      <c r="Y86" s="46">
        <v>0.005932</v>
      </c>
      <c r="Z86" s="46">
        <v>0</v>
      </c>
      <c r="AA86" s="46">
        <v>0</v>
      </c>
      <c r="AB86" s="68">
        <v>86</v>
      </c>
      <c r="AC86" s="68"/>
      <c r="AD86" s="69"/>
      <c r="AE86" s="76" t="s">
        <v>1318</v>
      </c>
      <c r="AF86" s="80" t="s">
        <v>1441</v>
      </c>
      <c r="AG86" s="76">
        <v>3</v>
      </c>
      <c r="AH86" s="76">
        <v>17</v>
      </c>
      <c r="AI86" s="76">
        <v>0</v>
      </c>
      <c r="AJ86" s="76">
        <v>0</v>
      </c>
      <c r="AK86" s="76">
        <v>0</v>
      </c>
      <c r="AL86" s="76">
        <v>0</v>
      </c>
      <c r="AM86" s="76" t="b">
        <v>0</v>
      </c>
      <c r="AN86" s="78">
        <v>42115.61447916667</v>
      </c>
      <c r="AO86" s="76"/>
      <c r="AP86" s="76"/>
      <c r="AQ86" s="76"/>
      <c r="AR86" s="76"/>
      <c r="AS86" s="76"/>
      <c r="AT86" s="76"/>
      <c r="AU86" s="76"/>
      <c r="AV86" s="76"/>
      <c r="AW86" s="76"/>
      <c r="AX86" s="76"/>
      <c r="AY86" s="76" t="b">
        <v>0</v>
      </c>
      <c r="AZ86" s="76"/>
      <c r="BA86" s="76"/>
      <c r="BB86" s="76" t="b">
        <v>0</v>
      </c>
      <c r="BC86" s="76" t="b">
        <v>1</v>
      </c>
      <c r="BD86" s="76" t="b">
        <v>1</v>
      </c>
      <c r="BE86" s="76" t="b">
        <v>1</v>
      </c>
      <c r="BF86" s="76" t="b">
        <v>0</v>
      </c>
      <c r="BG86" s="76" t="b">
        <v>0</v>
      </c>
      <c r="BH86" s="76" t="b">
        <v>0</v>
      </c>
      <c r="BI86" s="76"/>
      <c r="BJ86" s="76"/>
      <c r="BK86" s="76" t="s">
        <v>330</v>
      </c>
      <c r="BL86" s="76" t="b">
        <v>0</v>
      </c>
      <c r="BM86" s="76"/>
      <c r="BN86" s="76" t="s">
        <v>65</v>
      </c>
      <c r="BO86" s="76" t="s">
        <v>332</v>
      </c>
      <c r="BP86" s="97" t="str">
        <f>HYPERLINK("https://twitter.com/w3webdesign_in")</f>
        <v>https://twitter.com/w3webdesign_in</v>
      </c>
      <c r="BQ86" s="45"/>
      <c r="BR86" s="45"/>
      <c r="BS86" s="45"/>
      <c r="BT86" s="45"/>
      <c r="BU86" s="45"/>
      <c r="BV86" s="45"/>
      <c r="BW86" s="45"/>
      <c r="BX86" s="45"/>
      <c r="BY86" s="45"/>
      <c r="BZ86" s="45"/>
      <c r="CA86" s="75" t="str">
        <f>REPLACE(INDEX(GroupVertices[Group],MATCH("~"&amp;Vertices[[#This Row],[Vertex]],GroupVertices[Vertex],0)),1,1,"")</f>
        <v>15</v>
      </c>
      <c r="CB86" s="2"/>
    </row>
    <row r="87" spans="1:80" ht="34.05" customHeight="1">
      <c r="A87" s="61" t="s">
        <v>614</v>
      </c>
      <c r="C87" s="62"/>
      <c r="D87" s="62"/>
      <c r="E87" s="63"/>
      <c r="F87" s="92"/>
      <c r="G87" s="86" t="str">
        <f>HYPERLINK("https://pbs.twimg.com/profile_images/1284171186533007361/WKaMzZml_normal.jpg")</f>
        <v>https://pbs.twimg.com/profile_images/1284171186533007361/WKaMzZml_normal.jpg</v>
      </c>
      <c r="H87" s="93"/>
      <c r="I87" s="66"/>
      <c r="J87" s="67"/>
      <c r="K87" s="94"/>
      <c r="L87" s="66" t="s">
        <v>1908</v>
      </c>
      <c r="M87" s="95"/>
      <c r="N87" s="71">
        <v>4039.850830078125</v>
      </c>
      <c r="O87" s="71">
        <v>6892.22998046875</v>
      </c>
      <c r="P87" s="72"/>
      <c r="Q87" s="73"/>
      <c r="R87" s="73"/>
      <c r="S87" s="96"/>
      <c r="T87" s="45">
        <v>0</v>
      </c>
      <c r="U87" s="45">
        <v>1</v>
      </c>
      <c r="V87" s="46">
        <v>0</v>
      </c>
      <c r="W87" s="46">
        <v>0.41555</v>
      </c>
      <c r="X87" s="46">
        <v>0.065898</v>
      </c>
      <c r="Y87" s="46">
        <v>0.005556</v>
      </c>
      <c r="Z87" s="46">
        <v>0</v>
      </c>
      <c r="AA87" s="46">
        <v>0</v>
      </c>
      <c r="AB87" s="68">
        <v>87</v>
      </c>
      <c r="AC87" s="68"/>
      <c r="AD87" s="69"/>
      <c r="AE87" s="76" t="s">
        <v>1319</v>
      </c>
      <c r="AF87" s="80" t="s">
        <v>1442</v>
      </c>
      <c r="AG87" s="76">
        <v>2362</v>
      </c>
      <c r="AH87" s="76">
        <v>1622</v>
      </c>
      <c r="AI87" s="76">
        <v>20176</v>
      </c>
      <c r="AJ87" s="76">
        <v>308</v>
      </c>
      <c r="AK87" s="76">
        <v>6980</v>
      </c>
      <c r="AL87" s="76">
        <v>6337</v>
      </c>
      <c r="AM87" s="76" t="b">
        <v>0</v>
      </c>
      <c r="AN87" s="78">
        <v>41973.95099537037</v>
      </c>
      <c r="AO87" s="76" t="s">
        <v>1532</v>
      </c>
      <c r="AP87" s="76" t="s">
        <v>1635</v>
      </c>
      <c r="AQ87" s="81" t="str">
        <f>HYPERLINK("https://t.co/LjVmemUCWu")</f>
        <v>https://t.co/LjVmemUCWu</v>
      </c>
      <c r="AR87" s="81" t="str">
        <f>HYPERLINK("http://kalungigroup.com")</f>
        <v>http://kalungigroup.com</v>
      </c>
      <c r="AS87" s="76" t="s">
        <v>1752</v>
      </c>
      <c r="AT87" s="81" t="str">
        <f>HYPERLINK("https://t.co/yqMIkdDIXA")</f>
        <v>https://t.co/yqMIkdDIXA</v>
      </c>
      <c r="AU87" s="81" t="str">
        <f>HYPERLINK("http://Kalungigroup.com/services")</f>
        <v>http://Kalungigroup.com/services</v>
      </c>
      <c r="AV87" s="76" t="s">
        <v>1818</v>
      </c>
      <c r="AW87" s="76">
        <v>1.49363897760111E+18</v>
      </c>
      <c r="AX87" s="81" t="str">
        <f>HYPERLINK("https://t.co/LjVmemUCWu")</f>
        <v>https://t.co/LjVmemUCWu</v>
      </c>
      <c r="AY87" s="76" t="b">
        <v>0</v>
      </c>
      <c r="AZ87" s="76"/>
      <c r="BA87" s="76"/>
      <c r="BB87" s="76" t="b">
        <v>1</v>
      </c>
      <c r="BC87" s="76" t="b">
        <v>1</v>
      </c>
      <c r="BD87" s="76" t="b">
        <v>0</v>
      </c>
      <c r="BE87" s="76" t="b">
        <v>0</v>
      </c>
      <c r="BF87" s="76" t="b">
        <v>0</v>
      </c>
      <c r="BG87" s="76" t="b">
        <v>0</v>
      </c>
      <c r="BH87" s="76" t="b">
        <v>0</v>
      </c>
      <c r="BI87" s="81" t="str">
        <f>HYPERLINK("https://pbs.twimg.com/profile_banners/2899903684/1644946193")</f>
        <v>https://pbs.twimg.com/profile_banners/2899903684/1644946193</v>
      </c>
      <c r="BJ87" s="76"/>
      <c r="BK87" s="76" t="s">
        <v>330</v>
      </c>
      <c r="BL87" s="76" t="b">
        <v>0</v>
      </c>
      <c r="BM87" s="76"/>
      <c r="BN87" s="76" t="s">
        <v>66</v>
      </c>
      <c r="BO87" s="76" t="s">
        <v>332</v>
      </c>
      <c r="BP87" s="97" t="str">
        <f>HYPERLINK("https://twitter.com/kalungigroup")</f>
        <v>https://twitter.com/kalungigroup</v>
      </c>
      <c r="BQ87" s="45" t="s">
        <v>864</v>
      </c>
      <c r="BR87" s="45" t="s">
        <v>864</v>
      </c>
      <c r="BS87" s="45" t="s">
        <v>879</v>
      </c>
      <c r="BT87" s="45" t="s">
        <v>2146</v>
      </c>
      <c r="BU87" s="45"/>
      <c r="BV87" s="45"/>
      <c r="BW87" s="90" t="s">
        <v>2197</v>
      </c>
      <c r="BX87" s="90" t="s">
        <v>2197</v>
      </c>
      <c r="BY87" s="90" t="s">
        <v>2268</v>
      </c>
      <c r="BZ87" s="90" t="s">
        <v>2268</v>
      </c>
      <c r="CA87" s="75" t="str">
        <f>REPLACE(INDEX(GroupVertices[Group],MATCH("~"&amp;Vertices[[#This Row],[Vertex]],GroupVertices[Vertex],0)),1,1,"")</f>
        <v>1</v>
      </c>
      <c r="CB87" s="2"/>
    </row>
    <row r="88" spans="1:80" ht="34.05" customHeight="1">
      <c r="A88" s="61" t="s">
        <v>615</v>
      </c>
      <c r="C88" s="62"/>
      <c r="D88" s="62"/>
      <c r="E88" s="63"/>
      <c r="F88" s="92"/>
      <c r="G88" s="86" t="str">
        <f>HYPERLINK("https://pbs.twimg.com/profile_images/1477934974644805632/NppysaQN_normal.jpg")</f>
        <v>https://pbs.twimg.com/profile_images/1477934974644805632/NppysaQN_normal.jpg</v>
      </c>
      <c r="H88" s="93"/>
      <c r="I88" s="66"/>
      <c r="J88" s="67"/>
      <c r="K88" s="94"/>
      <c r="L88" s="66" t="s">
        <v>1909</v>
      </c>
      <c r="M88" s="95"/>
      <c r="N88" s="71">
        <v>5853.37353515625</v>
      </c>
      <c r="O88" s="71">
        <v>4881.8525390625</v>
      </c>
      <c r="P88" s="72"/>
      <c r="Q88" s="73"/>
      <c r="R88" s="73"/>
      <c r="S88" s="96"/>
      <c r="T88" s="45">
        <v>1</v>
      </c>
      <c r="U88" s="45">
        <v>2</v>
      </c>
      <c r="V88" s="46">
        <v>0</v>
      </c>
      <c r="W88" s="46">
        <v>0.41555</v>
      </c>
      <c r="X88" s="46">
        <v>0.072881</v>
      </c>
      <c r="Y88" s="46">
        <v>0.006007</v>
      </c>
      <c r="Z88" s="46">
        <v>0</v>
      </c>
      <c r="AA88" s="46">
        <v>0</v>
      </c>
      <c r="AB88" s="68">
        <v>88</v>
      </c>
      <c r="AC88" s="68"/>
      <c r="AD88" s="69"/>
      <c r="AE88" s="76" t="s">
        <v>1320</v>
      </c>
      <c r="AF88" s="80" t="s">
        <v>1443</v>
      </c>
      <c r="AG88" s="76">
        <v>3345</v>
      </c>
      <c r="AH88" s="76">
        <v>2600</v>
      </c>
      <c r="AI88" s="76">
        <v>11599</v>
      </c>
      <c r="AJ88" s="76">
        <v>131</v>
      </c>
      <c r="AK88" s="76">
        <v>5599</v>
      </c>
      <c r="AL88" s="76">
        <v>8363</v>
      </c>
      <c r="AM88" s="76" t="b">
        <v>0</v>
      </c>
      <c r="AN88" s="78">
        <v>42214.31775462963</v>
      </c>
      <c r="AO88" s="76"/>
      <c r="AP88" s="76" t="s">
        <v>1636</v>
      </c>
      <c r="AQ88" s="81" t="str">
        <f>HYPERLINK("https://t.co/9A6VXMcl3w")</f>
        <v>https://t.co/9A6VXMcl3w</v>
      </c>
      <c r="AR88" s="81" t="str">
        <f>HYPERLINK("https://www.goodfirms.co/")</f>
        <v>https://www.goodfirms.co/</v>
      </c>
      <c r="AS88" s="76" t="s">
        <v>1753</v>
      </c>
      <c r="AT88" s="76"/>
      <c r="AU88" s="76"/>
      <c r="AV88" s="76"/>
      <c r="AW88" s="76"/>
      <c r="AX88" s="81" t="str">
        <f>HYPERLINK("https://t.co/9A6VXMcl3w")</f>
        <v>https://t.co/9A6VXMcl3w</v>
      </c>
      <c r="AY88" s="76" t="b">
        <v>0</v>
      </c>
      <c r="AZ88" s="76"/>
      <c r="BA88" s="76"/>
      <c r="BB88" s="76" t="b">
        <v>0</v>
      </c>
      <c r="BC88" s="76" t="b">
        <v>1</v>
      </c>
      <c r="BD88" s="76" t="b">
        <v>0</v>
      </c>
      <c r="BE88" s="76" t="b">
        <v>0</v>
      </c>
      <c r="BF88" s="76" t="b">
        <v>1</v>
      </c>
      <c r="BG88" s="76" t="b">
        <v>0</v>
      </c>
      <c r="BH88" s="76" t="b">
        <v>0</v>
      </c>
      <c r="BI88" s="81" t="str">
        <f>HYPERLINK("https://pbs.twimg.com/profile_banners/3300294446/1682307548")</f>
        <v>https://pbs.twimg.com/profile_banners/3300294446/1682307548</v>
      </c>
      <c r="BJ88" s="76"/>
      <c r="BK88" s="76" t="s">
        <v>330</v>
      </c>
      <c r="BL88" s="76" t="b">
        <v>0</v>
      </c>
      <c r="BM88" s="76"/>
      <c r="BN88" s="76" t="s">
        <v>66</v>
      </c>
      <c r="BO88" s="76" t="s">
        <v>332</v>
      </c>
      <c r="BP88" s="97" t="str">
        <f>HYPERLINK("https://twitter.com/goodfirms")</f>
        <v>https://twitter.com/goodfirms</v>
      </c>
      <c r="BQ88" s="45" t="s">
        <v>2128</v>
      </c>
      <c r="BR88" s="45" t="s">
        <v>2128</v>
      </c>
      <c r="BS88" s="45" t="s">
        <v>400</v>
      </c>
      <c r="BT88" s="45" t="s">
        <v>400</v>
      </c>
      <c r="BU88" s="45" t="s">
        <v>840</v>
      </c>
      <c r="BV88" s="45" t="s">
        <v>2159</v>
      </c>
      <c r="BW88" s="90" t="s">
        <v>2198</v>
      </c>
      <c r="BX88" s="90" t="s">
        <v>2198</v>
      </c>
      <c r="BY88" s="90" t="s">
        <v>2269</v>
      </c>
      <c r="BZ88" s="90" t="s">
        <v>2269</v>
      </c>
      <c r="CA88" s="75" t="str">
        <f>REPLACE(INDEX(GroupVertices[Group],MATCH("~"&amp;Vertices[[#This Row],[Vertex]],GroupVertices[Vertex],0)),1,1,"")</f>
        <v>1</v>
      </c>
      <c r="CB88" s="2"/>
    </row>
    <row r="89" spans="1:80" ht="34.05" customHeight="1">
      <c r="A89" s="61" t="s">
        <v>616</v>
      </c>
      <c r="C89" s="62"/>
      <c r="D89" s="62"/>
      <c r="E89" s="63"/>
      <c r="F89" s="92"/>
      <c r="G89" s="86" t="str">
        <f>HYPERLINK("https://pbs.twimg.com/profile_images/889352010339713028/-jdopwhx_normal.jpg")</f>
        <v>https://pbs.twimg.com/profile_images/889352010339713028/-jdopwhx_normal.jpg</v>
      </c>
      <c r="H89" s="93"/>
      <c r="I89" s="66"/>
      <c r="J89" s="67"/>
      <c r="K89" s="94"/>
      <c r="L89" s="66" t="s">
        <v>1910</v>
      </c>
      <c r="M89" s="95"/>
      <c r="N89" s="71">
        <v>2775.2861328125</v>
      </c>
      <c r="O89" s="71">
        <v>4220.66943359375</v>
      </c>
      <c r="P89" s="72"/>
      <c r="Q89" s="73"/>
      <c r="R89" s="73"/>
      <c r="S89" s="96"/>
      <c r="T89" s="45">
        <v>0</v>
      </c>
      <c r="U89" s="45">
        <v>2</v>
      </c>
      <c r="V89" s="46">
        <v>308</v>
      </c>
      <c r="W89" s="46">
        <v>0.41779</v>
      </c>
      <c r="X89" s="46">
        <v>0.066508</v>
      </c>
      <c r="Y89" s="46">
        <v>0.006446</v>
      </c>
      <c r="Z89" s="46">
        <v>0</v>
      </c>
      <c r="AA89" s="46">
        <v>0</v>
      </c>
      <c r="AB89" s="68">
        <v>89</v>
      </c>
      <c r="AC89" s="68"/>
      <c r="AD89" s="69"/>
      <c r="AE89" s="76" t="s">
        <v>1321</v>
      </c>
      <c r="AF89" s="80" t="s">
        <v>1444</v>
      </c>
      <c r="AG89" s="76">
        <v>6914</v>
      </c>
      <c r="AH89" s="76">
        <v>1405</v>
      </c>
      <c r="AI89" s="76">
        <v>19884</v>
      </c>
      <c r="AJ89" s="76">
        <v>169</v>
      </c>
      <c r="AK89" s="76">
        <v>3828</v>
      </c>
      <c r="AL89" s="76">
        <v>3524</v>
      </c>
      <c r="AM89" s="76" t="b">
        <v>0</v>
      </c>
      <c r="AN89" s="78">
        <v>40252.504166666666</v>
      </c>
      <c r="AO89" s="76" t="s">
        <v>1533</v>
      </c>
      <c r="AP89" s="76" t="s">
        <v>1637</v>
      </c>
      <c r="AQ89" s="81" t="str">
        <f>HYPERLINK("https://t.co/96QIqhIUo4")</f>
        <v>https://t.co/96QIqhIUo4</v>
      </c>
      <c r="AR89" s="81" t="str">
        <f>HYPERLINK("http://www.defindia.org")</f>
        <v>http://www.defindia.org</v>
      </c>
      <c r="AS89" s="76" t="s">
        <v>1754</v>
      </c>
      <c r="AT89" s="76"/>
      <c r="AU89" s="76"/>
      <c r="AV89" s="76"/>
      <c r="AW89" s="76">
        <v>1.73338220962772E+18</v>
      </c>
      <c r="AX89" s="81" t="str">
        <f>HYPERLINK("https://t.co/96QIqhIUo4")</f>
        <v>https://t.co/96QIqhIUo4</v>
      </c>
      <c r="AY89" s="76" t="b">
        <v>0</v>
      </c>
      <c r="AZ89" s="76"/>
      <c r="BA89" s="76"/>
      <c r="BB89" s="76" t="b">
        <v>0</v>
      </c>
      <c r="BC89" s="76" t="b">
        <v>1</v>
      </c>
      <c r="BD89" s="76" t="b">
        <v>0</v>
      </c>
      <c r="BE89" s="76" t="b">
        <v>0</v>
      </c>
      <c r="BF89" s="76" t="b">
        <v>1</v>
      </c>
      <c r="BG89" s="76" t="b">
        <v>0</v>
      </c>
      <c r="BH89" s="76" t="b">
        <v>0</v>
      </c>
      <c r="BI89" s="81" t="str">
        <f>HYPERLINK("https://pbs.twimg.com/profile_banners/123227807/1678427463")</f>
        <v>https://pbs.twimg.com/profile_banners/123227807/1678427463</v>
      </c>
      <c r="BJ89" s="76"/>
      <c r="BK89" s="76" t="s">
        <v>330</v>
      </c>
      <c r="BL89" s="76" t="b">
        <v>0</v>
      </c>
      <c r="BM89" s="76"/>
      <c r="BN89" s="76" t="s">
        <v>66</v>
      </c>
      <c r="BO89" s="76" t="s">
        <v>332</v>
      </c>
      <c r="BP89" s="97" t="str">
        <f>HYPERLINK("https://twitter.com/defindia")</f>
        <v>https://twitter.com/defindia</v>
      </c>
      <c r="BQ89" s="45" t="s">
        <v>2011</v>
      </c>
      <c r="BR89" s="45" t="s">
        <v>2011</v>
      </c>
      <c r="BS89" s="45" t="s">
        <v>880</v>
      </c>
      <c r="BT89" s="45" t="s">
        <v>880</v>
      </c>
      <c r="BU89" s="45" t="s">
        <v>841</v>
      </c>
      <c r="BV89" s="45" t="s">
        <v>841</v>
      </c>
      <c r="BW89" s="90" t="s">
        <v>2199</v>
      </c>
      <c r="BX89" s="90" t="s">
        <v>2199</v>
      </c>
      <c r="BY89" s="90" t="s">
        <v>2270</v>
      </c>
      <c r="BZ89" s="90" t="s">
        <v>2270</v>
      </c>
      <c r="CA89" s="75" t="str">
        <f>REPLACE(INDEX(GroupVertices[Group],MATCH("~"&amp;Vertices[[#This Row],[Vertex]],GroupVertices[Vertex],0)),1,1,"")</f>
        <v>14</v>
      </c>
      <c r="CB89" s="2"/>
    </row>
    <row r="90" spans="1:80" ht="34.05" customHeight="1">
      <c r="A90" s="61" t="s">
        <v>694</v>
      </c>
      <c r="C90" s="62"/>
      <c r="D90" s="62"/>
      <c r="E90" s="63"/>
      <c r="F90" s="92"/>
      <c r="G90" s="86" t="str">
        <f>HYPERLINK("https://pbs.twimg.com/profile_images/766496051759030272/74eLOLJK_normal.jpg")</f>
        <v>https://pbs.twimg.com/profile_images/766496051759030272/74eLOLJK_normal.jpg</v>
      </c>
      <c r="H90" s="93"/>
      <c r="I90" s="66"/>
      <c r="J90" s="67"/>
      <c r="K90" s="94"/>
      <c r="L90" s="66" t="s">
        <v>1911</v>
      </c>
      <c r="M90" s="95"/>
      <c r="N90" s="71">
        <v>218.36453247070312</v>
      </c>
      <c r="O90" s="71">
        <v>3752.382568359375</v>
      </c>
      <c r="P90" s="72"/>
      <c r="Q90" s="73"/>
      <c r="R90" s="73"/>
      <c r="S90" s="96"/>
      <c r="T90" s="45">
        <v>1</v>
      </c>
      <c r="U90" s="45">
        <v>0</v>
      </c>
      <c r="V90" s="46">
        <v>0</v>
      </c>
      <c r="W90" s="46">
        <v>0.295238</v>
      </c>
      <c r="X90" s="46">
        <v>0.006373</v>
      </c>
      <c r="Y90" s="46">
        <v>0.005932</v>
      </c>
      <c r="Z90" s="46">
        <v>0</v>
      </c>
      <c r="AA90" s="46">
        <v>0</v>
      </c>
      <c r="AB90" s="68">
        <v>90</v>
      </c>
      <c r="AC90" s="68"/>
      <c r="AD90" s="69"/>
      <c r="AE90" s="76" t="s">
        <v>1322</v>
      </c>
      <c r="AF90" s="80" t="s">
        <v>1445</v>
      </c>
      <c r="AG90" s="76">
        <v>1354</v>
      </c>
      <c r="AH90" s="76">
        <v>1892</v>
      </c>
      <c r="AI90" s="76">
        <v>4005</v>
      </c>
      <c r="AJ90" s="76">
        <v>18</v>
      </c>
      <c r="AK90" s="76">
        <v>129</v>
      </c>
      <c r="AL90" s="76">
        <v>162</v>
      </c>
      <c r="AM90" s="76" t="b">
        <v>0</v>
      </c>
      <c r="AN90" s="78">
        <v>40163.62357638889</v>
      </c>
      <c r="AO90" s="76"/>
      <c r="AP90" s="76" t="s">
        <v>1638</v>
      </c>
      <c r="AQ90" s="81" t="str">
        <f>HYPERLINK("http://t.co/R6wFPlVUjr")</f>
        <v>http://t.co/R6wFPlVUjr</v>
      </c>
      <c r="AR90" s="81" t="str">
        <f>HYPERLINK("http://manthanaward.org")</f>
        <v>http://manthanaward.org</v>
      </c>
      <c r="AS90" s="76" t="s">
        <v>1755</v>
      </c>
      <c r="AT90" s="76"/>
      <c r="AU90" s="76"/>
      <c r="AV90" s="76"/>
      <c r="AW90" s="76"/>
      <c r="AX90" s="81" t="str">
        <f>HYPERLINK("http://t.co/R6wFPlVUjr")</f>
        <v>http://t.co/R6wFPlVUjr</v>
      </c>
      <c r="AY90" s="76" t="b">
        <v>0</v>
      </c>
      <c r="AZ90" s="76"/>
      <c r="BA90" s="76"/>
      <c r="BB90" s="76" t="b">
        <v>0</v>
      </c>
      <c r="BC90" s="76" t="b">
        <v>1</v>
      </c>
      <c r="BD90" s="76" t="b">
        <v>0</v>
      </c>
      <c r="BE90" s="76" t="b">
        <v>0</v>
      </c>
      <c r="BF90" s="76" t="b">
        <v>0</v>
      </c>
      <c r="BG90" s="76" t="b">
        <v>0</v>
      </c>
      <c r="BH90" s="76" t="b">
        <v>0</v>
      </c>
      <c r="BI90" s="81" t="str">
        <f>HYPERLINK("https://pbs.twimg.com/profile_banners/97224682/1513410192")</f>
        <v>https://pbs.twimg.com/profile_banners/97224682/1513410192</v>
      </c>
      <c r="BJ90" s="76"/>
      <c r="BK90" s="76" t="s">
        <v>330</v>
      </c>
      <c r="BL90" s="76" t="b">
        <v>0</v>
      </c>
      <c r="BM90" s="76"/>
      <c r="BN90" s="76" t="s">
        <v>65</v>
      </c>
      <c r="BO90" s="76" t="s">
        <v>332</v>
      </c>
      <c r="BP90" s="97" t="str">
        <f>HYPERLINK("https://twitter.com/manthanaward")</f>
        <v>https://twitter.com/manthanaward</v>
      </c>
      <c r="BQ90" s="45"/>
      <c r="BR90" s="45"/>
      <c r="BS90" s="45"/>
      <c r="BT90" s="45"/>
      <c r="BU90" s="45"/>
      <c r="BV90" s="45"/>
      <c r="BW90" s="45"/>
      <c r="BX90" s="45"/>
      <c r="BY90" s="45"/>
      <c r="BZ90" s="45"/>
      <c r="CA90" s="75" t="str">
        <f>REPLACE(INDEX(GroupVertices[Group],MATCH("~"&amp;Vertices[[#This Row],[Vertex]],GroupVertices[Vertex],0)),1,1,"")</f>
        <v>14</v>
      </c>
      <c r="CB90" s="2"/>
    </row>
    <row r="91" spans="1:80" ht="34.05" customHeight="1">
      <c r="A91" s="61" t="s">
        <v>617</v>
      </c>
      <c r="C91" s="62"/>
      <c r="D91" s="62"/>
      <c r="E91" s="63"/>
      <c r="F91" s="92"/>
      <c r="G91" s="86" t="str">
        <f>HYPERLINK("https://pbs.twimg.com/profile_images/1316788614630707201/sw-NxJ_U_normal.png")</f>
        <v>https://pbs.twimg.com/profile_images/1316788614630707201/sw-NxJ_U_normal.png</v>
      </c>
      <c r="H91" s="93"/>
      <c r="I91" s="66"/>
      <c r="J91" s="67"/>
      <c r="K91" s="94"/>
      <c r="L91" s="66" t="s">
        <v>1912</v>
      </c>
      <c r="M91" s="95"/>
      <c r="N91" s="71">
        <v>3133.831787109375</v>
      </c>
      <c r="O91" s="71">
        <v>6255.6025390625</v>
      </c>
      <c r="P91" s="72"/>
      <c r="Q91" s="73"/>
      <c r="R91" s="73"/>
      <c r="S91" s="96"/>
      <c r="T91" s="45">
        <v>0</v>
      </c>
      <c r="U91" s="45">
        <v>2</v>
      </c>
      <c r="V91" s="46">
        <v>75.5</v>
      </c>
      <c r="W91" s="46">
        <v>0.41779</v>
      </c>
      <c r="X91" s="46">
        <v>0.06841</v>
      </c>
      <c r="Y91" s="46">
        <v>0.005826</v>
      </c>
      <c r="Z91" s="46">
        <v>0</v>
      </c>
      <c r="AA91" s="46">
        <v>0</v>
      </c>
      <c r="AB91" s="68">
        <v>91</v>
      </c>
      <c r="AC91" s="68"/>
      <c r="AD91" s="69"/>
      <c r="AE91" s="76" t="s">
        <v>1323</v>
      </c>
      <c r="AF91" s="80" t="s">
        <v>1446</v>
      </c>
      <c r="AG91" s="76">
        <v>999</v>
      </c>
      <c r="AH91" s="76">
        <v>543</v>
      </c>
      <c r="AI91" s="76">
        <v>605</v>
      </c>
      <c r="AJ91" s="76">
        <v>31</v>
      </c>
      <c r="AK91" s="76">
        <v>234</v>
      </c>
      <c r="AL91" s="76">
        <v>57</v>
      </c>
      <c r="AM91" s="76" t="b">
        <v>0</v>
      </c>
      <c r="AN91" s="78">
        <v>41422.71619212963</v>
      </c>
      <c r="AO91" s="76" t="s">
        <v>302</v>
      </c>
      <c r="AP91" s="76" t="s">
        <v>1639</v>
      </c>
      <c r="AQ91" s="81" t="str">
        <f>HYPERLINK("https://t.co/JNHZdw1vpL")</f>
        <v>https://t.co/JNHZdw1vpL</v>
      </c>
      <c r="AR91" s="81" t="str">
        <f>HYPERLINK("http://nodebb.org")</f>
        <v>http://nodebb.org</v>
      </c>
      <c r="AS91" s="76" t="s">
        <v>1756</v>
      </c>
      <c r="AT91" s="81" t="str">
        <f>HYPERLINK("https://t.co/VoO0dgmUOP")</f>
        <v>https://t.co/VoO0dgmUOP</v>
      </c>
      <c r="AU91" s="81" t="str">
        <f>HYPERLINK("http://fosstodon.org/@nodebb")</f>
        <v>http://fosstodon.org/@nodebb</v>
      </c>
      <c r="AV91" s="76" t="s">
        <v>1819</v>
      </c>
      <c r="AW91" s="76"/>
      <c r="AX91" s="81" t="str">
        <f>HYPERLINK("https://t.co/JNHZdw1vpL")</f>
        <v>https://t.co/JNHZdw1vpL</v>
      </c>
      <c r="AY91" s="76" t="b">
        <v>0</v>
      </c>
      <c r="AZ91" s="76"/>
      <c r="BA91" s="76"/>
      <c r="BB91" s="76" t="b">
        <v>0</v>
      </c>
      <c r="BC91" s="76" t="b">
        <v>1</v>
      </c>
      <c r="BD91" s="76" t="b">
        <v>0</v>
      </c>
      <c r="BE91" s="76" t="b">
        <v>0</v>
      </c>
      <c r="BF91" s="76" t="b">
        <v>0</v>
      </c>
      <c r="BG91" s="76" t="b">
        <v>0</v>
      </c>
      <c r="BH91" s="76" t="b">
        <v>0</v>
      </c>
      <c r="BI91" s="81" t="str">
        <f>HYPERLINK("https://pbs.twimg.com/profile_banners/1465184376/1606146512")</f>
        <v>https://pbs.twimg.com/profile_banners/1465184376/1606146512</v>
      </c>
      <c r="BJ91" s="76"/>
      <c r="BK91" s="76" t="s">
        <v>330</v>
      </c>
      <c r="BL91" s="76" t="b">
        <v>0</v>
      </c>
      <c r="BM91" s="76"/>
      <c r="BN91" s="76" t="s">
        <v>66</v>
      </c>
      <c r="BO91" s="76" t="s">
        <v>332</v>
      </c>
      <c r="BP91" s="97" t="str">
        <f>HYPERLINK("https://twitter.com/nodebb")</f>
        <v>https://twitter.com/nodebb</v>
      </c>
      <c r="BQ91" s="45" t="s">
        <v>2129</v>
      </c>
      <c r="BR91" s="45" t="s">
        <v>2129</v>
      </c>
      <c r="BS91" s="45" t="s">
        <v>871</v>
      </c>
      <c r="BT91" s="45" t="s">
        <v>871</v>
      </c>
      <c r="BU91" s="45" t="s">
        <v>842</v>
      </c>
      <c r="BV91" s="45" t="s">
        <v>842</v>
      </c>
      <c r="BW91" s="90" t="s">
        <v>2200</v>
      </c>
      <c r="BX91" s="90" t="s">
        <v>2200</v>
      </c>
      <c r="BY91" s="90" t="s">
        <v>2271</v>
      </c>
      <c r="BZ91" s="90" t="s">
        <v>2271</v>
      </c>
      <c r="CA91" s="75" t="str">
        <f>REPLACE(INDEX(GroupVertices[Group],MATCH("~"&amp;Vertices[[#This Row],[Vertex]],GroupVertices[Vertex],0)),1,1,"")</f>
        <v>1</v>
      </c>
      <c r="CB91" s="2"/>
    </row>
    <row r="92" spans="1:80" ht="34.05" customHeight="1">
      <c r="A92" s="61" t="s">
        <v>618</v>
      </c>
      <c r="C92" s="62"/>
      <c r="D92" s="62"/>
      <c r="E92" s="63"/>
      <c r="F92" s="92"/>
      <c r="G92" s="86" t="str">
        <f>HYPERLINK("https://pbs.twimg.com/profile_images/1716218904102473728/hm74tMme_normal.jpg")</f>
        <v>https://pbs.twimg.com/profile_images/1716218904102473728/hm74tMme_normal.jpg</v>
      </c>
      <c r="H92" s="93"/>
      <c r="I92" s="66"/>
      <c r="J92" s="67"/>
      <c r="K92" s="94"/>
      <c r="L92" s="66" t="s">
        <v>1913</v>
      </c>
      <c r="M92" s="95"/>
      <c r="N92" s="71">
        <v>2806.6591796875</v>
      </c>
      <c r="O92" s="71">
        <v>5731.78173828125</v>
      </c>
      <c r="P92" s="72"/>
      <c r="Q92" s="73"/>
      <c r="R92" s="73"/>
      <c r="S92" s="96"/>
      <c r="T92" s="45">
        <v>0</v>
      </c>
      <c r="U92" s="45">
        <v>2</v>
      </c>
      <c r="V92" s="46">
        <v>308</v>
      </c>
      <c r="W92" s="46">
        <v>0.41779</v>
      </c>
      <c r="X92" s="46">
        <v>0.066508</v>
      </c>
      <c r="Y92" s="46">
        <v>0.006446</v>
      </c>
      <c r="Z92" s="46">
        <v>0</v>
      </c>
      <c r="AA92" s="46">
        <v>0</v>
      </c>
      <c r="AB92" s="68">
        <v>92</v>
      </c>
      <c r="AC92" s="68"/>
      <c r="AD92" s="69"/>
      <c r="AE92" s="76" t="s">
        <v>1324</v>
      </c>
      <c r="AF92" s="80" t="s">
        <v>1447</v>
      </c>
      <c r="AG92" s="76">
        <v>39160</v>
      </c>
      <c r="AH92" s="76">
        <v>28008</v>
      </c>
      <c r="AI92" s="76">
        <v>211832</v>
      </c>
      <c r="AJ92" s="76">
        <v>299</v>
      </c>
      <c r="AK92" s="76">
        <v>483403</v>
      </c>
      <c r="AL92" s="76">
        <v>15618</v>
      </c>
      <c r="AM92" s="76" t="b">
        <v>0</v>
      </c>
      <c r="AN92" s="78">
        <v>42201.86854166666</v>
      </c>
      <c r="AO92" s="76" t="s">
        <v>1534</v>
      </c>
      <c r="AP92" s="76" t="s">
        <v>1640</v>
      </c>
      <c r="AQ92" s="81" t="str">
        <f>HYPERLINK("https://t.co/cCit7QvYOn")</f>
        <v>https://t.co/cCit7QvYOn</v>
      </c>
      <c r="AR92" s="81" t="str">
        <f>HYPERLINK("https://open.spotify.com/artist/2LlKsdSC0WGBT4op0SM2M5?si=hup21XQWQmqF5rH196g9Yg")</f>
        <v>https://open.spotify.com/artist/2LlKsdSC0WGBT4op0SM2M5?si=hup21XQWQmqF5rH196g9Yg</v>
      </c>
      <c r="AS92" s="76" t="s">
        <v>1757</v>
      </c>
      <c r="AT92" s="81" t="str">
        <f>HYPERLINK("https://t.co/muhF4GwzKQ")</f>
        <v>https://t.co/muhF4GwzKQ</v>
      </c>
      <c r="AU92" s="81" t="str">
        <f>HYPERLINK("http://YouTube.com/wierg")</f>
        <v>http://YouTube.com/wierg</v>
      </c>
      <c r="AV92" s="76" t="s">
        <v>1820</v>
      </c>
      <c r="AW92" s="76">
        <v>1.73103842401281E+18</v>
      </c>
      <c r="AX92" s="81" t="str">
        <f>HYPERLINK("https://t.co/cCit7QvYOn")</f>
        <v>https://t.co/cCit7QvYOn</v>
      </c>
      <c r="AY92" s="76" t="b">
        <v>0</v>
      </c>
      <c r="AZ92" s="76"/>
      <c r="BA92" s="76"/>
      <c r="BB92" s="76" t="b">
        <v>1</v>
      </c>
      <c r="BC92" s="76" t="b">
        <v>0</v>
      </c>
      <c r="BD92" s="76" t="b">
        <v>0</v>
      </c>
      <c r="BE92" s="76" t="b">
        <v>0</v>
      </c>
      <c r="BF92" s="76" t="b">
        <v>1</v>
      </c>
      <c r="BG92" s="76" t="b">
        <v>0</v>
      </c>
      <c r="BH92" s="76" t="b">
        <v>0</v>
      </c>
      <c r="BI92" s="81" t="str">
        <f>HYPERLINK("https://pbs.twimg.com/profile_banners/3379407430/1691024672")</f>
        <v>https://pbs.twimg.com/profile_banners/3379407430/1691024672</v>
      </c>
      <c r="BJ92" s="76"/>
      <c r="BK92" s="76" t="s">
        <v>330</v>
      </c>
      <c r="BL92" s="76" t="b">
        <v>0</v>
      </c>
      <c r="BM92" s="76"/>
      <c r="BN92" s="76" t="s">
        <v>66</v>
      </c>
      <c r="BO92" s="76" t="s">
        <v>332</v>
      </c>
      <c r="BP92" s="97" t="str">
        <f>HYPERLINK("https://twitter.com/wiergeezy")</f>
        <v>https://twitter.com/wiergeezy</v>
      </c>
      <c r="BQ92" s="45"/>
      <c r="BR92" s="45"/>
      <c r="BS92" s="45"/>
      <c r="BT92" s="45"/>
      <c r="BU92" s="45"/>
      <c r="BV92" s="45"/>
      <c r="BW92" s="90" t="s">
        <v>2201</v>
      </c>
      <c r="BX92" s="90" t="s">
        <v>2201</v>
      </c>
      <c r="BY92" s="90" t="s">
        <v>2272</v>
      </c>
      <c r="BZ92" s="90" t="s">
        <v>2272</v>
      </c>
      <c r="CA92" s="75" t="str">
        <f>REPLACE(INDEX(GroupVertices[Group],MATCH("~"&amp;Vertices[[#This Row],[Vertex]],GroupVertices[Vertex],0)),1,1,"")</f>
        <v>13</v>
      </c>
      <c r="CB92" s="2"/>
    </row>
    <row r="93" spans="1:80" ht="34.05" customHeight="1">
      <c r="A93" s="61" t="s">
        <v>695</v>
      </c>
      <c r="C93" s="62"/>
      <c r="D93" s="62"/>
      <c r="E93" s="63"/>
      <c r="F93" s="92"/>
      <c r="G93" s="86" t="str">
        <f>HYPERLINK("https://pbs.twimg.com/profile_images/997912834230112256/KJFL3PaV_normal.jpg")</f>
        <v>https://pbs.twimg.com/profile_images/997912834230112256/KJFL3PaV_normal.jpg</v>
      </c>
      <c r="H93" s="93"/>
      <c r="I93" s="66"/>
      <c r="J93" s="67"/>
      <c r="K93" s="94"/>
      <c r="L93" s="66" t="s">
        <v>1914</v>
      </c>
      <c r="M93" s="95"/>
      <c r="N93" s="71">
        <v>131.69598388671875</v>
      </c>
      <c r="O93" s="71">
        <v>5580.92431640625</v>
      </c>
      <c r="P93" s="72"/>
      <c r="Q93" s="73"/>
      <c r="R93" s="73"/>
      <c r="S93" s="96"/>
      <c r="T93" s="45">
        <v>1</v>
      </c>
      <c r="U93" s="45">
        <v>0</v>
      </c>
      <c r="V93" s="46">
        <v>0</v>
      </c>
      <c r="W93" s="46">
        <v>0.295238</v>
      </c>
      <c r="X93" s="46">
        <v>0.006373</v>
      </c>
      <c r="Y93" s="46">
        <v>0.005932</v>
      </c>
      <c r="Z93" s="46">
        <v>0</v>
      </c>
      <c r="AA93" s="46">
        <v>0</v>
      </c>
      <c r="AB93" s="68">
        <v>93</v>
      </c>
      <c r="AC93" s="68"/>
      <c r="AD93" s="69"/>
      <c r="AE93" s="76" t="s">
        <v>1325</v>
      </c>
      <c r="AF93" s="80" t="s">
        <v>1448</v>
      </c>
      <c r="AG93" s="76">
        <v>54782</v>
      </c>
      <c r="AH93" s="76">
        <v>55045</v>
      </c>
      <c r="AI93" s="76">
        <v>1977</v>
      </c>
      <c r="AJ93" s="76">
        <v>380</v>
      </c>
      <c r="AK93" s="76">
        <v>1123</v>
      </c>
      <c r="AL93" s="76">
        <v>354</v>
      </c>
      <c r="AM93" s="76" t="b">
        <v>0</v>
      </c>
      <c r="AN93" s="78">
        <v>42318.57802083333</v>
      </c>
      <c r="AO93" s="76" t="s">
        <v>1535</v>
      </c>
      <c r="AP93" s="76" t="s">
        <v>1641</v>
      </c>
      <c r="AQ93" s="81" t="str">
        <f>HYPERLINK("https://t.co/2KUhELOvdJ")</f>
        <v>https://t.co/2KUhELOvdJ</v>
      </c>
      <c r="AR93" s="81" t="str">
        <f>HYPERLINK("http://www.pnburrows.com")</f>
        <v>http://www.pnburrows.com</v>
      </c>
      <c r="AS93" s="76" t="s">
        <v>1758</v>
      </c>
      <c r="AT93" s="76"/>
      <c r="AU93" s="76"/>
      <c r="AV93" s="76"/>
      <c r="AW93" s="76">
        <v>1.57612093408765E+18</v>
      </c>
      <c r="AX93" s="81" t="str">
        <f>HYPERLINK("https://t.co/2KUhELOvdJ")</f>
        <v>https://t.co/2KUhELOvdJ</v>
      </c>
      <c r="AY93" s="76" t="b">
        <v>0</v>
      </c>
      <c r="AZ93" s="76"/>
      <c r="BA93" s="76"/>
      <c r="BB93" s="76" t="b">
        <v>0</v>
      </c>
      <c r="BC93" s="76" t="b">
        <v>1</v>
      </c>
      <c r="BD93" s="76" t="b">
        <v>1</v>
      </c>
      <c r="BE93" s="76" t="b">
        <v>0</v>
      </c>
      <c r="BF93" s="76" t="b">
        <v>1</v>
      </c>
      <c r="BG93" s="76" t="b">
        <v>0</v>
      </c>
      <c r="BH93" s="76" t="b">
        <v>0</v>
      </c>
      <c r="BI93" s="81" t="str">
        <f>HYPERLINK("https://pbs.twimg.com/profile_banners/4156887100/1655983496")</f>
        <v>https://pbs.twimg.com/profile_banners/4156887100/1655983496</v>
      </c>
      <c r="BJ93" s="76"/>
      <c r="BK93" s="76" t="s">
        <v>330</v>
      </c>
      <c r="BL93" s="76" t="b">
        <v>0</v>
      </c>
      <c r="BM93" s="76"/>
      <c r="BN93" s="76" t="s">
        <v>65</v>
      </c>
      <c r="BO93" s="76" t="s">
        <v>332</v>
      </c>
      <c r="BP93" s="97" t="str">
        <f>HYPERLINK("https://twitter.com/pnburrows")</f>
        <v>https://twitter.com/pnburrows</v>
      </c>
      <c r="BQ93" s="45"/>
      <c r="BR93" s="45"/>
      <c r="BS93" s="45"/>
      <c r="BT93" s="45"/>
      <c r="BU93" s="45"/>
      <c r="BV93" s="45"/>
      <c r="BW93" s="45"/>
      <c r="BX93" s="45"/>
      <c r="BY93" s="45"/>
      <c r="BZ93" s="45"/>
      <c r="CA93" s="75" t="str">
        <f>REPLACE(INDEX(GroupVertices[Group],MATCH("~"&amp;Vertices[[#This Row],[Vertex]],GroupVertices[Vertex],0)),1,1,"")</f>
        <v>13</v>
      </c>
      <c r="CB93" s="2"/>
    </row>
    <row r="94" spans="1:80" ht="34.05" customHeight="1">
      <c r="A94" s="61" t="s">
        <v>619</v>
      </c>
      <c r="C94" s="62"/>
      <c r="D94" s="62"/>
      <c r="E94" s="63"/>
      <c r="F94" s="92"/>
      <c r="G94" s="86" t="str">
        <f>HYPERLINK("https://pbs.twimg.com/profile_images/811184680871591936/8de1HSMQ_normal.jpg")</f>
        <v>https://pbs.twimg.com/profile_images/811184680871591936/8de1HSMQ_normal.jpg</v>
      </c>
      <c r="H94" s="93"/>
      <c r="I94" s="66"/>
      <c r="J94" s="67"/>
      <c r="K94" s="94"/>
      <c r="L94" s="66" t="s">
        <v>1915</v>
      </c>
      <c r="M94" s="95"/>
      <c r="N94" s="71">
        <v>3915.912841796875</v>
      </c>
      <c r="O94" s="71">
        <v>3881.071044921875</v>
      </c>
      <c r="P94" s="72"/>
      <c r="Q94" s="73"/>
      <c r="R94" s="73"/>
      <c r="S94" s="96"/>
      <c r="T94" s="45">
        <v>0</v>
      </c>
      <c r="U94" s="45">
        <v>1</v>
      </c>
      <c r="V94" s="46">
        <v>0</v>
      </c>
      <c r="W94" s="46">
        <v>0.41555</v>
      </c>
      <c r="X94" s="46">
        <v>0.065898</v>
      </c>
      <c r="Y94" s="46">
        <v>0.005556</v>
      </c>
      <c r="Z94" s="46">
        <v>0</v>
      </c>
      <c r="AA94" s="46">
        <v>0</v>
      </c>
      <c r="AB94" s="68">
        <v>94</v>
      </c>
      <c r="AC94" s="68"/>
      <c r="AD94" s="69"/>
      <c r="AE94" s="76" t="s">
        <v>1326</v>
      </c>
      <c r="AF94" s="80" t="s">
        <v>1232</v>
      </c>
      <c r="AG94" s="76">
        <v>7374</v>
      </c>
      <c r="AH94" s="76">
        <v>9510</v>
      </c>
      <c r="AI94" s="76">
        <v>22921</v>
      </c>
      <c r="AJ94" s="76">
        <v>44</v>
      </c>
      <c r="AK94" s="76">
        <v>8575</v>
      </c>
      <c r="AL94" s="76">
        <v>22287</v>
      </c>
      <c r="AM94" s="76" t="b">
        <v>0</v>
      </c>
      <c r="AN94" s="78">
        <v>42724.51210648148</v>
      </c>
      <c r="AO94" s="76" t="s">
        <v>1536</v>
      </c>
      <c r="AP94" s="76" t="s">
        <v>1642</v>
      </c>
      <c r="AQ94" s="81" t="str">
        <f>HYPERLINK("https://t.co/TpMiFLA7Bj")</f>
        <v>https://t.co/TpMiFLA7Bj</v>
      </c>
      <c r="AR94" s="81" t="str">
        <f>HYPERLINK("http://www.shanebruwer.com")</f>
        <v>http://www.shanebruwer.com</v>
      </c>
      <c r="AS94" s="76" t="s">
        <v>1759</v>
      </c>
      <c r="AT94" s="76"/>
      <c r="AU94" s="76"/>
      <c r="AV94" s="76"/>
      <c r="AW94" s="76">
        <v>1.22218172328015E+18</v>
      </c>
      <c r="AX94" s="81" t="str">
        <f>HYPERLINK("https://t.co/TpMiFLA7Bj")</f>
        <v>https://t.co/TpMiFLA7Bj</v>
      </c>
      <c r="AY94" s="76" t="b">
        <v>0</v>
      </c>
      <c r="AZ94" s="76" t="b">
        <v>1</v>
      </c>
      <c r="BA94" s="76"/>
      <c r="BB94" s="76" t="b">
        <v>1</v>
      </c>
      <c r="BC94" s="76" t="b">
        <v>1</v>
      </c>
      <c r="BD94" s="76" t="b">
        <v>0</v>
      </c>
      <c r="BE94" s="76" t="b">
        <v>0</v>
      </c>
      <c r="BF94" s="76" t="b">
        <v>0</v>
      </c>
      <c r="BG94" s="76" t="b">
        <v>0</v>
      </c>
      <c r="BH94" s="76" t="b">
        <v>0</v>
      </c>
      <c r="BI94" s="81" t="str">
        <f>HYPERLINK("https://pbs.twimg.com/profile_banners/811183726591954944/1482952288")</f>
        <v>https://pbs.twimg.com/profile_banners/811183726591954944/1482952288</v>
      </c>
      <c r="BJ94" s="76"/>
      <c r="BK94" s="76" t="s">
        <v>330</v>
      </c>
      <c r="BL94" s="76" t="b">
        <v>0</v>
      </c>
      <c r="BM94" s="76"/>
      <c r="BN94" s="76" t="s">
        <v>66</v>
      </c>
      <c r="BO94" s="76" t="s">
        <v>332</v>
      </c>
      <c r="BP94" s="97" t="str">
        <f>HYPERLINK("https://twitter.com/shanebruwer")</f>
        <v>https://twitter.com/shanebruwer</v>
      </c>
      <c r="BQ94" s="45"/>
      <c r="BR94" s="45"/>
      <c r="BS94" s="45"/>
      <c r="BT94" s="45"/>
      <c r="BU94" s="45"/>
      <c r="BV94" s="45"/>
      <c r="BW94" s="90" t="s">
        <v>2202</v>
      </c>
      <c r="BX94" s="90" t="s">
        <v>2202</v>
      </c>
      <c r="BY94" s="90" t="s">
        <v>2273</v>
      </c>
      <c r="BZ94" s="90" t="s">
        <v>2273</v>
      </c>
      <c r="CA94" s="75" t="str">
        <f>REPLACE(INDEX(GroupVertices[Group],MATCH("~"&amp;Vertices[[#This Row],[Vertex]],GroupVertices[Vertex],0)),1,1,"")</f>
        <v>1</v>
      </c>
      <c r="CB94" s="2"/>
    </row>
    <row r="95" spans="1:80" ht="34.05" customHeight="1">
      <c r="A95" s="61" t="s">
        <v>620</v>
      </c>
      <c r="C95" s="62"/>
      <c r="D95" s="62"/>
      <c r="E95" s="63"/>
      <c r="F95" s="92"/>
      <c r="G95" s="86" t="str">
        <f>HYPERLINK("https://pbs.twimg.com/profile_images/748620904767315972/p-YTrHc4_normal.jpg")</f>
        <v>https://pbs.twimg.com/profile_images/748620904767315972/p-YTrHc4_normal.jpg</v>
      </c>
      <c r="H95" s="93"/>
      <c r="I95" s="66"/>
      <c r="J95" s="67"/>
      <c r="K95" s="94"/>
      <c r="L95" s="66" t="s">
        <v>1916</v>
      </c>
      <c r="M95" s="95"/>
      <c r="N95" s="71">
        <v>6514.9609375</v>
      </c>
      <c r="O95" s="71">
        <v>6656.28369140625</v>
      </c>
      <c r="P95" s="72"/>
      <c r="Q95" s="73"/>
      <c r="R95" s="73"/>
      <c r="S95" s="96"/>
      <c r="T95" s="45">
        <v>0</v>
      </c>
      <c r="U95" s="45">
        <v>1</v>
      </c>
      <c r="V95" s="46">
        <v>0</v>
      </c>
      <c r="W95" s="46">
        <v>0.41555</v>
      </c>
      <c r="X95" s="46">
        <v>0.065898</v>
      </c>
      <c r="Y95" s="46">
        <v>0.005556</v>
      </c>
      <c r="Z95" s="46">
        <v>0</v>
      </c>
      <c r="AA95" s="46">
        <v>0</v>
      </c>
      <c r="AB95" s="68">
        <v>95</v>
      </c>
      <c r="AC95" s="68"/>
      <c r="AD95" s="69"/>
      <c r="AE95" s="76" t="s">
        <v>958</v>
      </c>
      <c r="AF95" s="80" t="s">
        <v>1233</v>
      </c>
      <c r="AG95" s="76">
        <v>1573</v>
      </c>
      <c r="AH95" s="76">
        <v>4432</v>
      </c>
      <c r="AI95" s="76">
        <v>4730</v>
      </c>
      <c r="AJ95" s="76">
        <v>60</v>
      </c>
      <c r="AK95" s="76">
        <v>39</v>
      </c>
      <c r="AL95" s="76">
        <v>1097</v>
      </c>
      <c r="AM95" s="76" t="b">
        <v>0</v>
      </c>
      <c r="AN95" s="78">
        <v>42545.806493055556</v>
      </c>
      <c r="AO95" s="76"/>
      <c r="AP95" s="76" t="s">
        <v>1643</v>
      </c>
      <c r="AQ95" s="81" t="str">
        <f>HYPERLINK("https://t.co/wMZIOpxsp6")</f>
        <v>https://t.co/wMZIOpxsp6</v>
      </c>
      <c r="AR95" s="81" t="str">
        <f>HYPERLINK("https://www.mynetcomms.com")</f>
        <v>https://www.mynetcomms.com</v>
      </c>
      <c r="AS95" s="76" t="s">
        <v>881</v>
      </c>
      <c r="AT95" s="76"/>
      <c r="AU95" s="76"/>
      <c r="AV95" s="76"/>
      <c r="AW95" s="76"/>
      <c r="AX95" s="81" t="str">
        <f>HYPERLINK("https://t.co/wMZIOpxsp6")</f>
        <v>https://t.co/wMZIOpxsp6</v>
      </c>
      <c r="AY95" s="76" t="b">
        <v>0</v>
      </c>
      <c r="AZ95" s="76"/>
      <c r="BA95" s="76"/>
      <c r="BB95" s="76" t="b">
        <v>1</v>
      </c>
      <c r="BC95" s="76" t="b">
        <v>1</v>
      </c>
      <c r="BD95" s="76" t="b">
        <v>0</v>
      </c>
      <c r="BE95" s="76" t="b">
        <v>0</v>
      </c>
      <c r="BF95" s="76" t="b">
        <v>0</v>
      </c>
      <c r="BG95" s="76" t="b">
        <v>0</v>
      </c>
      <c r="BH95" s="76" t="b">
        <v>0</v>
      </c>
      <c r="BI95" s="81" t="str">
        <f>HYPERLINK("https://pbs.twimg.com/profile_banners/746422979609780224/1466971387")</f>
        <v>https://pbs.twimg.com/profile_banners/746422979609780224/1466971387</v>
      </c>
      <c r="BJ95" s="76"/>
      <c r="BK95" s="76" t="s">
        <v>330</v>
      </c>
      <c r="BL95" s="76" t="b">
        <v>0</v>
      </c>
      <c r="BM95" s="76"/>
      <c r="BN95" s="76" t="s">
        <v>66</v>
      </c>
      <c r="BO95" s="76" t="s">
        <v>332</v>
      </c>
      <c r="BP95" s="97" t="str">
        <f>HYPERLINK("https://twitter.com/net_comms")</f>
        <v>https://twitter.com/net_comms</v>
      </c>
      <c r="BQ95" s="45" t="s">
        <v>2130</v>
      </c>
      <c r="BR95" s="45" t="s">
        <v>2130</v>
      </c>
      <c r="BS95" s="45" t="s">
        <v>881</v>
      </c>
      <c r="BT95" s="45" t="s">
        <v>881</v>
      </c>
      <c r="BU95" s="45"/>
      <c r="BV95" s="45"/>
      <c r="BW95" s="90" t="s">
        <v>2203</v>
      </c>
      <c r="BX95" s="90" t="s">
        <v>2203</v>
      </c>
      <c r="BY95" s="90" t="s">
        <v>2274</v>
      </c>
      <c r="BZ95" s="90" t="s">
        <v>2274</v>
      </c>
      <c r="CA95" s="75" t="str">
        <f>REPLACE(INDEX(GroupVertices[Group],MATCH("~"&amp;Vertices[[#This Row],[Vertex]],GroupVertices[Vertex],0)),1,1,"")</f>
        <v>1</v>
      </c>
      <c r="CB95" s="2"/>
    </row>
    <row r="96" spans="1:80" ht="34.05" customHeight="1">
      <c r="A96" s="61" t="s">
        <v>621</v>
      </c>
      <c r="C96" s="62"/>
      <c r="D96" s="62"/>
      <c r="E96" s="63"/>
      <c r="F96" s="92"/>
      <c r="G96" s="86" t="str">
        <f>HYPERLINK("https://pbs.twimg.com/profile_images/1583030578785488897/2jdHclLv_normal.jpg")</f>
        <v>https://pbs.twimg.com/profile_images/1583030578785488897/2jdHclLv_normal.jpg</v>
      </c>
      <c r="H96" s="93"/>
      <c r="I96" s="66"/>
      <c r="J96" s="67"/>
      <c r="K96" s="94"/>
      <c r="L96" s="66" t="s">
        <v>1917</v>
      </c>
      <c r="M96" s="95"/>
      <c r="N96" s="71">
        <v>6450.69091796875</v>
      </c>
      <c r="O96" s="71">
        <v>7050.3388671875</v>
      </c>
      <c r="P96" s="72"/>
      <c r="Q96" s="73"/>
      <c r="R96" s="73"/>
      <c r="S96" s="96"/>
      <c r="T96" s="45">
        <v>0</v>
      </c>
      <c r="U96" s="45">
        <v>3</v>
      </c>
      <c r="V96" s="46">
        <v>614</v>
      </c>
      <c r="W96" s="46">
        <v>0.420054</v>
      </c>
      <c r="X96" s="46">
        <v>0.06713</v>
      </c>
      <c r="Y96" s="46">
        <v>0.007301</v>
      </c>
      <c r="Z96" s="46">
        <v>0</v>
      </c>
      <c r="AA96" s="46">
        <v>0</v>
      </c>
      <c r="AB96" s="68">
        <v>96</v>
      </c>
      <c r="AC96" s="68"/>
      <c r="AD96" s="69"/>
      <c r="AE96" s="76" t="s">
        <v>1327</v>
      </c>
      <c r="AF96" s="80" t="s">
        <v>1449</v>
      </c>
      <c r="AG96" s="76">
        <v>716</v>
      </c>
      <c r="AH96" s="76">
        <v>901</v>
      </c>
      <c r="AI96" s="76">
        <v>8934</v>
      </c>
      <c r="AJ96" s="76">
        <v>41</v>
      </c>
      <c r="AK96" s="76">
        <v>2100</v>
      </c>
      <c r="AL96" s="76">
        <v>1501</v>
      </c>
      <c r="AM96" s="76" t="b">
        <v>0</v>
      </c>
      <c r="AN96" s="78">
        <v>41081.45410879629</v>
      </c>
      <c r="AO96" s="76"/>
      <c r="AP96" s="76" t="s">
        <v>1644</v>
      </c>
      <c r="AQ96" s="81" t="str">
        <f>HYPERLINK("https://t.co/6NLwDaDQAu")</f>
        <v>https://t.co/6NLwDaDQAu</v>
      </c>
      <c r="AR96" s="81" t="str">
        <f>HYPERLINK("http://www.1stchoicerec.com")</f>
        <v>http://www.1stchoicerec.com</v>
      </c>
      <c r="AS96" s="76" t="s">
        <v>1760</v>
      </c>
      <c r="AT96" s="76"/>
      <c r="AU96" s="76"/>
      <c r="AV96" s="76"/>
      <c r="AW96" s="76"/>
      <c r="AX96" s="81" t="str">
        <f>HYPERLINK("https://t.co/6NLwDaDQAu")</f>
        <v>https://t.co/6NLwDaDQAu</v>
      </c>
      <c r="AY96" s="76" t="b">
        <v>0</v>
      </c>
      <c r="AZ96" s="76"/>
      <c r="BA96" s="76"/>
      <c r="BB96" s="76" t="b">
        <v>0</v>
      </c>
      <c r="BC96" s="76" t="b">
        <v>1</v>
      </c>
      <c r="BD96" s="76" t="b">
        <v>0</v>
      </c>
      <c r="BE96" s="76" t="b">
        <v>0</v>
      </c>
      <c r="BF96" s="76" t="b">
        <v>0</v>
      </c>
      <c r="BG96" s="76" t="b">
        <v>0</v>
      </c>
      <c r="BH96" s="76" t="b">
        <v>0</v>
      </c>
      <c r="BI96" s="81" t="str">
        <f>HYPERLINK("https://pbs.twimg.com/profile_banners/614218528/1677574073")</f>
        <v>https://pbs.twimg.com/profile_banners/614218528/1677574073</v>
      </c>
      <c r="BJ96" s="76"/>
      <c r="BK96" s="76" t="s">
        <v>330</v>
      </c>
      <c r="BL96" s="76" t="b">
        <v>0</v>
      </c>
      <c r="BM96" s="76"/>
      <c r="BN96" s="76" t="s">
        <v>66</v>
      </c>
      <c r="BO96" s="76" t="s">
        <v>332</v>
      </c>
      <c r="BP96" s="97" t="str">
        <f>HYPERLINK("https://twitter.com/1stchoicerec")</f>
        <v>https://twitter.com/1stchoicerec</v>
      </c>
      <c r="BQ96" s="45"/>
      <c r="BR96" s="45"/>
      <c r="BS96" s="45"/>
      <c r="BT96" s="45"/>
      <c r="BU96" s="45" t="s">
        <v>843</v>
      </c>
      <c r="BV96" s="45" t="s">
        <v>843</v>
      </c>
      <c r="BW96" s="90" t="s">
        <v>2204</v>
      </c>
      <c r="BX96" s="90" t="s">
        <v>2204</v>
      </c>
      <c r="BY96" s="90" t="s">
        <v>2275</v>
      </c>
      <c r="BZ96" s="90" t="s">
        <v>2275</v>
      </c>
      <c r="CA96" s="75" t="str">
        <f>REPLACE(INDEX(GroupVertices[Group],MATCH("~"&amp;Vertices[[#This Row],[Vertex]],GroupVertices[Vertex],0)),1,1,"")</f>
        <v>8</v>
      </c>
      <c r="CB96" s="2"/>
    </row>
    <row r="97" spans="1:80" ht="34.05" customHeight="1">
      <c r="A97" s="61" t="s">
        <v>696</v>
      </c>
      <c r="C97" s="62"/>
      <c r="D97" s="62"/>
      <c r="E97" s="63"/>
      <c r="F97" s="92"/>
      <c r="G97" s="86" t="str">
        <f>HYPERLINK("https://pbs.twimg.com/profile_images/858955865004679169/-r_P46yw_normal.jpg")</f>
        <v>https://pbs.twimg.com/profile_images/858955865004679169/-r_P46yw_normal.jpg</v>
      </c>
      <c r="H97" s="93"/>
      <c r="I97" s="66"/>
      <c r="J97" s="67"/>
      <c r="K97" s="94"/>
      <c r="L97" s="66" t="s">
        <v>1918</v>
      </c>
      <c r="M97" s="95"/>
      <c r="N97" s="71">
        <v>5353.59375</v>
      </c>
      <c r="O97" s="71">
        <v>9804.140625</v>
      </c>
      <c r="P97" s="72"/>
      <c r="Q97" s="73"/>
      <c r="R97" s="73"/>
      <c r="S97" s="96"/>
      <c r="T97" s="45">
        <v>1</v>
      </c>
      <c r="U97" s="45">
        <v>0</v>
      </c>
      <c r="V97" s="46">
        <v>0</v>
      </c>
      <c r="W97" s="46">
        <v>0.296367</v>
      </c>
      <c r="X97" s="46">
        <v>0.006433</v>
      </c>
      <c r="Y97" s="46">
        <v>0.005814</v>
      </c>
      <c r="Z97" s="46">
        <v>0</v>
      </c>
      <c r="AA97" s="46">
        <v>0</v>
      </c>
      <c r="AB97" s="68">
        <v>97</v>
      </c>
      <c r="AC97" s="68"/>
      <c r="AD97" s="69"/>
      <c r="AE97" s="76" t="s">
        <v>1328</v>
      </c>
      <c r="AF97" s="80" t="s">
        <v>1450</v>
      </c>
      <c r="AG97" s="76">
        <v>191</v>
      </c>
      <c r="AH97" s="76">
        <v>208</v>
      </c>
      <c r="AI97" s="76">
        <v>703</v>
      </c>
      <c r="AJ97" s="76">
        <v>3</v>
      </c>
      <c r="AK97" s="76">
        <v>515</v>
      </c>
      <c r="AL97" s="76">
        <v>449</v>
      </c>
      <c r="AM97" s="76" t="b">
        <v>0</v>
      </c>
      <c r="AN97" s="78">
        <v>42855.913356481484</v>
      </c>
      <c r="AO97" s="76" t="s">
        <v>297</v>
      </c>
      <c r="AP97" s="76" t="s">
        <v>1645</v>
      </c>
      <c r="AQ97" s="81" t="str">
        <f>HYPERLINK("https://t.co/jFs9t6bLjP")</f>
        <v>https://t.co/jFs9t6bLjP</v>
      </c>
      <c r="AR97" s="81" t="str">
        <f>HYPERLINK("http://www.financialrelease.uk")</f>
        <v>http://www.financialrelease.uk</v>
      </c>
      <c r="AS97" s="76" t="s">
        <v>1761</v>
      </c>
      <c r="AT97" s="76"/>
      <c r="AU97" s="76"/>
      <c r="AV97" s="76"/>
      <c r="AW97" s="76"/>
      <c r="AX97" s="81" t="str">
        <f>HYPERLINK("https://t.co/jFs9t6bLjP")</f>
        <v>https://t.co/jFs9t6bLjP</v>
      </c>
      <c r="AY97" s="76" t="b">
        <v>0</v>
      </c>
      <c r="AZ97" s="76"/>
      <c r="BA97" s="76"/>
      <c r="BB97" s="76" t="b">
        <v>0</v>
      </c>
      <c r="BC97" s="76" t="b">
        <v>1</v>
      </c>
      <c r="BD97" s="76" t="b">
        <v>1</v>
      </c>
      <c r="BE97" s="76" t="b">
        <v>0</v>
      </c>
      <c r="BF97" s="76" t="b">
        <v>0</v>
      </c>
      <c r="BG97" s="76" t="b">
        <v>0</v>
      </c>
      <c r="BH97" s="76" t="b">
        <v>0</v>
      </c>
      <c r="BI97" s="81" t="str">
        <f>HYPERLINK("https://pbs.twimg.com/profile_banners/858801946853027841/1501779522")</f>
        <v>https://pbs.twimg.com/profile_banners/858801946853027841/1501779522</v>
      </c>
      <c r="BJ97" s="76"/>
      <c r="BK97" s="76" t="s">
        <v>330</v>
      </c>
      <c r="BL97" s="76" t="b">
        <v>0</v>
      </c>
      <c r="BM97" s="76"/>
      <c r="BN97" s="76" t="s">
        <v>65</v>
      </c>
      <c r="BO97" s="76" t="s">
        <v>332</v>
      </c>
      <c r="BP97" s="97" t="str">
        <f>HYPERLINK("https://twitter.com/finreluk")</f>
        <v>https://twitter.com/finreluk</v>
      </c>
      <c r="BQ97" s="45"/>
      <c r="BR97" s="45"/>
      <c r="BS97" s="45"/>
      <c r="BT97" s="45"/>
      <c r="BU97" s="45"/>
      <c r="BV97" s="45"/>
      <c r="BW97" s="45"/>
      <c r="BX97" s="45"/>
      <c r="BY97" s="45"/>
      <c r="BZ97" s="45"/>
      <c r="CA97" s="75" t="str">
        <f>REPLACE(INDEX(GroupVertices[Group],MATCH("~"&amp;Vertices[[#This Row],[Vertex]],GroupVertices[Vertex],0)),1,1,"")</f>
        <v>8</v>
      </c>
      <c r="CB97" s="2"/>
    </row>
    <row r="98" spans="1:80" ht="34.05" customHeight="1">
      <c r="A98" s="61" t="s">
        <v>697</v>
      </c>
      <c r="C98" s="62"/>
      <c r="D98" s="62"/>
      <c r="E98" s="63"/>
      <c r="F98" s="92"/>
      <c r="G98" s="86" t="str">
        <f>HYPERLINK("https://pbs.twimg.com/profile_images/1151233782470647809/-3gOmGcI_normal.jpg")</f>
        <v>https://pbs.twimg.com/profile_images/1151233782470647809/-3gOmGcI_normal.jpg</v>
      </c>
      <c r="H98" s="93"/>
      <c r="I98" s="66"/>
      <c r="J98" s="67"/>
      <c r="K98" s="94"/>
      <c r="L98" s="66" t="s">
        <v>1919</v>
      </c>
      <c r="M98" s="95"/>
      <c r="N98" s="71">
        <v>8832.34375</v>
      </c>
      <c r="O98" s="71">
        <v>8365.6240234375</v>
      </c>
      <c r="P98" s="72"/>
      <c r="Q98" s="73"/>
      <c r="R98" s="73"/>
      <c r="S98" s="96"/>
      <c r="T98" s="45">
        <v>1</v>
      </c>
      <c r="U98" s="45">
        <v>0</v>
      </c>
      <c r="V98" s="46">
        <v>0</v>
      </c>
      <c r="W98" s="46">
        <v>0.296367</v>
      </c>
      <c r="X98" s="46">
        <v>0.006433</v>
      </c>
      <c r="Y98" s="46">
        <v>0.005814</v>
      </c>
      <c r="Z98" s="46">
        <v>0</v>
      </c>
      <c r="AA98" s="46">
        <v>0</v>
      </c>
      <c r="AB98" s="68">
        <v>98</v>
      </c>
      <c r="AC98" s="68"/>
      <c r="AD98" s="69"/>
      <c r="AE98" s="76" t="s">
        <v>1329</v>
      </c>
      <c r="AF98" s="80" t="s">
        <v>1451</v>
      </c>
      <c r="AG98" s="76">
        <v>8959</v>
      </c>
      <c r="AH98" s="76">
        <v>483</v>
      </c>
      <c r="AI98" s="76">
        <v>6336</v>
      </c>
      <c r="AJ98" s="76">
        <v>245</v>
      </c>
      <c r="AK98" s="76">
        <v>10348</v>
      </c>
      <c r="AL98" s="76">
        <v>3824</v>
      </c>
      <c r="AM98" s="76" t="b">
        <v>0</v>
      </c>
      <c r="AN98" s="78">
        <v>41397.72063657407</v>
      </c>
      <c r="AO98" s="76" t="s">
        <v>320</v>
      </c>
      <c r="AP98" s="76" t="s">
        <v>1646</v>
      </c>
      <c r="AQ98" s="81" t="str">
        <f>HYPERLINK("https://t.co/qSZJ6nT4o0")</f>
        <v>https://t.co/qSZJ6nT4o0</v>
      </c>
      <c r="AR98" s="81" t="str">
        <f>HYPERLINK("http://uk.linkedin.com/in/tonyhoran/")</f>
        <v>http://uk.linkedin.com/in/tonyhoran/</v>
      </c>
      <c r="AS98" s="76" t="s">
        <v>1762</v>
      </c>
      <c r="AT98" s="76"/>
      <c r="AU98" s="76"/>
      <c r="AV98" s="76"/>
      <c r="AW98" s="76"/>
      <c r="AX98" s="81" t="str">
        <f>HYPERLINK("https://t.co/qSZJ6nT4o0")</f>
        <v>https://t.co/qSZJ6nT4o0</v>
      </c>
      <c r="AY98" s="76" t="b">
        <v>0</v>
      </c>
      <c r="AZ98" s="76"/>
      <c r="BA98" s="76"/>
      <c r="BB98" s="76" t="b">
        <v>1</v>
      </c>
      <c r="BC98" s="76" t="b">
        <v>1</v>
      </c>
      <c r="BD98" s="76" t="b">
        <v>0</v>
      </c>
      <c r="BE98" s="76" t="b">
        <v>0</v>
      </c>
      <c r="BF98" s="76" t="b">
        <v>0</v>
      </c>
      <c r="BG98" s="76" t="b">
        <v>0</v>
      </c>
      <c r="BH98" s="76" t="b">
        <v>0</v>
      </c>
      <c r="BI98" s="81" t="str">
        <f>HYPERLINK("https://pbs.twimg.com/profile_banners/1400258503/1512093453")</f>
        <v>https://pbs.twimg.com/profile_banners/1400258503/1512093453</v>
      </c>
      <c r="BJ98" s="76"/>
      <c r="BK98" s="76" t="s">
        <v>330</v>
      </c>
      <c r="BL98" s="76" t="b">
        <v>0</v>
      </c>
      <c r="BM98" s="76"/>
      <c r="BN98" s="76" t="s">
        <v>65</v>
      </c>
      <c r="BO98" s="76" t="s">
        <v>332</v>
      </c>
      <c r="BP98" s="97" t="str">
        <f>HYPERLINK("https://twitter.com/t0nyh0ran")</f>
        <v>https://twitter.com/t0nyh0ran</v>
      </c>
      <c r="BQ98" s="45"/>
      <c r="BR98" s="45"/>
      <c r="BS98" s="45"/>
      <c r="BT98" s="45"/>
      <c r="BU98" s="45"/>
      <c r="BV98" s="45"/>
      <c r="BW98" s="45"/>
      <c r="BX98" s="45"/>
      <c r="BY98" s="45"/>
      <c r="BZ98" s="45"/>
      <c r="CA98" s="75" t="str">
        <f>REPLACE(INDEX(GroupVertices[Group],MATCH("~"&amp;Vertices[[#This Row],[Vertex]],GroupVertices[Vertex],0)),1,1,"")</f>
        <v>8</v>
      </c>
      <c r="CB98" s="2"/>
    </row>
    <row r="99" spans="1:80" ht="34.05" customHeight="1">
      <c r="A99" s="61" t="s">
        <v>622</v>
      </c>
      <c r="C99" s="62"/>
      <c r="D99" s="62"/>
      <c r="E99" s="63"/>
      <c r="F99" s="92"/>
      <c r="G99" s="86" t="str">
        <f>HYPERLINK("https://pbs.twimg.com/profile_images/859122178880679936/Pjt1p7l7_normal.jpg")</f>
        <v>https://pbs.twimg.com/profile_images/859122178880679936/Pjt1p7l7_normal.jpg</v>
      </c>
      <c r="H99" s="93"/>
      <c r="I99" s="66"/>
      <c r="J99" s="67"/>
      <c r="K99" s="94"/>
      <c r="L99" s="66" t="s">
        <v>1920</v>
      </c>
      <c r="M99" s="95"/>
      <c r="N99" s="71">
        <v>6910.63037109375</v>
      </c>
      <c r="O99" s="71">
        <v>6205.783203125</v>
      </c>
      <c r="P99" s="72"/>
      <c r="Q99" s="73"/>
      <c r="R99" s="73"/>
      <c r="S99" s="96"/>
      <c r="T99" s="45">
        <v>0</v>
      </c>
      <c r="U99" s="45">
        <v>1</v>
      </c>
      <c r="V99" s="46">
        <v>0</v>
      </c>
      <c r="W99" s="46">
        <v>0.41555</v>
      </c>
      <c r="X99" s="46">
        <v>0.065898</v>
      </c>
      <c r="Y99" s="46">
        <v>0.005556</v>
      </c>
      <c r="Z99" s="46">
        <v>0</v>
      </c>
      <c r="AA99" s="46">
        <v>0</v>
      </c>
      <c r="AB99" s="68">
        <v>99</v>
      </c>
      <c r="AC99" s="68"/>
      <c r="AD99" s="69"/>
      <c r="AE99" s="76" t="s">
        <v>1330</v>
      </c>
      <c r="AF99" s="80" t="s">
        <v>1234</v>
      </c>
      <c r="AG99" s="76">
        <v>94</v>
      </c>
      <c r="AH99" s="76">
        <v>377</v>
      </c>
      <c r="AI99" s="76">
        <v>253</v>
      </c>
      <c r="AJ99" s="76">
        <v>1</v>
      </c>
      <c r="AK99" s="76">
        <v>2322</v>
      </c>
      <c r="AL99" s="76">
        <v>12</v>
      </c>
      <c r="AM99" s="76" t="b">
        <v>0</v>
      </c>
      <c r="AN99" s="78">
        <v>42852.580196759256</v>
      </c>
      <c r="AO99" s="76"/>
      <c r="AP99" s="76" t="s">
        <v>1647</v>
      </c>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76"/>
      <c r="BJ99" s="76"/>
      <c r="BK99" s="76" t="s">
        <v>330</v>
      </c>
      <c r="BL99" s="76" t="b">
        <v>0</v>
      </c>
      <c r="BM99" s="76"/>
      <c r="BN99" s="76" t="s">
        <v>66</v>
      </c>
      <c r="BO99" s="76" t="s">
        <v>332</v>
      </c>
      <c r="BP99" s="97" t="str">
        <f>HYPERLINK("https://twitter.com/laura_logic")</f>
        <v>https://twitter.com/laura_logic</v>
      </c>
      <c r="BQ99" s="45"/>
      <c r="BR99" s="45"/>
      <c r="BS99" s="45"/>
      <c r="BT99" s="45"/>
      <c r="BU99" s="45"/>
      <c r="BV99" s="45"/>
      <c r="BW99" s="90" t="s">
        <v>2205</v>
      </c>
      <c r="BX99" s="90" t="s">
        <v>2205</v>
      </c>
      <c r="BY99" s="90" t="s">
        <v>2276</v>
      </c>
      <c r="BZ99" s="90" t="s">
        <v>2276</v>
      </c>
      <c r="CA99" s="75" t="str">
        <f>REPLACE(INDEX(GroupVertices[Group],MATCH("~"&amp;Vertices[[#This Row],[Vertex]],GroupVertices[Vertex],0)),1,1,"")</f>
        <v>1</v>
      </c>
      <c r="CB99" s="2"/>
    </row>
    <row r="100" spans="1:80" ht="34.05" customHeight="1">
      <c r="A100" s="61" t="s">
        <v>623</v>
      </c>
      <c r="C100" s="62"/>
      <c r="D100" s="62"/>
      <c r="E100" s="63"/>
      <c r="F100" s="92"/>
      <c r="G100" s="86" t="str">
        <f>HYPERLINK("https://pbs.twimg.com/profile_images/1720078767241175040/9oePXJmw_normal.jpg")</f>
        <v>https://pbs.twimg.com/profile_images/1720078767241175040/9oePXJmw_normal.jpg</v>
      </c>
      <c r="H100" s="93"/>
      <c r="I100" s="66"/>
      <c r="J100" s="67"/>
      <c r="K100" s="94"/>
      <c r="L100" s="66" t="s">
        <v>1921</v>
      </c>
      <c r="M100" s="95"/>
      <c r="N100" s="71">
        <v>6575.15576171875</v>
      </c>
      <c r="O100" s="71">
        <v>5671.3515625</v>
      </c>
      <c r="P100" s="72"/>
      <c r="Q100" s="73"/>
      <c r="R100" s="73"/>
      <c r="S100" s="96"/>
      <c r="T100" s="45">
        <v>0</v>
      </c>
      <c r="U100" s="45">
        <v>1</v>
      </c>
      <c r="V100" s="46">
        <v>0</v>
      </c>
      <c r="W100" s="46">
        <v>0.41555</v>
      </c>
      <c r="X100" s="46">
        <v>0.065898</v>
      </c>
      <c r="Y100" s="46">
        <v>0.005556</v>
      </c>
      <c r="Z100" s="46">
        <v>0</v>
      </c>
      <c r="AA100" s="46">
        <v>0</v>
      </c>
      <c r="AB100" s="68">
        <v>100</v>
      </c>
      <c r="AC100" s="68"/>
      <c r="AD100" s="69"/>
      <c r="AE100" s="76" t="s">
        <v>1331</v>
      </c>
      <c r="AF100" s="80" t="s">
        <v>1452</v>
      </c>
      <c r="AG100" s="76">
        <v>174</v>
      </c>
      <c r="AH100" s="76">
        <v>1362</v>
      </c>
      <c r="AI100" s="76">
        <v>1365</v>
      </c>
      <c r="AJ100" s="76">
        <v>0</v>
      </c>
      <c r="AK100" s="76">
        <v>505</v>
      </c>
      <c r="AL100" s="76">
        <v>29</v>
      </c>
      <c r="AM100" s="76" t="b">
        <v>0</v>
      </c>
      <c r="AN100" s="78">
        <v>41570.61445601852</v>
      </c>
      <c r="AO100" s="76" t="s">
        <v>424</v>
      </c>
      <c r="AP100" s="81" t="str">
        <f>HYPERLINK("https://t.co/Ayiy4MExqP")</f>
        <v>https://t.co/Ayiy4MExqP</v>
      </c>
      <c r="AQ100" s="81" t="str">
        <f>HYPERLINK("https://t.co/XnubdhoSxF")</f>
        <v>https://t.co/XnubdhoSxF</v>
      </c>
      <c r="AR100" s="81" t="str">
        <f>HYPERLINK("http://atozemotions.com")</f>
        <v>http://atozemotions.com</v>
      </c>
      <c r="AS100" s="76" t="s">
        <v>1763</v>
      </c>
      <c r="AT100" s="81" t="str">
        <f>HYPERLINK("https://t.co/Ayiy4MExqP")</f>
        <v>https://t.co/Ayiy4MExqP</v>
      </c>
      <c r="AU100" s="81" t="str">
        <f>HYPERLINK("https://youtube.com/channel/UCFMnOeN7cmvfoOBJJLGULqA")</f>
        <v>https://youtube.com/channel/UCFMnOeN7cmvfoOBJJLGULqA</v>
      </c>
      <c r="AV100" s="76" t="s">
        <v>1821</v>
      </c>
      <c r="AW100" s="76"/>
      <c r="AX100" s="81" t="str">
        <f>HYPERLINK("https://t.co/XnubdhoSxF")</f>
        <v>https://t.co/XnubdhoSxF</v>
      </c>
      <c r="AY100" s="76" t="b">
        <v>0</v>
      </c>
      <c r="AZ100" s="76" t="b">
        <v>1</v>
      </c>
      <c r="BA100" s="76" t="b">
        <v>1</v>
      </c>
      <c r="BB100" s="76" t="b">
        <v>1</v>
      </c>
      <c r="BC100" s="76" t="b">
        <v>1</v>
      </c>
      <c r="BD100" s="76" t="b">
        <v>0</v>
      </c>
      <c r="BE100" s="76" t="b">
        <v>0</v>
      </c>
      <c r="BF100" s="76" t="b">
        <v>0</v>
      </c>
      <c r="BG100" s="76" t="b">
        <v>0</v>
      </c>
      <c r="BH100" s="76" t="b">
        <v>0</v>
      </c>
      <c r="BI100" s="76"/>
      <c r="BJ100" s="76"/>
      <c r="BK100" s="76" t="s">
        <v>330</v>
      </c>
      <c r="BL100" s="76" t="b">
        <v>1</v>
      </c>
      <c r="BM100" s="76"/>
      <c r="BN100" s="76" t="s">
        <v>66</v>
      </c>
      <c r="BO100" s="76" t="s">
        <v>332</v>
      </c>
      <c r="BP100" s="97" t="str">
        <f>HYPERLINK("https://twitter.com/azahar_shaik")</f>
        <v>https://twitter.com/azahar_shaik</v>
      </c>
      <c r="BQ100" s="45"/>
      <c r="BR100" s="45"/>
      <c r="BS100" s="45"/>
      <c r="BT100" s="45"/>
      <c r="BU100" s="45" t="s">
        <v>844</v>
      </c>
      <c r="BV100" s="45" t="s">
        <v>844</v>
      </c>
      <c r="BW100" s="90" t="s">
        <v>2206</v>
      </c>
      <c r="BX100" s="90" t="s">
        <v>2206</v>
      </c>
      <c r="BY100" s="90" t="s">
        <v>2277</v>
      </c>
      <c r="BZ100" s="90" t="s">
        <v>2277</v>
      </c>
      <c r="CA100" s="75" t="str">
        <f>REPLACE(INDEX(GroupVertices[Group],MATCH("~"&amp;Vertices[[#This Row],[Vertex]],GroupVertices[Vertex],0)),1,1,"")</f>
        <v>1</v>
      </c>
      <c r="CB100" s="2"/>
    </row>
    <row r="101" spans="1:80" ht="34.05" customHeight="1">
      <c r="A101" s="61" t="s">
        <v>624</v>
      </c>
      <c r="C101" s="62"/>
      <c r="D101" s="62"/>
      <c r="E101" s="63"/>
      <c r="F101" s="92"/>
      <c r="G101" s="86" t="str">
        <f>HYPERLINK("https://pbs.twimg.com/profile_images/1039867729090633728/_kLkBl4l_normal.jpg")</f>
        <v>https://pbs.twimg.com/profile_images/1039867729090633728/_kLkBl4l_normal.jpg</v>
      </c>
      <c r="H101" s="93"/>
      <c r="I101" s="66"/>
      <c r="J101" s="67"/>
      <c r="K101" s="94"/>
      <c r="L101" s="66" t="s">
        <v>1922</v>
      </c>
      <c r="M101" s="95"/>
      <c r="N101" s="71">
        <v>3732.794189453125</v>
      </c>
      <c r="O101" s="71">
        <v>3487.626708984375</v>
      </c>
      <c r="P101" s="72"/>
      <c r="Q101" s="73"/>
      <c r="R101" s="73"/>
      <c r="S101" s="96"/>
      <c r="T101" s="45">
        <v>0</v>
      </c>
      <c r="U101" s="45">
        <v>1</v>
      </c>
      <c r="V101" s="46">
        <v>0</v>
      </c>
      <c r="W101" s="46">
        <v>0.41555</v>
      </c>
      <c r="X101" s="46">
        <v>0.065898</v>
      </c>
      <c r="Y101" s="46">
        <v>0.005556</v>
      </c>
      <c r="Z101" s="46">
        <v>0</v>
      </c>
      <c r="AA101" s="46">
        <v>0</v>
      </c>
      <c r="AB101" s="68">
        <v>101</v>
      </c>
      <c r="AC101" s="68"/>
      <c r="AD101" s="69"/>
      <c r="AE101" s="76" t="s">
        <v>1332</v>
      </c>
      <c r="AF101" s="80" t="s">
        <v>1453</v>
      </c>
      <c r="AG101" s="76">
        <v>93618</v>
      </c>
      <c r="AH101" s="76">
        <v>27257</v>
      </c>
      <c r="AI101" s="76">
        <v>151177</v>
      </c>
      <c r="AJ101" s="76">
        <v>1636</v>
      </c>
      <c r="AK101" s="76">
        <v>28346</v>
      </c>
      <c r="AL101" s="76">
        <v>3096</v>
      </c>
      <c r="AM101" s="76" t="b">
        <v>0</v>
      </c>
      <c r="AN101" s="78">
        <v>39969.40865740741</v>
      </c>
      <c r="AO101" s="76" t="s">
        <v>313</v>
      </c>
      <c r="AP101" s="76" t="s">
        <v>1648</v>
      </c>
      <c r="AQ101" s="81" t="str">
        <f>HYPERLINK("https://t.co/t2eTVBM29m")</f>
        <v>https://t.co/t2eTVBM29m</v>
      </c>
      <c r="AR101" s="81" t="str">
        <f>HYPERLINK("http://www.PeoplePerHour.com")</f>
        <v>http://www.PeoplePerHour.com</v>
      </c>
      <c r="AS101" s="76" t="s">
        <v>1764</v>
      </c>
      <c r="AT101" s="76"/>
      <c r="AU101" s="76"/>
      <c r="AV101" s="76"/>
      <c r="AW101" s="76"/>
      <c r="AX101" s="81" t="str">
        <f>HYPERLINK("https://t.co/t2eTVBM29m")</f>
        <v>https://t.co/t2eTVBM29m</v>
      </c>
      <c r="AY101" s="76" t="b">
        <v>0</v>
      </c>
      <c r="AZ101" s="76"/>
      <c r="BA101" s="76"/>
      <c r="BB101" s="76" t="b">
        <v>1</v>
      </c>
      <c r="BC101" s="76" t="b">
        <v>1</v>
      </c>
      <c r="BD101" s="76" t="b">
        <v>0</v>
      </c>
      <c r="BE101" s="76" t="b">
        <v>0</v>
      </c>
      <c r="BF101" s="76" t="b">
        <v>1</v>
      </c>
      <c r="BG101" s="76" t="b">
        <v>0</v>
      </c>
      <c r="BH101" s="76" t="b">
        <v>0</v>
      </c>
      <c r="BI101" s="81" t="str">
        <f>HYPERLINK("https://pbs.twimg.com/profile_banners/44859671/1649072828")</f>
        <v>https://pbs.twimg.com/profile_banners/44859671/1649072828</v>
      </c>
      <c r="BJ101" s="76"/>
      <c r="BK101" s="76" t="s">
        <v>330</v>
      </c>
      <c r="BL101" s="76" t="b">
        <v>0</v>
      </c>
      <c r="BM101" s="76"/>
      <c r="BN101" s="76" t="s">
        <v>66</v>
      </c>
      <c r="BO101" s="76" t="s">
        <v>332</v>
      </c>
      <c r="BP101" s="97" t="str">
        <f>HYPERLINK("https://twitter.com/peopleperhour")</f>
        <v>https://twitter.com/peopleperhour</v>
      </c>
      <c r="BQ101" s="45" t="s">
        <v>2131</v>
      </c>
      <c r="BR101" s="45" t="s">
        <v>2131</v>
      </c>
      <c r="BS101" s="45" t="s">
        <v>400</v>
      </c>
      <c r="BT101" s="45" t="s">
        <v>400</v>
      </c>
      <c r="BU101" s="45"/>
      <c r="BV101" s="45"/>
      <c r="BW101" s="90" t="s">
        <v>2207</v>
      </c>
      <c r="BX101" s="90" t="s">
        <v>2207</v>
      </c>
      <c r="BY101" s="90" t="s">
        <v>2278</v>
      </c>
      <c r="BZ101" s="90" t="s">
        <v>2278</v>
      </c>
      <c r="CA101" s="75" t="str">
        <f>REPLACE(INDEX(GroupVertices[Group],MATCH("~"&amp;Vertices[[#This Row],[Vertex]],GroupVertices[Vertex],0)),1,1,"")</f>
        <v>1</v>
      </c>
      <c r="CB101" s="2"/>
    </row>
    <row r="102" spans="1:80" ht="34.05" customHeight="1">
      <c r="A102" s="61" t="s">
        <v>625</v>
      </c>
      <c r="C102" s="62"/>
      <c r="D102" s="62"/>
      <c r="E102" s="63"/>
      <c r="F102" s="92"/>
      <c r="G102" s="86" t="str">
        <f>HYPERLINK("https://pbs.twimg.com/profile_images/1432721216239022084/Hjg-QIdM_normal.jpg")</f>
        <v>https://pbs.twimg.com/profile_images/1432721216239022084/Hjg-QIdM_normal.jpg</v>
      </c>
      <c r="H102" s="93"/>
      <c r="I102" s="66"/>
      <c r="J102" s="67"/>
      <c r="K102" s="94"/>
      <c r="L102" s="66" t="s">
        <v>1923</v>
      </c>
      <c r="M102" s="95"/>
      <c r="N102" s="71">
        <v>5985.271484375</v>
      </c>
      <c r="O102" s="71">
        <v>6919.67626953125</v>
      </c>
      <c r="P102" s="72"/>
      <c r="Q102" s="73"/>
      <c r="R102" s="73"/>
      <c r="S102" s="96"/>
      <c r="T102" s="45">
        <v>0</v>
      </c>
      <c r="U102" s="45">
        <v>1</v>
      </c>
      <c r="V102" s="46">
        <v>0</v>
      </c>
      <c r="W102" s="46">
        <v>0.41555</v>
      </c>
      <c r="X102" s="46">
        <v>0.065898</v>
      </c>
      <c r="Y102" s="46">
        <v>0.005556</v>
      </c>
      <c r="Z102" s="46">
        <v>0</v>
      </c>
      <c r="AA102" s="46">
        <v>0</v>
      </c>
      <c r="AB102" s="68">
        <v>102</v>
      </c>
      <c r="AC102" s="68"/>
      <c r="AD102" s="69"/>
      <c r="AE102" s="76" t="s">
        <v>1333</v>
      </c>
      <c r="AF102" s="80" t="s">
        <v>1454</v>
      </c>
      <c r="AG102" s="76">
        <v>410</v>
      </c>
      <c r="AH102" s="76">
        <v>722</v>
      </c>
      <c r="AI102" s="76">
        <v>6145</v>
      </c>
      <c r="AJ102" s="76">
        <v>450</v>
      </c>
      <c r="AK102" s="76">
        <v>6588</v>
      </c>
      <c r="AL102" s="76">
        <v>838</v>
      </c>
      <c r="AM102" s="76" t="b">
        <v>0</v>
      </c>
      <c r="AN102" s="78">
        <v>42219.901354166665</v>
      </c>
      <c r="AO102" s="76" t="s">
        <v>312</v>
      </c>
      <c r="AP102" s="76" t="s">
        <v>1649</v>
      </c>
      <c r="AQ102" s="81" t="str">
        <f>HYPERLINK("https://t.co/gPYPP1wSKT")</f>
        <v>https://t.co/gPYPP1wSKT</v>
      </c>
      <c r="AR102" s="81" t="str">
        <f>HYPERLINK("https://www.stefka.com/")</f>
        <v>https://www.stefka.com/</v>
      </c>
      <c r="AS102" s="76" t="s">
        <v>1765</v>
      </c>
      <c r="AT102" s="76"/>
      <c r="AU102" s="76"/>
      <c r="AV102" s="76"/>
      <c r="AW102" s="76"/>
      <c r="AX102" s="81" t="str">
        <f>HYPERLINK("https://t.co/gPYPP1wSKT")</f>
        <v>https://t.co/gPYPP1wSKT</v>
      </c>
      <c r="AY102" s="76" t="b">
        <v>0</v>
      </c>
      <c r="AZ102" s="76" t="b">
        <v>1</v>
      </c>
      <c r="BA102" s="76"/>
      <c r="BB102" s="76" t="b">
        <v>1</v>
      </c>
      <c r="BC102" s="76" t="b">
        <v>1</v>
      </c>
      <c r="BD102" s="76" t="b">
        <v>0</v>
      </c>
      <c r="BE102" s="76" t="b">
        <v>0</v>
      </c>
      <c r="BF102" s="76" t="b">
        <v>0</v>
      </c>
      <c r="BG102" s="76" t="b">
        <v>0</v>
      </c>
      <c r="BH102" s="76" t="b">
        <v>0</v>
      </c>
      <c r="BI102" s="81" t="str">
        <f>HYPERLINK("https://pbs.twimg.com/profile_banners/3401908216/1630422354")</f>
        <v>https://pbs.twimg.com/profile_banners/3401908216/1630422354</v>
      </c>
      <c r="BJ102" s="76"/>
      <c r="BK102" s="76" t="s">
        <v>330</v>
      </c>
      <c r="BL102" s="76" t="b">
        <v>0</v>
      </c>
      <c r="BM102" s="76"/>
      <c r="BN102" s="76" t="s">
        <v>66</v>
      </c>
      <c r="BO102" s="76" t="s">
        <v>332</v>
      </c>
      <c r="BP102" s="97" t="str">
        <f>HYPERLINK("https://twitter.com/iistefka")</f>
        <v>https://twitter.com/iistefka</v>
      </c>
      <c r="BQ102" s="45" t="s">
        <v>2132</v>
      </c>
      <c r="BR102" s="45" t="s">
        <v>2132</v>
      </c>
      <c r="BS102" s="45" t="s">
        <v>882</v>
      </c>
      <c r="BT102" s="45" t="s">
        <v>882</v>
      </c>
      <c r="BU102" s="45"/>
      <c r="BV102" s="45"/>
      <c r="BW102" s="90" t="s">
        <v>2208</v>
      </c>
      <c r="BX102" s="90" t="s">
        <v>2208</v>
      </c>
      <c r="BY102" s="90" t="s">
        <v>2279</v>
      </c>
      <c r="BZ102" s="90" t="s">
        <v>2279</v>
      </c>
      <c r="CA102" s="75" t="str">
        <f>REPLACE(INDEX(GroupVertices[Group],MATCH("~"&amp;Vertices[[#This Row],[Vertex]],GroupVertices[Vertex],0)),1,1,"")</f>
        <v>1</v>
      </c>
      <c r="CB102" s="2"/>
    </row>
    <row r="103" spans="1:80" ht="34.05" customHeight="1">
      <c r="A103" s="61" t="s">
        <v>626</v>
      </c>
      <c r="C103" s="62"/>
      <c r="D103" s="62"/>
      <c r="E103" s="63"/>
      <c r="F103" s="92"/>
      <c r="G103" s="86" t="str">
        <f>HYPERLINK("https://pbs.twimg.com/profile_images/567424377189199872/oe2x0fsA_normal.jpeg")</f>
        <v>https://pbs.twimg.com/profile_images/567424377189199872/oe2x0fsA_normal.jpeg</v>
      </c>
      <c r="H103" s="93"/>
      <c r="I103" s="66"/>
      <c r="J103" s="67"/>
      <c r="K103" s="94"/>
      <c r="L103" s="66" t="s">
        <v>1924</v>
      </c>
      <c r="M103" s="95"/>
      <c r="N103" s="71">
        <v>4347.384765625</v>
      </c>
      <c r="O103" s="71">
        <v>3541.034912109375</v>
      </c>
      <c r="P103" s="72"/>
      <c r="Q103" s="73"/>
      <c r="R103" s="73"/>
      <c r="S103" s="96"/>
      <c r="T103" s="45">
        <v>0</v>
      </c>
      <c r="U103" s="45">
        <v>1</v>
      </c>
      <c r="V103" s="46">
        <v>0</v>
      </c>
      <c r="W103" s="46">
        <v>0.41555</v>
      </c>
      <c r="X103" s="46">
        <v>0.065898</v>
      </c>
      <c r="Y103" s="46">
        <v>0.005556</v>
      </c>
      <c r="Z103" s="46">
        <v>0</v>
      </c>
      <c r="AA103" s="46">
        <v>0</v>
      </c>
      <c r="AB103" s="68">
        <v>103</v>
      </c>
      <c r="AC103" s="68"/>
      <c r="AD103" s="69"/>
      <c r="AE103" s="76" t="s">
        <v>1334</v>
      </c>
      <c r="AF103" s="80" t="s">
        <v>1455</v>
      </c>
      <c r="AG103" s="76">
        <v>9710</v>
      </c>
      <c r="AH103" s="76">
        <v>7562</v>
      </c>
      <c r="AI103" s="76">
        <v>47424</v>
      </c>
      <c r="AJ103" s="76">
        <v>872</v>
      </c>
      <c r="AK103" s="76">
        <v>15448</v>
      </c>
      <c r="AL103" s="76">
        <v>25334</v>
      </c>
      <c r="AM103" s="76" t="b">
        <v>0</v>
      </c>
      <c r="AN103" s="78">
        <v>42036.798310185186</v>
      </c>
      <c r="AO103" s="76" t="s">
        <v>1537</v>
      </c>
      <c r="AP103" s="76" t="s">
        <v>1650</v>
      </c>
      <c r="AQ103" s="81" t="str">
        <f>HYPERLINK("https://t.co/hHdeDwmL0V")</f>
        <v>https://t.co/hHdeDwmL0V</v>
      </c>
      <c r="AR103" s="81" t="str">
        <f>HYPERLINK("http://willow.link/qualifications")</f>
        <v>http://willow.link/qualifications</v>
      </c>
      <c r="AS103" s="76" t="s">
        <v>1766</v>
      </c>
      <c r="AT103" s="76"/>
      <c r="AU103" s="76"/>
      <c r="AV103" s="76"/>
      <c r="AW103" s="76"/>
      <c r="AX103" s="81" t="str">
        <f>HYPERLINK("https://t.co/hHdeDwmL0V")</f>
        <v>https://t.co/hHdeDwmL0V</v>
      </c>
      <c r="AY103" s="76" t="b">
        <v>0</v>
      </c>
      <c r="AZ103" s="76"/>
      <c r="BA103" s="76"/>
      <c r="BB103" s="76" t="b">
        <v>0</v>
      </c>
      <c r="BC103" s="76" t="b">
        <v>1</v>
      </c>
      <c r="BD103" s="76" t="b">
        <v>0</v>
      </c>
      <c r="BE103" s="76" t="b">
        <v>0</v>
      </c>
      <c r="BF103" s="76" t="b">
        <v>0</v>
      </c>
      <c r="BG103" s="76" t="b">
        <v>0</v>
      </c>
      <c r="BH103" s="76" t="b">
        <v>0</v>
      </c>
      <c r="BI103" s="81" t="str">
        <f>HYPERLINK("https://pbs.twimg.com/profile_banners/3007133678/1422818100")</f>
        <v>https://pbs.twimg.com/profile_banners/3007133678/1422818100</v>
      </c>
      <c r="BJ103" s="76"/>
      <c r="BK103" s="76" t="s">
        <v>330</v>
      </c>
      <c r="BL103" s="76" t="b">
        <v>0</v>
      </c>
      <c r="BM103" s="76"/>
      <c r="BN103" s="76" t="s">
        <v>66</v>
      </c>
      <c r="BO103" s="76" t="s">
        <v>332</v>
      </c>
      <c r="BP103" s="97" t="str">
        <f>HYPERLINK("https://twitter.com/willowassist")</f>
        <v>https://twitter.com/willowassist</v>
      </c>
      <c r="BQ103" s="45" t="s">
        <v>2133</v>
      </c>
      <c r="BR103" s="45" t="s">
        <v>2133</v>
      </c>
      <c r="BS103" s="45" t="s">
        <v>883</v>
      </c>
      <c r="BT103" s="45" t="s">
        <v>883</v>
      </c>
      <c r="BU103" s="45" t="s">
        <v>845</v>
      </c>
      <c r="BV103" s="45" t="s">
        <v>2160</v>
      </c>
      <c r="BW103" s="90" t="s">
        <v>2209</v>
      </c>
      <c r="BX103" s="90" t="s">
        <v>2209</v>
      </c>
      <c r="BY103" s="90" t="s">
        <v>2280</v>
      </c>
      <c r="BZ103" s="90" t="s">
        <v>2280</v>
      </c>
      <c r="CA103" s="75" t="str">
        <f>REPLACE(INDEX(GroupVertices[Group],MATCH("~"&amp;Vertices[[#This Row],[Vertex]],GroupVertices[Vertex],0)),1,1,"")</f>
        <v>1</v>
      </c>
      <c r="CB103" s="2"/>
    </row>
    <row r="104" spans="1:80" ht="34.05" customHeight="1">
      <c r="A104" s="61" t="s">
        <v>628</v>
      </c>
      <c r="C104" s="62"/>
      <c r="D104" s="62"/>
      <c r="E104" s="63"/>
      <c r="F104" s="92"/>
      <c r="G104" s="86" t="str">
        <f>HYPERLINK("https://pbs.twimg.com/profile_images/859235137308966912/zq2KEvLx_normal.jpg")</f>
        <v>https://pbs.twimg.com/profile_images/859235137308966912/zq2KEvLx_normal.jpg</v>
      </c>
      <c r="H104" s="93"/>
      <c r="I104" s="66"/>
      <c r="J104" s="67"/>
      <c r="K104" s="94"/>
      <c r="L104" s="66" t="s">
        <v>1925</v>
      </c>
      <c r="M104" s="95"/>
      <c r="N104" s="71">
        <v>4151.9287109375</v>
      </c>
      <c r="O104" s="71">
        <v>4276.21630859375</v>
      </c>
      <c r="P104" s="72"/>
      <c r="Q104" s="73"/>
      <c r="R104" s="73"/>
      <c r="S104" s="96"/>
      <c r="T104" s="45">
        <v>0</v>
      </c>
      <c r="U104" s="45">
        <v>2</v>
      </c>
      <c r="V104" s="46">
        <v>0</v>
      </c>
      <c r="W104" s="46">
        <v>0.416667</v>
      </c>
      <c r="X104" s="46">
        <v>0.074257</v>
      </c>
      <c r="Y104" s="46">
        <v>0.005814</v>
      </c>
      <c r="Z104" s="46">
        <v>0.5</v>
      </c>
      <c r="AA104" s="46">
        <v>0</v>
      </c>
      <c r="AB104" s="68">
        <v>104</v>
      </c>
      <c r="AC104" s="68"/>
      <c r="AD104" s="69"/>
      <c r="AE104" s="76" t="s">
        <v>1335</v>
      </c>
      <c r="AF104" s="80" t="s">
        <v>1236</v>
      </c>
      <c r="AG104" s="76">
        <v>276</v>
      </c>
      <c r="AH104" s="76">
        <v>32</v>
      </c>
      <c r="AI104" s="76">
        <v>42853</v>
      </c>
      <c r="AJ104" s="76">
        <v>5</v>
      </c>
      <c r="AK104" s="76">
        <v>0</v>
      </c>
      <c r="AL104" s="76">
        <v>40588</v>
      </c>
      <c r="AM104" s="76" t="b">
        <v>0</v>
      </c>
      <c r="AN104" s="78">
        <v>42857.10556712963</v>
      </c>
      <c r="AO104" s="76" t="s">
        <v>1538</v>
      </c>
      <c r="AP104" s="76" t="s">
        <v>1651</v>
      </c>
      <c r="AQ104" s="81" t="str">
        <f>HYPERLINK("https://t.co/WJMWzGGfX2")</f>
        <v>https://t.co/WJMWzGGfX2</v>
      </c>
      <c r="AR104" s="81" t="str">
        <f>HYPERLINK("https://goo.gl/oHQB7c")</f>
        <v>https://goo.gl/oHQB7c</v>
      </c>
      <c r="AS104" s="76" t="s">
        <v>1767</v>
      </c>
      <c r="AT104" s="76"/>
      <c r="AU104" s="76"/>
      <c r="AV104" s="76"/>
      <c r="AW104" s="76"/>
      <c r="AX104" s="81" t="str">
        <f>HYPERLINK("https://t.co/WJMWzGGfX2")</f>
        <v>https://t.co/WJMWzGGfX2</v>
      </c>
      <c r="AY104" s="76" t="b">
        <v>0</v>
      </c>
      <c r="AZ104" s="76"/>
      <c r="BA104" s="76"/>
      <c r="BB104" s="76" t="b">
        <v>0</v>
      </c>
      <c r="BC104" s="76" t="b">
        <v>1</v>
      </c>
      <c r="BD104" s="76" t="b">
        <v>1</v>
      </c>
      <c r="BE104" s="76" t="b">
        <v>0</v>
      </c>
      <c r="BF104" s="76" t="b">
        <v>0</v>
      </c>
      <c r="BG104" s="76" t="b">
        <v>0</v>
      </c>
      <c r="BH104" s="76" t="b">
        <v>0</v>
      </c>
      <c r="BI104" s="81" t="str">
        <f>HYPERLINK("https://pbs.twimg.com/profile_banners/859233989797625857/1494142381")</f>
        <v>https://pbs.twimg.com/profile_banners/859233989797625857/1494142381</v>
      </c>
      <c r="BJ104" s="76"/>
      <c r="BK104" s="76" t="s">
        <v>330</v>
      </c>
      <c r="BL104" s="76" t="b">
        <v>0</v>
      </c>
      <c r="BM104" s="76"/>
      <c r="BN104" s="76" t="s">
        <v>66</v>
      </c>
      <c r="BO104" s="76" t="s">
        <v>332</v>
      </c>
      <c r="BP104" s="97" t="str">
        <f>HYPERLINK("https://twitter.com/mehkaadams")</f>
        <v>https://twitter.com/mehkaadams</v>
      </c>
      <c r="BQ104" s="45" t="s">
        <v>859</v>
      </c>
      <c r="BR104" s="45" t="s">
        <v>859</v>
      </c>
      <c r="BS104" s="45" t="s">
        <v>577</v>
      </c>
      <c r="BT104" s="45" t="s">
        <v>578</v>
      </c>
      <c r="BU104" s="45" t="s">
        <v>831</v>
      </c>
      <c r="BV104" s="45" t="s">
        <v>2154</v>
      </c>
      <c r="BW104" s="90" t="s">
        <v>2166</v>
      </c>
      <c r="BX104" s="90" t="s">
        <v>2166</v>
      </c>
      <c r="BY104" s="90" t="s">
        <v>2281</v>
      </c>
      <c r="BZ104" s="90" t="s">
        <v>2281</v>
      </c>
      <c r="CA104" s="75" t="str">
        <f>REPLACE(INDEX(GroupVertices[Group],MATCH("~"&amp;Vertices[[#This Row],[Vertex]],GroupVertices[Vertex],0)),1,1,"")</f>
        <v>1</v>
      </c>
      <c r="CB104" s="2"/>
    </row>
    <row r="105" spans="1:80" ht="34.05" customHeight="1">
      <c r="A105" s="61" t="s">
        <v>629</v>
      </c>
      <c r="C105" s="62"/>
      <c r="D105" s="62"/>
      <c r="E105" s="63"/>
      <c r="F105" s="92"/>
      <c r="G105" s="86" t="str">
        <f>HYPERLINK("https://pbs.twimg.com/profile_images/1403968836030898176/7he6PSky_normal.jpg")</f>
        <v>https://pbs.twimg.com/profile_images/1403968836030898176/7he6PSky_normal.jpg</v>
      </c>
      <c r="H105" s="93"/>
      <c r="I105" s="66"/>
      <c r="J105" s="67"/>
      <c r="K105" s="94"/>
      <c r="L105" s="66" t="s">
        <v>1926</v>
      </c>
      <c r="M105" s="95"/>
      <c r="N105" s="71">
        <v>2887.2998046875</v>
      </c>
      <c r="O105" s="71">
        <v>3851.706298828125</v>
      </c>
      <c r="P105" s="72"/>
      <c r="Q105" s="73"/>
      <c r="R105" s="73"/>
      <c r="S105" s="96"/>
      <c r="T105" s="45">
        <v>0</v>
      </c>
      <c r="U105" s="45">
        <v>2</v>
      </c>
      <c r="V105" s="46">
        <v>308</v>
      </c>
      <c r="W105" s="46">
        <v>0.41779</v>
      </c>
      <c r="X105" s="46">
        <v>0.066508</v>
      </c>
      <c r="Y105" s="46">
        <v>0.006446</v>
      </c>
      <c r="Z105" s="46">
        <v>0</v>
      </c>
      <c r="AA105" s="46">
        <v>0</v>
      </c>
      <c r="AB105" s="68">
        <v>105</v>
      </c>
      <c r="AC105" s="68"/>
      <c r="AD105" s="69"/>
      <c r="AE105" s="76" t="s">
        <v>1336</v>
      </c>
      <c r="AF105" s="80" t="s">
        <v>1456</v>
      </c>
      <c r="AG105" s="76">
        <v>2598</v>
      </c>
      <c r="AH105" s="76">
        <v>3357</v>
      </c>
      <c r="AI105" s="76">
        <v>6180</v>
      </c>
      <c r="AJ105" s="76">
        <v>79</v>
      </c>
      <c r="AK105" s="76">
        <v>329</v>
      </c>
      <c r="AL105" s="76">
        <v>71</v>
      </c>
      <c r="AM105" s="76" t="b">
        <v>0</v>
      </c>
      <c r="AN105" s="78">
        <v>40574.955775462964</v>
      </c>
      <c r="AO105" s="76" t="s">
        <v>1539</v>
      </c>
      <c r="AP105" s="76" t="s">
        <v>1652</v>
      </c>
      <c r="AQ105" s="81" t="str">
        <f>HYPERLINK("https://t.co/k0qFwWXJj3")</f>
        <v>https://t.co/k0qFwWXJj3</v>
      </c>
      <c r="AR105" s="81" t="str">
        <f>HYPERLINK("http://www.geojunxion.com")</f>
        <v>http://www.geojunxion.com</v>
      </c>
      <c r="AS105" s="76" t="s">
        <v>1768</v>
      </c>
      <c r="AT105" s="76"/>
      <c r="AU105" s="76"/>
      <c r="AV105" s="76"/>
      <c r="AW105" s="76"/>
      <c r="AX105" s="81" t="str">
        <f>HYPERLINK("https://t.co/k0qFwWXJj3")</f>
        <v>https://t.co/k0qFwWXJj3</v>
      </c>
      <c r="AY105" s="76" t="b">
        <v>0</v>
      </c>
      <c r="AZ105" s="76"/>
      <c r="BA105" s="76"/>
      <c r="BB105" s="76" t="b">
        <v>0</v>
      </c>
      <c r="BC105" s="76" t="b">
        <v>1</v>
      </c>
      <c r="BD105" s="76" t="b">
        <v>0</v>
      </c>
      <c r="BE105" s="76" t="b">
        <v>0</v>
      </c>
      <c r="BF105" s="76" t="b">
        <v>0</v>
      </c>
      <c r="BG105" s="76" t="b">
        <v>0</v>
      </c>
      <c r="BH105" s="76" t="b">
        <v>0</v>
      </c>
      <c r="BI105" s="81" t="str">
        <f>HYPERLINK("https://pbs.twimg.com/profile_banners/245542127/1573465845")</f>
        <v>https://pbs.twimg.com/profile_banners/245542127/1573465845</v>
      </c>
      <c r="BJ105" s="76"/>
      <c r="BK105" s="76" t="s">
        <v>330</v>
      </c>
      <c r="BL105" s="76" t="b">
        <v>0</v>
      </c>
      <c r="BM105" s="76"/>
      <c r="BN105" s="76" t="s">
        <v>66</v>
      </c>
      <c r="BO105" s="76" t="s">
        <v>332</v>
      </c>
      <c r="BP105" s="97" t="str">
        <f>HYPERLINK("https://twitter.com/carolinebombart")</f>
        <v>https://twitter.com/carolinebombart</v>
      </c>
      <c r="BQ105" s="45"/>
      <c r="BR105" s="45"/>
      <c r="BS105" s="45"/>
      <c r="BT105" s="45"/>
      <c r="BU105" s="45"/>
      <c r="BV105" s="45"/>
      <c r="BW105" s="90" t="s">
        <v>2210</v>
      </c>
      <c r="BX105" s="90" t="s">
        <v>2210</v>
      </c>
      <c r="BY105" s="90" t="s">
        <v>2282</v>
      </c>
      <c r="BZ105" s="90" t="s">
        <v>2282</v>
      </c>
      <c r="CA105" s="75" t="str">
        <f>REPLACE(INDEX(GroupVertices[Group],MATCH("~"&amp;Vertices[[#This Row],[Vertex]],GroupVertices[Vertex],0)),1,1,"")</f>
        <v>12</v>
      </c>
      <c r="CB105" s="2"/>
    </row>
    <row r="106" spans="1:80" ht="34.05" customHeight="1">
      <c r="A106" s="61" t="s">
        <v>698</v>
      </c>
      <c r="C106" s="62"/>
      <c r="D106" s="62"/>
      <c r="E106" s="63"/>
      <c r="F106" s="92"/>
      <c r="G106" s="86" t="str">
        <f>HYPERLINK("https://pbs.twimg.com/profile_images/1031094384614416391/f7YSKf_J_normal.jpg")</f>
        <v>https://pbs.twimg.com/profile_images/1031094384614416391/f7YSKf_J_normal.jpg</v>
      </c>
      <c r="H106" s="93"/>
      <c r="I106" s="66"/>
      <c r="J106" s="67"/>
      <c r="K106" s="94"/>
      <c r="L106" s="66" t="s">
        <v>1927</v>
      </c>
      <c r="M106" s="95"/>
      <c r="N106" s="71">
        <v>406.3360900878906</v>
      </c>
      <c r="O106" s="71">
        <v>3134.318359375</v>
      </c>
      <c r="P106" s="72"/>
      <c r="Q106" s="73"/>
      <c r="R106" s="73"/>
      <c r="S106" s="96"/>
      <c r="T106" s="45">
        <v>1</v>
      </c>
      <c r="U106" s="45">
        <v>0</v>
      </c>
      <c r="V106" s="46">
        <v>0</v>
      </c>
      <c r="W106" s="46">
        <v>0.295238</v>
      </c>
      <c r="X106" s="46">
        <v>0.006373</v>
      </c>
      <c r="Y106" s="46">
        <v>0.005932</v>
      </c>
      <c r="Z106" s="46">
        <v>0</v>
      </c>
      <c r="AA106" s="46">
        <v>0</v>
      </c>
      <c r="AB106" s="68">
        <v>106</v>
      </c>
      <c r="AC106" s="68"/>
      <c r="AD106" s="69"/>
      <c r="AE106" s="76" t="s">
        <v>1337</v>
      </c>
      <c r="AF106" s="80" t="s">
        <v>1221</v>
      </c>
      <c r="AG106" s="76">
        <v>4373</v>
      </c>
      <c r="AH106" s="76">
        <v>3777</v>
      </c>
      <c r="AI106" s="76">
        <v>2107</v>
      </c>
      <c r="AJ106" s="76">
        <v>100</v>
      </c>
      <c r="AK106" s="76">
        <v>4299</v>
      </c>
      <c r="AL106" s="76">
        <v>1259</v>
      </c>
      <c r="AM106" s="76" t="b">
        <v>0</v>
      </c>
      <c r="AN106" s="78">
        <v>40412.06989583333</v>
      </c>
      <c r="AO106" s="76" t="s">
        <v>1540</v>
      </c>
      <c r="AP106" s="76" t="s">
        <v>1653</v>
      </c>
      <c r="AQ106" s="81" t="str">
        <f>HYPERLINK("https://t.co/4JxtG87Axu")</f>
        <v>https://t.co/4JxtG87Axu</v>
      </c>
      <c r="AR106" s="81" t="str">
        <f>HYPERLINK("https://www.monroeconsulting.com/")</f>
        <v>https://www.monroeconsulting.com/</v>
      </c>
      <c r="AS106" s="76" t="s">
        <v>1769</v>
      </c>
      <c r="AT106" s="76"/>
      <c r="AU106" s="76"/>
      <c r="AV106" s="76"/>
      <c r="AW106" s="76"/>
      <c r="AX106" s="81" t="str">
        <f>HYPERLINK("https://t.co/4JxtG87Axu")</f>
        <v>https://t.co/4JxtG87Axu</v>
      </c>
      <c r="AY106" s="76" t="b">
        <v>0</v>
      </c>
      <c r="AZ106" s="76"/>
      <c r="BA106" s="76"/>
      <c r="BB106" s="76" t="b">
        <v>0</v>
      </c>
      <c r="BC106" s="76" t="b">
        <v>1</v>
      </c>
      <c r="BD106" s="76" t="b">
        <v>0</v>
      </c>
      <c r="BE106" s="76" t="b">
        <v>0</v>
      </c>
      <c r="BF106" s="76" t="b">
        <v>0</v>
      </c>
      <c r="BG106" s="76" t="b">
        <v>0</v>
      </c>
      <c r="BH106" s="76" t="b">
        <v>0</v>
      </c>
      <c r="BI106" s="81" t="str">
        <f>HYPERLINK("https://pbs.twimg.com/profile_banners/181377497/1636295808")</f>
        <v>https://pbs.twimg.com/profile_banners/181377497/1636295808</v>
      </c>
      <c r="BJ106" s="76"/>
      <c r="BK106" s="76" t="s">
        <v>330</v>
      </c>
      <c r="BL106" s="76" t="b">
        <v>0</v>
      </c>
      <c r="BM106" s="76"/>
      <c r="BN106" s="76" t="s">
        <v>65</v>
      </c>
      <c r="BO106" s="76" t="s">
        <v>332</v>
      </c>
      <c r="BP106" s="97" t="str">
        <f>HYPERLINK("https://twitter.com/monroeconsult")</f>
        <v>https://twitter.com/monroeconsult</v>
      </c>
      <c r="BQ106" s="45"/>
      <c r="BR106" s="45"/>
      <c r="BS106" s="45"/>
      <c r="BT106" s="45"/>
      <c r="BU106" s="45"/>
      <c r="BV106" s="45"/>
      <c r="BW106" s="45"/>
      <c r="BX106" s="45"/>
      <c r="BY106" s="45"/>
      <c r="BZ106" s="45"/>
      <c r="CA106" s="75" t="str">
        <f>REPLACE(INDEX(GroupVertices[Group],MATCH("~"&amp;Vertices[[#This Row],[Vertex]],GroupVertices[Vertex],0)),1,1,"")</f>
        <v>12</v>
      </c>
      <c r="CB106" s="2"/>
    </row>
    <row r="107" spans="1:80" ht="34.05" customHeight="1">
      <c r="A107" s="61" t="s">
        <v>630</v>
      </c>
      <c r="C107" s="62"/>
      <c r="D107" s="62"/>
      <c r="E107" s="63"/>
      <c r="F107" s="92"/>
      <c r="G107" s="86" t="str">
        <f>HYPERLINK("https://pbs.twimg.com/profile_images/1627632587911954432/GIai539q_normal.jpg")</f>
        <v>https://pbs.twimg.com/profile_images/1627632587911954432/GIai539q_normal.jpg</v>
      </c>
      <c r="H107" s="93"/>
      <c r="I107" s="66"/>
      <c r="J107" s="67"/>
      <c r="K107" s="94"/>
      <c r="L107" s="66" t="s">
        <v>1928</v>
      </c>
      <c r="M107" s="95"/>
      <c r="N107" s="71">
        <v>4323.5859375</v>
      </c>
      <c r="O107" s="71">
        <v>3052.89697265625</v>
      </c>
      <c r="P107" s="72"/>
      <c r="Q107" s="73"/>
      <c r="R107" s="73"/>
      <c r="S107" s="96"/>
      <c r="T107" s="45">
        <v>0</v>
      </c>
      <c r="U107" s="45">
        <v>1</v>
      </c>
      <c r="V107" s="46">
        <v>0</v>
      </c>
      <c r="W107" s="46">
        <v>0.41555</v>
      </c>
      <c r="X107" s="46">
        <v>0.065898</v>
      </c>
      <c r="Y107" s="46">
        <v>0.005556</v>
      </c>
      <c r="Z107" s="46">
        <v>0</v>
      </c>
      <c r="AA107" s="46">
        <v>0</v>
      </c>
      <c r="AB107" s="68">
        <v>107</v>
      </c>
      <c r="AC107" s="68"/>
      <c r="AD107" s="69"/>
      <c r="AE107" s="76" t="s">
        <v>1338</v>
      </c>
      <c r="AF107" s="80" t="s">
        <v>1457</v>
      </c>
      <c r="AG107" s="76">
        <v>6682</v>
      </c>
      <c r="AH107" s="76">
        <v>4142</v>
      </c>
      <c r="AI107" s="76">
        <v>54680</v>
      </c>
      <c r="AJ107" s="76">
        <v>753</v>
      </c>
      <c r="AK107" s="76">
        <v>30476</v>
      </c>
      <c r="AL107" s="76">
        <v>4178</v>
      </c>
      <c r="AM107" s="76" t="b">
        <v>0</v>
      </c>
      <c r="AN107" s="78">
        <v>40130.76614583333</v>
      </c>
      <c r="AO107" s="76" t="s">
        <v>1541</v>
      </c>
      <c r="AP107" s="76" t="s">
        <v>1654</v>
      </c>
      <c r="AQ107" s="81" t="str">
        <f>HYPERLINK("https://t.co/29MPkFSJZi")</f>
        <v>https://t.co/29MPkFSJZi</v>
      </c>
      <c r="AR107" s="81" t="str">
        <f>HYPERLINK("http://marcoting.shop")</f>
        <v>http://marcoting.shop</v>
      </c>
      <c r="AS107" s="76" t="s">
        <v>1770</v>
      </c>
      <c r="AT107" s="81" t="str">
        <f>HYPERLINK("https://t.co/GhomSB1PJz")</f>
        <v>https://t.co/GhomSB1PJz</v>
      </c>
      <c r="AU107" s="81" t="str">
        <f>HYPERLINK("http://marcoting.live")</f>
        <v>http://marcoting.live</v>
      </c>
      <c r="AV107" s="76" t="s">
        <v>1822</v>
      </c>
      <c r="AW107" s="76">
        <v>1.48561300924237E+18</v>
      </c>
      <c r="AX107" s="81" t="str">
        <f>HYPERLINK("https://t.co/29MPkFSJZi")</f>
        <v>https://t.co/29MPkFSJZi</v>
      </c>
      <c r="AY107" s="76" t="b">
        <v>0</v>
      </c>
      <c r="AZ107" s="76"/>
      <c r="BA107" s="76"/>
      <c r="BB107" s="76" t="b">
        <v>0</v>
      </c>
      <c r="BC107" s="76" t="b">
        <v>0</v>
      </c>
      <c r="BD107" s="76" t="b">
        <v>0</v>
      </c>
      <c r="BE107" s="76" t="b">
        <v>0</v>
      </c>
      <c r="BF107" s="76" t="b">
        <v>1</v>
      </c>
      <c r="BG107" s="76" t="b">
        <v>0</v>
      </c>
      <c r="BH107" s="76" t="b">
        <v>0</v>
      </c>
      <c r="BI107" s="81" t="str">
        <f>HYPERLINK("https://pbs.twimg.com/profile_banners/89759989/1615511063")</f>
        <v>https://pbs.twimg.com/profile_banners/89759989/1615511063</v>
      </c>
      <c r="BJ107" s="76"/>
      <c r="BK107" s="76" t="s">
        <v>330</v>
      </c>
      <c r="BL107" s="76" t="b">
        <v>0</v>
      </c>
      <c r="BM107" s="76"/>
      <c r="BN107" s="76" t="s">
        <v>66</v>
      </c>
      <c r="BO107" s="76" t="s">
        <v>332</v>
      </c>
      <c r="BP107" s="97" t="str">
        <f>HYPERLINK("https://twitter.com/mfcnovo")</f>
        <v>https://twitter.com/mfcnovo</v>
      </c>
      <c r="BQ107" s="45" t="s">
        <v>2134</v>
      </c>
      <c r="BR107" s="45" t="s">
        <v>2134</v>
      </c>
      <c r="BS107" s="45" t="s">
        <v>884</v>
      </c>
      <c r="BT107" s="45" t="s">
        <v>884</v>
      </c>
      <c r="BU107" s="45" t="s">
        <v>2152</v>
      </c>
      <c r="BV107" s="45" t="s">
        <v>2161</v>
      </c>
      <c r="BW107" s="90" t="s">
        <v>2211</v>
      </c>
      <c r="BX107" s="90" t="s">
        <v>2211</v>
      </c>
      <c r="BY107" s="90" t="s">
        <v>2283</v>
      </c>
      <c r="BZ107" s="90" t="s">
        <v>2283</v>
      </c>
      <c r="CA107" s="75" t="str">
        <f>REPLACE(INDEX(GroupVertices[Group],MATCH("~"&amp;Vertices[[#This Row],[Vertex]],GroupVertices[Vertex],0)),1,1,"")</f>
        <v>1</v>
      </c>
      <c r="CB107" s="2"/>
    </row>
    <row r="108" spans="1:80" ht="34.05" customHeight="1">
      <c r="A108" s="61" t="s">
        <v>631</v>
      </c>
      <c r="C108" s="62"/>
      <c r="D108" s="62"/>
      <c r="E108" s="63"/>
      <c r="F108" s="92"/>
      <c r="G108" s="86" t="str">
        <f>HYPERLINK("https://pbs.twimg.com/profile_images/668861680198160385/2RDdhaG2_normal.png")</f>
        <v>https://pbs.twimg.com/profile_images/668861680198160385/2RDdhaG2_normal.png</v>
      </c>
      <c r="H108" s="93"/>
      <c r="I108" s="66"/>
      <c r="J108" s="67"/>
      <c r="K108" s="94"/>
      <c r="L108" s="66" t="s">
        <v>1929</v>
      </c>
      <c r="M108" s="95"/>
      <c r="N108" s="71">
        <v>5784.9150390625</v>
      </c>
      <c r="O108" s="71">
        <v>4479.935546875</v>
      </c>
      <c r="P108" s="72"/>
      <c r="Q108" s="73"/>
      <c r="R108" s="73"/>
      <c r="S108" s="96"/>
      <c r="T108" s="45">
        <v>0</v>
      </c>
      <c r="U108" s="45">
        <v>1</v>
      </c>
      <c r="V108" s="46">
        <v>0</v>
      </c>
      <c r="W108" s="46">
        <v>0.41555</v>
      </c>
      <c r="X108" s="46">
        <v>0.065898</v>
      </c>
      <c r="Y108" s="46">
        <v>0.005556</v>
      </c>
      <c r="Z108" s="46">
        <v>0</v>
      </c>
      <c r="AA108" s="46">
        <v>0</v>
      </c>
      <c r="AB108" s="68">
        <v>108</v>
      </c>
      <c r="AC108" s="68"/>
      <c r="AD108" s="69"/>
      <c r="AE108" s="76" t="s">
        <v>1339</v>
      </c>
      <c r="AF108" s="80" t="s">
        <v>1458</v>
      </c>
      <c r="AG108" s="76">
        <v>132745</v>
      </c>
      <c r="AH108" s="76">
        <v>23639</v>
      </c>
      <c r="AI108" s="76">
        <v>326255</v>
      </c>
      <c r="AJ108" s="76">
        <v>2877</v>
      </c>
      <c r="AK108" s="76">
        <v>11694</v>
      </c>
      <c r="AL108" s="76">
        <v>85591</v>
      </c>
      <c r="AM108" s="76" t="b">
        <v>0</v>
      </c>
      <c r="AN108" s="78">
        <v>40897.68282407407</v>
      </c>
      <c r="AO108" s="76" t="s">
        <v>301</v>
      </c>
      <c r="AP108" s="76" t="s">
        <v>1655</v>
      </c>
      <c r="AQ108" s="81" t="str">
        <f>HYPERLINK("https://t.co/VzFFc8I0wm")</f>
        <v>https://t.co/VzFFc8I0wm</v>
      </c>
      <c r="AR108" s="81" t="str">
        <f>HYPERLINK("http://blog.thesocialms.com/")</f>
        <v>http://blog.thesocialms.com/</v>
      </c>
      <c r="AS108" s="76" t="s">
        <v>1771</v>
      </c>
      <c r="AT108" s="76" t="s">
        <v>1812</v>
      </c>
      <c r="AU108" s="76" t="s">
        <v>1814</v>
      </c>
      <c r="AV108" s="76" t="s">
        <v>1823</v>
      </c>
      <c r="AW108" s="76">
        <v>1.72250717951558E+18</v>
      </c>
      <c r="AX108" s="81" t="str">
        <f>HYPERLINK("https://t.co/VzFFc8I0wm")</f>
        <v>https://t.co/VzFFc8I0wm</v>
      </c>
      <c r="AY108" s="76" t="b">
        <v>0</v>
      </c>
      <c r="AZ108" s="76"/>
      <c r="BA108" s="76"/>
      <c r="BB108" s="76" t="b">
        <v>1</v>
      </c>
      <c r="BC108" s="76" t="b">
        <v>1</v>
      </c>
      <c r="BD108" s="76" t="b">
        <v>0</v>
      </c>
      <c r="BE108" s="76" t="b">
        <v>0</v>
      </c>
      <c r="BF108" s="76" t="b">
        <v>1</v>
      </c>
      <c r="BG108" s="76" t="b">
        <v>0</v>
      </c>
      <c r="BH108" s="76" t="b">
        <v>0</v>
      </c>
      <c r="BI108" s="81" t="str">
        <f>HYPERLINK("https://pbs.twimg.com/profile_banners/441970965/1448304953")</f>
        <v>https://pbs.twimg.com/profile_banners/441970965/1448304953</v>
      </c>
      <c r="BJ108" s="76"/>
      <c r="BK108" s="76" t="s">
        <v>330</v>
      </c>
      <c r="BL108" s="76" t="b">
        <v>0</v>
      </c>
      <c r="BM108" s="76"/>
      <c r="BN108" s="76" t="s">
        <v>66</v>
      </c>
      <c r="BO108" s="76" t="s">
        <v>332</v>
      </c>
      <c r="BP108" s="97" t="str">
        <f>HYPERLINK("https://twitter.com/tsm_b2b")</f>
        <v>https://twitter.com/tsm_b2b</v>
      </c>
      <c r="BQ108" s="45" t="s">
        <v>2135</v>
      </c>
      <c r="BR108" s="45" t="s">
        <v>2135</v>
      </c>
      <c r="BS108" s="45" t="s">
        <v>885</v>
      </c>
      <c r="BT108" s="45" t="s">
        <v>885</v>
      </c>
      <c r="BU108" s="45"/>
      <c r="BV108" s="45"/>
      <c r="BW108" s="90" t="s">
        <v>2212</v>
      </c>
      <c r="BX108" s="90" t="s">
        <v>2212</v>
      </c>
      <c r="BY108" s="90" t="s">
        <v>2284</v>
      </c>
      <c r="BZ108" s="90" t="s">
        <v>2284</v>
      </c>
      <c r="CA108" s="75" t="str">
        <f>REPLACE(INDEX(GroupVertices[Group],MATCH("~"&amp;Vertices[[#This Row],[Vertex]],GroupVertices[Vertex],0)),1,1,"")</f>
        <v>1</v>
      </c>
      <c r="CB108" s="2"/>
    </row>
    <row r="109" spans="1:80" ht="34.05" customHeight="1">
      <c r="A109" s="61" t="s">
        <v>632</v>
      </c>
      <c r="C109" s="62"/>
      <c r="D109" s="62"/>
      <c r="E109" s="63"/>
      <c r="F109" s="92"/>
      <c r="G109" s="86" t="str">
        <f>HYPERLINK("https://pbs.twimg.com/profile_images/479293326550503424/YE_vYBAz_normal.png")</f>
        <v>https://pbs.twimg.com/profile_images/479293326550503424/YE_vYBAz_normal.png</v>
      </c>
      <c r="H109" s="93"/>
      <c r="I109" s="66"/>
      <c r="J109" s="67"/>
      <c r="K109" s="94"/>
      <c r="L109" s="66" t="s">
        <v>1930</v>
      </c>
      <c r="M109" s="95"/>
      <c r="N109" s="71">
        <v>2936.187255859375</v>
      </c>
      <c r="O109" s="71">
        <v>3406.384521484375</v>
      </c>
      <c r="P109" s="72"/>
      <c r="Q109" s="73"/>
      <c r="R109" s="73"/>
      <c r="S109" s="96"/>
      <c r="T109" s="45">
        <v>0</v>
      </c>
      <c r="U109" s="45">
        <v>4</v>
      </c>
      <c r="V109" s="46">
        <v>918</v>
      </c>
      <c r="W109" s="46">
        <v>0.422343</v>
      </c>
      <c r="X109" s="46">
        <v>0.067764</v>
      </c>
      <c r="Y109" s="46">
        <v>0.008146</v>
      </c>
      <c r="Z109" s="46">
        <v>0</v>
      </c>
      <c r="AA109" s="46">
        <v>0</v>
      </c>
      <c r="AB109" s="68">
        <v>109</v>
      </c>
      <c r="AC109" s="68"/>
      <c r="AD109" s="69"/>
      <c r="AE109" s="76" t="s">
        <v>1340</v>
      </c>
      <c r="AF109" s="80" t="s">
        <v>1459</v>
      </c>
      <c r="AG109" s="76">
        <v>16033</v>
      </c>
      <c r="AH109" s="76">
        <v>4280</v>
      </c>
      <c r="AI109" s="76">
        <v>15197</v>
      </c>
      <c r="AJ109" s="76">
        <v>488</v>
      </c>
      <c r="AK109" s="76">
        <v>5515</v>
      </c>
      <c r="AL109" s="76">
        <v>7099</v>
      </c>
      <c r="AM109" s="76" t="b">
        <v>0</v>
      </c>
      <c r="AN109" s="78">
        <v>41808.615625</v>
      </c>
      <c r="AO109" s="76" t="s">
        <v>1542</v>
      </c>
      <c r="AP109" s="76" t="s">
        <v>1656</v>
      </c>
      <c r="AQ109" s="81" t="str">
        <f>HYPERLINK("https://t.co/bl0YdHac8o")</f>
        <v>https://t.co/bl0YdHac8o</v>
      </c>
      <c r="AR109" s="81" t="str">
        <f>HYPERLINK("http://www.brainleaf.com")</f>
        <v>http://www.brainleaf.com</v>
      </c>
      <c r="AS109" s="76" t="s">
        <v>1772</v>
      </c>
      <c r="AT109" s="76"/>
      <c r="AU109" s="76"/>
      <c r="AV109" s="76"/>
      <c r="AW109" s="76"/>
      <c r="AX109" s="81" t="str">
        <f>HYPERLINK("https://t.co/bl0YdHac8o")</f>
        <v>https://t.co/bl0YdHac8o</v>
      </c>
      <c r="AY109" s="76" t="b">
        <v>0</v>
      </c>
      <c r="AZ109" s="76"/>
      <c r="BA109" s="76"/>
      <c r="BB109" s="76" t="b">
        <v>1</v>
      </c>
      <c r="BC109" s="76" t="b">
        <v>1</v>
      </c>
      <c r="BD109" s="76" t="b">
        <v>0</v>
      </c>
      <c r="BE109" s="76" t="b">
        <v>0</v>
      </c>
      <c r="BF109" s="76" t="b">
        <v>1</v>
      </c>
      <c r="BG109" s="76" t="b">
        <v>0</v>
      </c>
      <c r="BH109" s="76" t="b">
        <v>0</v>
      </c>
      <c r="BI109" s="81" t="str">
        <f>HYPERLINK("https://pbs.twimg.com/profile_banners/2574963420/1403108858")</f>
        <v>https://pbs.twimg.com/profile_banners/2574963420/1403108858</v>
      </c>
      <c r="BJ109" s="76"/>
      <c r="BK109" s="76" t="s">
        <v>330</v>
      </c>
      <c r="BL109" s="76" t="b">
        <v>0</v>
      </c>
      <c r="BM109" s="76"/>
      <c r="BN109" s="76" t="s">
        <v>66</v>
      </c>
      <c r="BO109" s="76" t="s">
        <v>332</v>
      </c>
      <c r="BP109" s="97" t="str">
        <f>HYPERLINK("https://twitter.com/brainleafit")</f>
        <v>https://twitter.com/brainleafit</v>
      </c>
      <c r="BQ109" s="45"/>
      <c r="BR109" s="45"/>
      <c r="BS109" s="45"/>
      <c r="BT109" s="45"/>
      <c r="BU109" s="45" t="s">
        <v>839</v>
      </c>
      <c r="BV109" s="45" t="s">
        <v>839</v>
      </c>
      <c r="BW109" s="90" t="s">
        <v>2213</v>
      </c>
      <c r="BX109" s="90" t="s">
        <v>2232</v>
      </c>
      <c r="BY109" s="90" t="s">
        <v>2285</v>
      </c>
      <c r="BZ109" s="90" t="s">
        <v>2301</v>
      </c>
      <c r="CA109" s="75" t="str">
        <f>REPLACE(INDEX(GroupVertices[Group],MATCH("~"&amp;Vertices[[#This Row],[Vertex]],GroupVertices[Vertex],0)),1,1,"")</f>
        <v>7</v>
      </c>
      <c r="CB109" s="2"/>
    </row>
    <row r="110" spans="1:80" ht="34.05" customHeight="1">
      <c r="A110" s="61" t="s">
        <v>699</v>
      </c>
      <c r="C110" s="62"/>
      <c r="D110" s="62"/>
      <c r="E110" s="63"/>
      <c r="F110" s="92"/>
      <c r="G110" s="86" t="str">
        <f>HYPERLINK("https://pbs.twimg.com/profile_images/1305042459773337600/TJng7JnK_normal.jpg")</f>
        <v>https://pbs.twimg.com/profile_images/1305042459773337600/TJng7JnK_normal.jpg</v>
      </c>
      <c r="H110" s="93"/>
      <c r="I110" s="66"/>
      <c r="J110" s="67"/>
      <c r="K110" s="94"/>
      <c r="L110" s="66" t="s">
        <v>1931</v>
      </c>
      <c r="M110" s="95"/>
      <c r="N110" s="71">
        <v>899.5396728515625</v>
      </c>
      <c r="O110" s="71">
        <v>2159.630615234375</v>
      </c>
      <c r="P110" s="72"/>
      <c r="Q110" s="73"/>
      <c r="R110" s="73"/>
      <c r="S110" s="96"/>
      <c r="T110" s="45">
        <v>1</v>
      </c>
      <c r="U110" s="45">
        <v>0</v>
      </c>
      <c r="V110" s="46">
        <v>0</v>
      </c>
      <c r="W110" s="46">
        <v>0.297505</v>
      </c>
      <c r="X110" s="46">
        <v>0.006493</v>
      </c>
      <c r="Y110" s="46">
        <v>0.0057540000000000004</v>
      </c>
      <c r="Z110" s="46">
        <v>0</v>
      </c>
      <c r="AA110" s="46">
        <v>0</v>
      </c>
      <c r="AB110" s="68">
        <v>110</v>
      </c>
      <c r="AC110" s="68"/>
      <c r="AD110" s="69"/>
      <c r="AE110" s="76" t="s">
        <v>1341</v>
      </c>
      <c r="AF110" s="80" t="s">
        <v>1460</v>
      </c>
      <c r="AG110" s="76">
        <v>4</v>
      </c>
      <c r="AH110" s="76">
        <v>29</v>
      </c>
      <c r="AI110" s="76">
        <v>77</v>
      </c>
      <c r="AJ110" s="76">
        <v>0</v>
      </c>
      <c r="AK110" s="76">
        <v>21</v>
      </c>
      <c r="AL110" s="76">
        <v>7</v>
      </c>
      <c r="AM110" s="76" t="b">
        <v>0</v>
      </c>
      <c r="AN110" s="78">
        <v>44087.297534722224</v>
      </c>
      <c r="AO110" s="76"/>
      <c r="AP110" s="76" t="s">
        <v>1657</v>
      </c>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330</v>
      </c>
      <c r="BL110" s="76" t="b">
        <v>0</v>
      </c>
      <c r="BM110" s="76"/>
      <c r="BN110" s="76" t="s">
        <v>65</v>
      </c>
      <c r="BO110" s="76" t="s">
        <v>332</v>
      </c>
      <c r="BP110" s="97" t="str">
        <f>HYPERLINK("https://twitter.com/tonycompton")</f>
        <v>https://twitter.com/tonycompton</v>
      </c>
      <c r="BQ110" s="45"/>
      <c r="BR110" s="45"/>
      <c r="BS110" s="45"/>
      <c r="BT110" s="45"/>
      <c r="BU110" s="45"/>
      <c r="BV110" s="45"/>
      <c r="BW110" s="45"/>
      <c r="BX110" s="45"/>
      <c r="BY110" s="45"/>
      <c r="BZ110" s="45"/>
      <c r="CA110" s="75" t="str">
        <f>REPLACE(INDEX(GroupVertices[Group],MATCH("~"&amp;Vertices[[#This Row],[Vertex]],GroupVertices[Vertex],0)),1,1,"")</f>
        <v>7</v>
      </c>
      <c r="CB110" s="2"/>
    </row>
    <row r="111" spans="1:80" ht="34.05" customHeight="1">
      <c r="A111" s="61" t="s">
        <v>700</v>
      </c>
      <c r="C111" s="62"/>
      <c r="D111" s="62"/>
      <c r="E111" s="63"/>
      <c r="F111" s="92"/>
      <c r="G111" s="86" t="str">
        <f>HYPERLINK("https://pbs.twimg.com/profile_images/1579924966404939804/A3Seaei0_normal.jpg")</f>
        <v>https://pbs.twimg.com/profile_images/1579924966404939804/A3Seaei0_normal.jpg</v>
      </c>
      <c r="H111" s="93"/>
      <c r="I111" s="66"/>
      <c r="J111" s="67"/>
      <c r="K111" s="94"/>
      <c r="L111" s="66" t="s">
        <v>1932</v>
      </c>
      <c r="M111" s="95"/>
      <c r="N111" s="71">
        <v>661.2664184570312</v>
      </c>
      <c r="O111" s="71">
        <v>2562.296142578125</v>
      </c>
      <c r="P111" s="72"/>
      <c r="Q111" s="73"/>
      <c r="R111" s="73"/>
      <c r="S111" s="96"/>
      <c r="T111" s="45">
        <v>1</v>
      </c>
      <c r="U111" s="45">
        <v>0</v>
      </c>
      <c r="V111" s="46">
        <v>0</v>
      </c>
      <c r="W111" s="46">
        <v>0.297505</v>
      </c>
      <c r="X111" s="46">
        <v>0.006493</v>
      </c>
      <c r="Y111" s="46">
        <v>0.0057540000000000004</v>
      </c>
      <c r="Z111" s="46">
        <v>0</v>
      </c>
      <c r="AA111" s="46">
        <v>0</v>
      </c>
      <c r="AB111" s="68">
        <v>111</v>
      </c>
      <c r="AC111" s="68"/>
      <c r="AD111" s="69"/>
      <c r="AE111" s="76" t="s">
        <v>1342</v>
      </c>
      <c r="AF111" s="80" t="s">
        <v>1461</v>
      </c>
      <c r="AG111" s="76">
        <v>137</v>
      </c>
      <c r="AH111" s="76">
        <v>112</v>
      </c>
      <c r="AI111" s="76">
        <v>427</v>
      </c>
      <c r="AJ111" s="76">
        <v>13</v>
      </c>
      <c r="AK111" s="76">
        <v>30</v>
      </c>
      <c r="AL111" s="76">
        <v>179</v>
      </c>
      <c r="AM111" s="76" t="b">
        <v>0</v>
      </c>
      <c r="AN111" s="78">
        <v>41542.08159722222</v>
      </c>
      <c r="AO111" s="76" t="s">
        <v>1543</v>
      </c>
      <c r="AP111" s="76" t="s">
        <v>1658</v>
      </c>
      <c r="AQ111" s="81" t="str">
        <f>HYPERLINK("https://t.co/TGHRlrgf9k")</f>
        <v>https://t.co/TGHRlrgf9k</v>
      </c>
      <c r="AR111" s="81" t="str">
        <f>HYPERLINK("http://www.plvisuals.com")</f>
        <v>http://www.plvisuals.com</v>
      </c>
      <c r="AS111" s="76" t="s">
        <v>436</v>
      </c>
      <c r="AT111" s="81" t="str">
        <f>HYPERLINK("https://t.co/QbL1rHdAya")</f>
        <v>https://t.co/QbL1rHdAya</v>
      </c>
      <c r="AU111" s="81" t="str">
        <f>HYPERLINK("http://plvisuals.com")</f>
        <v>http://plvisuals.com</v>
      </c>
      <c r="AV111" s="76" t="s">
        <v>436</v>
      </c>
      <c r="AW111" s="76"/>
      <c r="AX111" s="81" t="str">
        <f>HYPERLINK("https://t.co/TGHRlrgf9k")</f>
        <v>https://t.co/TGHRlrgf9k</v>
      </c>
      <c r="AY111" s="76" t="b">
        <v>0</v>
      </c>
      <c r="AZ111" s="76"/>
      <c r="BA111" s="76"/>
      <c r="BB111" s="76" t="b">
        <v>0</v>
      </c>
      <c r="BC111" s="76" t="b">
        <v>1</v>
      </c>
      <c r="BD111" s="76" t="b">
        <v>0</v>
      </c>
      <c r="BE111" s="76" t="b">
        <v>0</v>
      </c>
      <c r="BF111" s="76" t="b">
        <v>0</v>
      </c>
      <c r="BG111" s="76" t="b">
        <v>0</v>
      </c>
      <c r="BH111" s="76" t="b">
        <v>0</v>
      </c>
      <c r="BI111" s="81" t="str">
        <f>HYPERLINK("https://pbs.twimg.com/profile_banners/1902456546/1665518476")</f>
        <v>https://pbs.twimg.com/profile_banners/1902456546/1665518476</v>
      </c>
      <c r="BJ111" s="76"/>
      <c r="BK111" s="76" t="s">
        <v>330</v>
      </c>
      <c r="BL111" s="76" t="b">
        <v>0</v>
      </c>
      <c r="BM111" s="76"/>
      <c r="BN111" s="76" t="s">
        <v>65</v>
      </c>
      <c r="BO111" s="76" t="s">
        <v>332</v>
      </c>
      <c r="BP111" s="97" t="str">
        <f>HYPERLINK("https://twitter.com/pennylanevideos")</f>
        <v>https://twitter.com/pennylanevideos</v>
      </c>
      <c r="BQ111" s="45"/>
      <c r="BR111" s="45"/>
      <c r="BS111" s="45"/>
      <c r="BT111" s="45"/>
      <c r="BU111" s="45"/>
      <c r="BV111" s="45"/>
      <c r="BW111" s="45"/>
      <c r="BX111" s="45"/>
      <c r="BY111" s="45"/>
      <c r="BZ111" s="45"/>
      <c r="CA111" s="75" t="str">
        <f>REPLACE(INDEX(GroupVertices[Group],MATCH("~"&amp;Vertices[[#This Row],[Vertex]],GroupVertices[Vertex],0)),1,1,"")</f>
        <v>7</v>
      </c>
      <c r="CB111" s="2"/>
    </row>
    <row r="112" spans="1:80" ht="34.05" customHeight="1">
      <c r="A112" s="61" t="s">
        <v>701</v>
      </c>
      <c r="C112" s="62"/>
      <c r="D112" s="62"/>
      <c r="E112" s="63"/>
      <c r="F112" s="92"/>
      <c r="G112" s="86" t="str">
        <f>HYPERLINK("https://pbs.twimg.com/profile_images/1101562393837002752/-uus6QE__normal.jpg")</f>
        <v>https://pbs.twimg.com/profile_images/1101562393837002752/-uus6QE__normal.jpg</v>
      </c>
      <c r="H112" s="93"/>
      <c r="I112" s="66"/>
      <c r="J112" s="67"/>
      <c r="K112" s="94"/>
      <c r="L112" s="66" t="s">
        <v>1933</v>
      </c>
      <c r="M112" s="95"/>
      <c r="N112" s="71">
        <v>1195.7327880859375</v>
      </c>
      <c r="O112" s="71">
        <v>1760.2269287109375</v>
      </c>
      <c r="P112" s="72"/>
      <c r="Q112" s="73"/>
      <c r="R112" s="73"/>
      <c r="S112" s="96"/>
      <c r="T112" s="45">
        <v>1</v>
      </c>
      <c r="U112" s="45">
        <v>0</v>
      </c>
      <c r="V112" s="46">
        <v>0</v>
      </c>
      <c r="W112" s="46">
        <v>0.297505</v>
      </c>
      <c r="X112" s="46">
        <v>0.006493</v>
      </c>
      <c r="Y112" s="46">
        <v>0.0057540000000000004</v>
      </c>
      <c r="Z112" s="46">
        <v>0</v>
      </c>
      <c r="AA112" s="46">
        <v>0</v>
      </c>
      <c r="AB112" s="68">
        <v>112</v>
      </c>
      <c r="AC112" s="68"/>
      <c r="AD112" s="69"/>
      <c r="AE112" s="76" t="s">
        <v>1343</v>
      </c>
      <c r="AF112" s="80" t="s">
        <v>1462</v>
      </c>
      <c r="AG112" s="76">
        <v>2145</v>
      </c>
      <c r="AH112" s="76">
        <v>2758</v>
      </c>
      <c r="AI112" s="76">
        <v>5998</v>
      </c>
      <c r="AJ112" s="76">
        <v>23</v>
      </c>
      <c r="AK112" s="76">
        <v>3</v>
      </c>
      <c r="AL112" s="76">
        <v>0</v>
      </c>
      <c r="AM112" s="76" t="b">
        <v>0</v>
      </c>
      <c r="AN112" s="78">
        <v>42422.237025462964</v>
      </c>
      <c r="AO112" s="76" t="s">
        <v>311</v>
      </c>
      <c r="AP112" s="76" t="s">
        <v>1659</v>
      </c>
      <c r="AQ112" s="81" t="str">
        <f>HYPERLINK("https://t.co/azDCg2xTiT")</f>
        <v>https://t.co/azDCg2xTiT</v>
      </c>
      <c r="AR112" s="81" t="str">
        <f>HYPERLINK("http://socialcheif.com")</f>
        <v>http://socialcheif.com</v>
      </c>
      <c r="AS112" s="76" t="s">
        <v>1773</v>
      </c>
      <c r="AT112" s="76"/>
      <c r="AU112" s="76"/>
      <c r="AV112" s="76"/>
      <c r="AW112" s="76"/>
      <c r="AX112" s="81" t="str">
        <f>HYPERLINK("https://t.co/azDCg2xTiT")</f>
        <v>https://t.co/azDCg2xTiT</v>
      </c>
      <c r="AY112" s="76" t="b">
        <v>0</v>
      </c>
      <c r="AZ112" s="76"/>
      <c r="BA112" s="76"/>
      <c r="BB112" s="76" t="b">
        <v>0</v>
      </c>
      <c r="BC112" s="76" t="b">
        <v>1</v>
      </c>
      <c r="BD112" s="76" t="b">
        <v>0</v>
      </c>
      <c r="BE112" s="76" t="b">
        <v>0</v>
      </c>
      <c r="BF112" s="76" t="b">
        <v>0</v>
      </c>
      <c r="BG112" s="76" t="b">
        <v>0</v>
      </c>
      <c r="BH112" s="76" t="b">
        <v>0</v>
      </c>
      <c r="BI112" s="81" t="str">
        <f>HYPERLINK("https://pbs.twimg.com/profile_banners/701642905471963136/1495526625")</f>
        <v>https://pbs.twimg.com/profile_banners/701642905471963136/1495526625</v>
      </c>
      <c r="BJ112" s="76"/>
      <c r="BK112" s="76" t="s">
        <v>330</v>
      </c>
      <c r="BL112" s="76" t="b">
        <v>0</v>
      </c>
      <c r="BM112" s="76"/>
      <c r="BN112" s="76" t="s">
        <v>65</v>
      </c>
      <c r="BO112" s="76" t="s">
        <v>332</v>
      </c>
      <c r="BP112" s="97" t="str">
        <f>HYPERLINK("https://twitter.com/av_tms")</f>
        <v>https://twitter.com/av_tms</v>
      </c>
      <c r="BQ112" s="45"/>
      <c r="BR112" s="45"/>
      <c r="BS112" s="45"/>
      <c r="BT112" s="45"/>
      <c r="BU112" s="45"/>
      <c r="BV112" s="45"/>
      <c r="BW112" s="45"/>
      <c r="BX112" s="45"/>
      <c r="BY112" s="45"/>
      <c r="BZ112" s="45"/>
      <c r="CA112" s="75" t="str">
        <f>REPLACE(INDEX(GroupVertices[Group],MATCH("~"&amp;Vertices[[#This Row],[Vertex]],GroupVertices[Vertex],0)),1,1,"")</f>
        <v>7</v>
      </c>
      <c r="CB112" s="2"/>
    </row>
    <row r="113" spans="1:80" ht="34.05" customHeight="1">
      <c r="A113" s="61" t="s">
        <v>702</v>
      </c>
      <c r="C113" s="62"/>
      <c r="D113" s="62"/>
      <c r="E113" s="63"/>
      <c r="F113" s="92"/>
      <c r="G113" s="86" t="str">
        <f>HYPERLINK("https://pbs.twimg.com/profile_images/1493848504833171456/vQaR7qpy_normal.jpg")</f>
        <v>https://pbs.twimg.com/profile_images/1493848504833171456/vQaR7qpy_normal.jpg</v>
      </c>
      <c r="H113" s="93"/>
      <c r="I113" s="66"/>
      <c r="J113" s="67"/>
      <c r="K113" s="94"/>
      <c r="L113" s="66" t="s">
        <v>1934</v>
      </c>
      <c r="M113" s="95"/>
      <c r="N113" s="71">
        <v>7056.4619140625</v>
      </c>
      <c r="O113" s="71">
        <v>677.9999389648438</v>
      </c>
      <c r="P113" s="72"/>
      <c r="Q113" s="73"/>
      <c r="R113" s="73"/>
      <c r="S113" s="96"/>
      <c r="T113" s="45">
        <v>1</v>
      </c>
      <c r="U113" s="45">
        <v>0</v>
      </c>
      <c r="V113" s="46">
        <v>0</v>
      </c>
      <c r="W113" s="46">
        <v>0.33049</v>
      </c>
      <c r="X113" s="46">
        <v>0.018525</v>
      </c>
      <c r="Y113" s="46">
        <v>0.005552</v>
      </c>
      <c r="Z113" s="46">
        <v>0</v>
      </c>
      <c r="AA113" s="46">
        <v>0</v>
      </c>
      <c r="AB113" s="68">
        <v>113</v>
      </c>
      <c r="AC113" s="68"/>
      <c r="AD113" s="69"/>
      <c r="AE113" s="76" t="s">
        <v>1344</v>
      </c>
      <c r="AF113" s="80" t="s">
        <v>1463</v>
      </c>
      <c r="AG113" s="76">
        <v>806</v>
      </c>
      <c r="AH113" s="76">
        <v>910</v>
      </c>
      <c r="AI113" s="76">
        <v>3439</v>
      </c>
      <c r="AJ113" s="76">
        <v>155</v>
      </c>
      <c r="AK113" s="76">
        <v>1352</v>
      </c>
      <c r="AL113" s="76">
        <v>1601</v>
      </c>
      <c r="AM113" s="76" t="b">
        <v>0</v>
      </c>
      <c r="AN113" s="78">
        <v>40702.3130787037</v>
      </c>
      <c r="AO113" s="76"/>
      <c r="AP113" s="76" t="s">
        <v>1660</v>
      </c>
      <c r="AQ113" s="81" t="str">
        <f>HYPERLINK("https://t.co/n6Zftwz7W3")</f>
        <v>https://t.co/n6Zftwz7W3</v>
      </c>
      <c r="AR113" s="81" t="str">
        <f>HYPERLINK("https://bit.ly/3mZJKmK")</f>
        <v>https://bit.ly/3mZJKmK</v>
      </c>
      <c r="AS113" s="76" t="s">
        <v>1774</v>
      </c>
      <c r="AT113" s="76"/>
      <c r="AU113" s="76"/>
      <c r="AV113" s="76"/>
      <c r="AW113" s="76">
        <v>1.61651678449598E+18</v>
      </c>
      <c r="AX113" s="81" t="str">
        <f>HYPERLINK("https://t.co/n6Zftwz7W3")</f>
        <v>https://t.co/n6Zftwz7W3</v>
      </c>
      <c r="AY113" s="76" t="b">
        <v>0</v>
      </c>
      <c r="AZ113" s="76"/>
      <c r="BA113" s="76"/>
      <c r="BB113" s="76" t="b">
        <v>0</v>
      </c>
      <c r="BC113" s="76" t="b">
        <v>1</v>
      </c>
      <c r="BD113" s="76" t="b">
        <v>0</v>
      </c>
      <c r="BE113" s="76" t="b">
        <v>0</v>
      </c>
      <c r="BF113" s="76" t="b">
        <v>1</v>
      </c>
      <c r="BG113" s="76" t="b">
        <v>0</v>
      </c>
      <c r="BH113" s="76" t="b">
        <v>0</v>
      </c>
      <c r="BI113" s="81" t="str">
        <f>HYPERLINK("https://pbs.twimg.com/profile_banners/313167231/1644996220")</f>
        <v>https://pbs.twimg.com/profile_banners/313167231/1644996220</v>
      </c>
      <c r="BJ113" s="76"/>
      <c r="BK113" s="76" t="s">
        <v>330</v>
      </c>
      <c r="BL113" s="76" t="b">
        <v>0</v>
      </c>
      <c r="BM113" s="76"/>
      <c r="BN113" s="76" t="s">
        <v>65</v>
      </c>
      <c r="BO113" s="76" t="s">
        <v>332</v>
      </c>
      <c r="BP113" s="97" t="str">
        <f>HYPERLINK("https://twitter.com/quovantis")</f>
        <v>https://twitter.com/quovantis</v>
      </c>
      <c r="BQ113" s="45"/>
      <c r="BR113" s="45"/>
      <c r="BS113" s="45"/>
      <c r="BT113" s="45"/>
      <c r="BU113" s="45"/>
      <c r="BV113" s="45"/>
      <c r="BW113" s="45"/>
      <c r="BX113" s="45"/>
      <c r="BY113" s="45"/>
      <c r="BZ113" s="45"/>
      <c r="CA113" s="75" t="str">
        <f>REPLACE(INDEX(GroupVertices[Group],MATCH("~"&amp;Vertices[[#This Row],[Vertex]],GroupVertices[Vertex],0)),1,1,"")</f>
        <v>2</v>
      </c>
      <c r="CB113" s="2"/>
    </row>
    <row r="114" spans="1:80" ht="34.05" customHeight="1">
      <c r="A114" s="61" t="s">
        <v>703</v>
      </c>
      <c r="C114" s="62"/>
      <c r="D114" s="62"/>
      <c r="E114" s="63"/>
      <c r="F114" s="92"/>
      <c r="G114" s="86" t="str">
        <f>HYPERLINK("https://pbs.twimg.com/profile_images/1552024761458466816/IeHBFJfa_normal.jpg")</f>
        <v>https://pbs.twimg.com/profile_images/1552024761458466816/IeHBFJfa_normal.jpg</v>
      </c>
      <c r="H114" s="93"/>
      <c r="I114" s="66"/>
      <c r="J114" s="67"/>
      <c r="K114" s="94"/>
      <c r="L114" s="66" t="s">
        <v>1935</v>
      </c>
      <c r="M114" s="95"/>
      <c r="N114" s="71">
        <v>9808.0751953125</v>
      </c>
      <c r="O114" s="71">
        <v>4954.5869140625</v>
      </c>
      <c r="P114" s="72"/>
      <c r="Q114" s="73"/>
      <c r="R114" s="73"/>
      <c r="S114" s="96"/>
      <c r="T114" s="45">
        <v>1</v>
      </c>
      <c r="U114" s="45">
        <v>0</v>
      </c>
      <c r="V114" s="46">
        <v>0</v>
      </c>
      <c r="W114" s="46">
        <v>0.33049</v>
      </c>
      <c r="X114" s="46">
        <v>0.018525</v>
      </c>
      <c r="Y114" s="46">
        <v>0.005552</v>
      </c>
      <c r="Z114" s="46">
        <v>0</v>
      </c>
      <c r="AA114" s="46">
        <v>0</v>
      </c>
      <c r="AB114" s="68">
        <v>114</v>
      </c>
      <c r="AC114" s="68"/>
      <c r="AD114" s="69"/>
      <c r="AE114" s="76" t="s">
        <v>1345</v>
      </c>
      <c r="AF114" s="80" t="s">
        <v>1464</v>
      </c>
      <c r="AG114" s="76">
        <v>1379</v>
      </c>
      <c r="AH114" s="76">
        <v>2508</v>
      </c>
      <c r="AI114" s="76">
        <v>1343</v>
      </c>
      <c r="AJ114" s="76">
        <v>36</v>
      </c>
      <c r="AK114" s="76">
        <v>971</v>
      </c>
      <c r="AL114" s="76">
        <v>548</v>
      </c>
      <c r="AM114" s="76" t="b">
        <v>0</v>
      </c>
      <c r="AN114" s="78">
        <v>41388.76792824074</v>
      </c>
      <c r="AO114" s="76" t="s">
        <v>1544</v>
      </c>
      <c r="AP114" s="76" t="s">
        <v>1661</v>
      </c>
      <c r="AQ114" s="81" t="str">
        <f>HYPERLINK("https://t.co/XFcBKgUNnf")</f>
        <v>https://t.co/XFcBKgUNnf</v>
      </c>
      <c r="AR114" s="81" t="str">
        <f>HYPERLINK("https://redwerk.com/")</f>
        <v>https://redwerk.com/</v>
      </c>
      <c r="AS114" s="76" t="s">
        <v>1775</v>
      </c>
      <c r="AT114" s="76"/>
      <c r="AU114" s="76"/>
      <c r="AV114" s="76"/>
      <c r="AW114" s="76">
        <v>8.87672951872438E+17</v>
      </c>
      <c r="AX114" s="81" t="str">
        <f>HYPERLINK("https://t.co/XFcBKgUNnf")</f>
        <v>https://t.co/XFcBKgUNnf</v>
      </c>
      <c r="AY114" s="76" t="b">
        <v>0</v>
      </c>
      <c r="AZ114" s="76"/>
      <c r="BA114" s="76"/>
      <c r="BB114" s="76" t="b">
        <v>0</v>
      </c>
      <c r="BC114" s="76" t="b">
        <v>1</v>
      </c>
      <c r="BD114" s="76" t="b">
        <v>0</v>
      </c>
      <c r="BE114" s="76" t="b">
        <v>0</v>
      </c>
      <c r="BF114" s="76" t="b">
        <v>0</v>
      </c>
      <c r="BG114" s="76" t="b">
        <v>0</v>
      </c>
      <c r="BH114" s="76" t="b">
        <v>0</v>
      </c>
      <c r="BI114" s="81" t="str">
        <f>HYPERLINK("https://pbs.twimg.com/profile_banners/1377697838/1632487844")</f>
        <v>https://pbs.twimg.com/profile_banners/1377697838/1632487844</v>
      </c>
      <c r="BJ114" s="76"/>
      <c r="BK114" s="76" t="s">
        <v>330</v>
      </c>
      <c r="BL114" s="76" t="b">
        <v>0</v>
      </c>
      <c r="BM114" s="76"/>
      <c r="BN114" s="76" t="s">
        <v>65</v>
      </c>
      <c r="BO114" s="76" t="s">
        <v>332</v>
      </c>
      <c r="BP114" s="97" t="str">
        <f>HYPERLINK("https://twitter.com/redwerk")</f>
        <v>https://twitter.com/redwerk</v>
      </c>
      <c r="BQ114" s="45"/>
      <c r="BR114" s="45"/>
      <c r="BS114" s="45"/>
      <c r="BT114" s="45"/>
      <c r="BU114" s="45"/>
      <c r="BV114" s="45"/>
      <c r="BW114" s="45"/>
      <c r="BX114" s="45"/>
      <c r="BY114" s="45"/>
      <c r="BZ114" s="45"/>
      <c r="CA114" s="75" t="str">
        <f>REPLACE(INDEX(GroupVertices[Group],MATCH("~"&amp;Vertices[[#This Row],[Vertex]],GroupVertices[Vertex],0)),1,1,"")</f>
        <v>2</v>
      </c>
      <c r="CB114" s="2"/>
    </row>
    <row r="115" spans="1:80" ht="34.05" customHeight="1">
      <c r="A115" s="61" t="s">
        <v>704</v>
      </c>
      <c r="C115" s="62"/>
      <c r="D115" s="62"/>
      <c r="E115" s="63"/>
      <c r="F115" s="92"/>
      <c r="G115" s="86" t="str">
        <f>HYPERLINK("https://pbs.twimg.com/profile_images/546202500856946688/Eyu-r1cv_normal.jpeg")</f>
        <v>https://pbs.twimg.com/profile_images/546202500856946688/Eyu-r1cv_normal.jpeg</v>
      </c>
      <c r="H115" s="93"/>
      <c r="I115" s="66"/>
      <c r="J115" s="67"/>
      <c r="K115" s="94"/>
      <c r="L115" s="66" t="s">
        <v>1936</v>
      </c>
      <c r="M115" s="95"/>
      <c r="N115" s="71">
        <v>9385.6630859375</v>
      </c>
      <c r="O115" s="71">
        <v>2522.09521484375</v>
      </c>
      <c r="P115" s="72"/>
      <c r="Q115" s="73"/>
      <c r="R115" s="73"/>
      <c r="S115" s="96"/>
      <c r="T115" s="45">
        <v>1</v>
      </c>
      <c r="U115" s="45">
        <v>0</v>
      </c>
      <c r="V115" s="46">
        <v>0</v>
      </c>
      <c r="W115" s="46">
        <v>0.33049</v>
      </c>
      <c r="X115" s="46">
        <v>0.018525</v>
      </c>
      <c r="Y115" s="46">
        <v>0.005552</v>
      </c>
      <c r="Z115" s="46">
        <v>0</v>
      </c>
      <c r="AA115" s="46">
        <v>0</v>
      </c>
      <c r="AB115" s="68">
        <v>115</v>
      </c>
      <c r="AC115" s="68"/>
      <c r="AD115" s="69"/>
      <c r="AE115" s="76" t="s">
        <v>1346</v>
      </c>
      <c r="AF115" s="80" t="s">
        <v>1465</v>
      </c>
      <c r="AG115" s="76">
        <v>0</v>
      </c>
      <c r="AH115" s="76">
        <v>0</v>
      </c>
      <c r="AI115" s="76">
        <v>0</v>
      </c>
      <c r="AJ115" s="76">
        <v>0</v>
      </c>
      <c r="AK115" s="76">
        <v>0</v>
      </c>
      <c r="AL115" s="76">
        <v>0</v>
      </c>
      <c r="AM115" s="76" t="b">
        <v>0</v>
      </c>
      <c r="AN115" s="78">
        <v>41980.19702546296</v>
      </c>
      <c r="AO115" s="76"/>
      <c r="AP115" s="76"/>
      <c r="AQ115" s="76"/>
      <c r="AR115" s="76"/>
      <c r="AS115" s="76"/>
      <c r="AT115" s="76"/>
      <c r="AU115" s="76"/>
      <c r="AV115" s="76"/>
      <c r="AW115" s="76"/>
      <c r="AX115" s="76"/>
      <c r="AY115" s="76" t="b">
        <v>0</v>
      </c>
      <c r="AZ115" s="76"/>
      <c r="BA115" s="76"/>
      <c r="BB115" s="76" t="b">
        <v>0</v>
      </c>
      <c r="BC115" s="76" t="b">
        <v>1</v>
      </c>
      <c r="BD115" s="76" t="b">
        <v>1</v>
      </c>
      <c r="BE115" s="76" t="b">
        <v>0</v>
      </c>
      <c r="BF115" s="76" t="b">
        <v>0</v>
      </c>
      <c r="BG115" s="76" t="b">
        <v>0</v>
      </c>
      <c r="BH115" s="76" t="b">
        <v>0</v>
      </c>
      <c r="BI115" s="76"/>
      <c r="BJ115" s="76"/>
      <c r="BK115" s="76" t="s">
        <v>330</v>
      </c>
      <c r="BL115" s="76" t="b">
        <v>0</v>
      </c>
      <c r="BM115" s="76"/>
      <c r="BN115" s="76" t="s">
        <v>65</v>
      </c>
      <c r="BO115" s="76" t="s">
        <v>332</v>
      </c>
      <c r="BP115" s="97" t="str">
        <f>HYPERLINK("https://twitter.com/skynet_tv")</f>
        <v>https://twitter.com/skynet_tv</v>
      </c>
      <c r="BQ115" s="45"/>
      <c r="BR115" s="45"/>
      <c r="BS115" s="45"/>
      <c r="BT115" s="45"/>
      <c r="BU115" s="45"/>
      <c r="BV115" s="45"/>
      <c r="BW115" s="45"/>
      <c r="BX115" s="45"/>
      <c r="BY115" s="45"/>
      <c r="BZ115" s="45"/>
      <c r="CA115" s="75" t="str">
        <f>REPLACE(INDEX(GroupVertices[Group],MATCH("~"&amp;Vertices[[#This Row],[Vertex]],GroupVertices[Vertex],0)),1,1,"")</f>
        <v>2</v>
      </c>
      <c r="CB115" s="2"/>
    </row>
    <row r="116" spans="1:80" ht="34.05" customHeight="1">
      <c r="A116" s="61" t="s">
        <v>705</v>
      </c>
      <c r="C116" s="62"/>
      <c r="D116" s="62"/>
      <c r="E116" s="63"/>
      <c r="F116" s="92"/>
      <c r="G116" s="86" t="str">
        <f>HYPERLINK("https://pbs.twimg.com/profile_images/1481962437410791434/ANU1lEfG_normal.png")</f>
        <v>https://pbs.twimg.com/profile_images/1481962437410791434/ANU1lEfG_normal.png</v>
      </c>
      <c r="H116" s="93"/>
      <c r="I116" s="66"/>
      <c r="J116" s="67"/>
      <c r="K116" s="94"/>
      <c r="L116" s="66" t="s">
        <v>1937</v>
      </c>
      <c r="M116" s="95"/>
      <c r="N116" s="71">
        <v>8521.39453125</v>
      </c>
      <c r="O116" s="71">
        <v>1460.79345703125</v>
      </c>
      <c r="P116" s="72"/>
      <c r="Q116" s="73"/>
      <c r="R116" s="73"/>
      <c r="S116" s="96"/>
      <c r="T116" s="45">
        <v>1</v>
      </c>
      <c r="U116" s="45">
        <v>0</v>
      </c>
      <c r="V116" s="46">
        <v>0</v>
      </c>
      <c r="W116" s="46">
        <v>0.33049</v>
      </c>
      <c r="X116" s="46">
        <v>0.018525</v>
      </c>
      <c r="Y116" s="46">
        <v>0.005552</v>
      </c>
      <c r="Z116" s="46">
        <v>0</v>
      </c>
      <c r="AA116" s="46">
        <v>0</v>
      </c>
      <c r="AB116" s="68">
        <v>116</v>
      </c>
      <c r="AC116" s="68"/>
      <c r="AD116" s="69"/>
      <c r="AE116" s="76" t="s">
        <v>1347</v>
      </c>
      <c r="AF116" s="80" t="s">
        <v>1466</v>
      </c>
      <c r="AG116" s="76">
        <v>542</v>
      </c>
      <c r="AH116" s="76">
        <v>440</v>
      </c>
      <c r="AI116" s="76">
        <v>753</v>
      </c>
      <c r="AJ116" s="76">
        <v>6</v>
      </c>
      <c r="AK116" s="76">
        <v>257</v>
      </c>
      <c r="AL116" s="76">
        <v>464</v>
      </c>
      <c r="AM116" s="76" t="b">
        <v>0</v>
      </c>
      <c r="AN116" s="78">
        <v>40497.61478009259</v>
      </c>
      <c r="AO116" s="76" t="s">
        <v>1545</v>
      </c>
      <c r="AP116" s="76" t="s">
        <v>1662</v>
      </c>
      <c r="AQ116" s="81" t="str">
        <f>HYPERLINK("https://t.co/q501ZI3iZ2")</f>
        <v>https://t.co/q501ZI3iZ2</v>
      </c>
      <c r="AR116" s="81" t="str">
        <f>HYPERLINK("http://intexsoft.com")</f>
        <v>http://intexsoft.com</v>
      </c>
      <c r="AS116" s="76" t="s">
        <v>1776</v>
      </c>
      <c r="AT116" s="76"/>
      <c r="AU116" s="76"/>
      <c r="AV116" s="76"/>
      <c r="AW116" s="76"/>
      <c r="AX116" s="81" t="str">
        <f>HYPERLINK("https://t.co/q501ZI3iZ2")</f>
        <v>https://t.co/q501ZI3iZ2</v>
      </c>
      <c r="AY116" s="76" t="b">
        <v>0</v>
      </c>
      <c r="AZ116" s="76"/>
      <c r="BA116" s="76"/>
      <c r="BB116" s="76" t="b">
        <v>1</v>
      </c>
      <c r="BC116" s="76" t="b">
        <v>1</v>
      </c>
      <c r="BD116" s="76" t="b">
        <v>0</v>
      </c>
      <c r="BE116" s="76" t="b">
        <v>0</v>
      </c>
      <c r="BF116" s="76" t="b">
        <v>0</v>
      </c>
      <c r="BG116" s="76" t="b">
        <v>0</v>
      </c>
      <c r="BH116" s="76" t="b">
        <v>0</v>
      </c>
      <c r="BI116" s="81" t="str">
        <f>HYPERLINK("https://pbs.twimg.com/profile_banners/216002023/1656586510")</f>
        <v>https://pbs.twimg.com/profile_banners/216002023/1656586510</v>
      </c>
      <c r="BJ116" s="76"/>
      <c r="BK116" s="76" t="s">
        <v>330</v>
      </c>
      <c r="BL116" s="76" t="b">
        <v>0</v>
      </c>
      <c r="BM116" s="76"/>
      <c r="BN116" s="76" t="s">
        <v>65</v>
      </c>
      <c r="BO116" s="76" t="s">
        <v>332</v>
      </c>
      <c r="BP116" s="97" t="str">
        <f>HYPERLINK("https://twitter.com/intexsoft")</f>
        <v>https://twitter.com/intexsoft</v>
      </c>
      <c r="BQ116" s="45"/>
      <c r="BR116" s="45"/>
      <c r="BS116" s="45"/>
      <c r="BT116" s="45"/>
      <c r="BU116" s="45"/>
      <c r="BV116" s="45"/>
      <c r="BW116" s="45"/>
      <c r="BX116" s="45"/>
      <c r="BY116" s="45"/>
      <c r="BZ116" s="45"/>
      <c r="CA116" s="75" t="str">
        <f>REPLACE(INDEX(GroupVertices[Group],MATCH("~"&amp;Vertices[[#This Row],[Vertex]],GroupVertices[Vertex],0)),1,1,"")</f>
        <v>2</v>
      </c>
      <c r="CB116" s="2"/>
    </row>
    <row r="117" spans="1:80" ht="34.05" customHeight="1">
      <c r="A117" s="61" t="s">
        <v>706</v>
      </c>
      <c r="C117" s="62"/>
      <c r="D117" s="62"/>
      <c r="E117" s="63"/>
      <c r="F117" s="92"/>
      <c r="G117" s="86" t="str">
        <f>HYPERLINK("https://pbs.twimg.com/profile_images/1661480939732516866/UW2j5hnb_normal.jpg")</f>
        <v>https://pbs.twimg.com/profile_images/1661480939732516866/UW2j5hnb_normal.jpg</v>
      </c>
      <c r="H117" s="93"/>
      <c r="I117" s="66"/>
      <c r="J117" s="67"/>
      <c r="K117" s="94"/>
      <c r="L117" s="66" t="s">
        <v>1938</v>
      </c>
      <c r="M117" s="95"/>
      <c r="N117" s="71">
        <v>8741.3974609375</v>
      </c>
      <c r="O117" s="71">
        <v>1684.1800537109375</v>
      </c>
      <c r="P117" s="72"/>
      <c r="Q117" s="73"/>
      <c r="R117" s="73"/>
      <c r="S117" s="96"/>
      <c r="T117" s="45">
        <v>1</v>
      </c>
      <c r="U117" s="45">
        <v>0</v>
      </c>
      <c r="V117" s="46">
        <v>0</v>
      </c>
      <c r="W117" s="46">
        <v>0.33049</v>
      </c>
      <c r="X117" s="46">
        <v>0.018525</v>
      </c>
      <c r="Y117" s="46">
        <v>0.005552</v>
      </c>
      <c r="Z117" s="46">
        <v>0</v>
      </c>
      <c r="AA117" s="46">
        <v>0</v>
      </c>
      <c r="AB117" s="68">
        <v>117</v>
      </c>
      <c r="AC117" s="68"/>
      <c r="AD117" s="69"/>
      <c r="AE117" s="76" t="s">
        <v>1348</v>
      </c>
      <c r="AF117" s="80" t="s">
        <v>1467</v>
      </c>
      <c r="AG117" s="76">
        <v>1567</v>
      </c>
      <c r="AH117" s="76">
        <v>1160</v>
      </c>
      <c r="AI117" s="76">
        <v>5143</v>
      </c>
      <c r="AJ117" s="76">
        <v>79</v>
      </c>
      <c r="AK117" s="76">
        <v>764</v>
      </c>
      <c r="AL117" s="76">
        <v>1473</v>
      </c>
      <c r="AM117" s="76" t="b">
        <v>0</v>
      </c>
      <c r="AN117" s="78">
        <v>40304.81806712963</v>
      </c>
      <c r="AO117" s="76" t="s">
        <v>1546</v>
      </c>
      <c r="AP117" s="76" t="s">
        <v>1663</v>
      </c>
      <c r="AQ117" s="81" t="str">
        <f>HYPERLINK("https://t.co/kB7HiBS3ck")</f>
        <v>https://t.co/kB7HiBS3ck</v>
      </c>
      <c r="AR117" s="81" t="str">
        <f>HYPERLINK("https://www.itexico.com")</f>
        <v>https://www.itexico.com</v>
      </c>
      <c r="AS117" s="76" t="s">
        <v>1777</v>
      </c>
      <c r="AT117" s="76"/>
      <c r="AU117" s="76"/>
      <c r="AV117" s="76"/>
      <c r="AW117" s="76">
        <v>1.3748656884568E+18</v>
      </c>
      <c r="AX117" s="81" t="str">
        <f>HYPERLINK("https://t.co/kB7HiBS3ck")</f>
        <v>https://t.co/kB7HiBS3ck</v>
      </c>
      <c r="AY117" s="76" t="b">
        <v>0</v>
      </c>
      <c r="AZ117" s="76"/>
      <c r="BA117" s="76"/>
      <c r="BB117" s="76" t="b">
        <v>1</v>
      </c>
      <c r="BC117" s="76" t="b">
        <v>0</v>
      </c>
      <c r="BD117" s="76" t="b">
        <v>0</v>
      </c>
      <c r="BE117" s="76" t="b">
        <v>0</v>
      </c>
      <c r="BF117" s="76" t="b">
        <v>1</v>
      </c>
      <c r="BG117" s="76" t="b">
        <v>0</v>
      </c>
      <c r="BH117" s="76" t="b">
        <v>0</v>
      </c>
      <c r="BI117" s="81" t="str">
        <f>HYPERLINK("https://pbs.twimg.com/profile_banners/140945550/1698782797")</f>
        <v>https://pbs.twimg.com/profile_banners/140945550/1698782797</v>
      </c>
      <c r="BJ117" s="76"/>
      <c r="BK117" s="76" t="s">
        <v>330</v>
      </c>
      <c r="BL117" s="76" t="b">
        <v>0</v>
      </c>
      <c r="BM117" s="76"/>
      <c r="BN117" s="76" t="s">
        <v>65</v>
      </c>
      <c r="BO117" s="76" t="s">
        <v>332</v>
      </c>
      <c r="BP117" s="97" t="str">
        <f>HYPERLINK("https://twitter.com/improvingmx")</f>
        <v>https://twitter.com/improvingmx</v>
      </c>
      <c r="BQ117" s="45"/>
      <c r="BR117" s="45"/>
      <c r="BS117" s="45"/>
      <c r="BT117" s="45"/>
      <c r="BU117" s="45"/>
      <c r="BV117" s="45"/>
      <c r="BW117" s="45"/>
      <c r="BX117" s="45"/>
      <c r="BY117" s="45"/>
      <c r="BZ117" s="45"/>
      <c r="CA117" s="75" t="str">
        <f>REPLACE(INDEX(GroupVertices[Group],MATCH("~"&amp;Vertices[[#This Row],[Vertex]],GroupVertices[Vertex],0)),1,1,"")</f>
        <v>2</v>
      </c>
      <c r="CB117" s="2"/>
    </row>
    <row r="118" spans="1:80" ht="34.05" customHeight="1">
      <c r="A118" s="61" t="s">
        <v>707</v>
      </c>
      <c r="C118" s="62"/>
      <c r="D118" s="62"/>
      <c r="E118" s="63"/>
      <c r="F118" s="92"/>
      <c r="G118" s="86" t="str">
        <f>HYPERLINK("https://pbs.twimg.com/profile_images/963715007786569728/Ka6AcKve_normal.jpg")</f>
        <v>https://pbs.twimg.com/profile_images/963715007786569728/Ka6AcKve_normal.jpg</v>
      </c>
      <c r="H118" s="93"/>
      <c r="I118" s="66"/>
      <c r="J118" s="67"/>
      <c r="K118" s="94"/>
      <c r="L118" s="66" t="s">
        <v>1939</v>
      </c>
      <c r="M118" s="95"/>
      <c r="N118" s="71">
        <v>8983.3779296875</v>
      </c>
      <c r="O118" s="71">
        <v>1944.92431640625</v>
      </c>
      <c r="P118" s="72"/>
      <c r="Q118" s="73"/>
      <c r="R118" s="73"/>
      <c r="S118" s="96"/>
      <c r="T118" s="45">
        <v>1</v>
      </c>
      <c r="U118" s="45">
        <v>0</v>
      </c>
      <c r="V118" s="46">
        <v>0</v>
      </c>
      <c r="W118" s="46">
        <v>0.33049</v>
      </c>
      <c r="X118" s="46">
        <v>0.018525</v>
      </c>
      <c r="Y118" s="46">
        <v>0.005552</v>
      </c>
      <c r="Z118" s="46">
        <v>0</v>
      </c>
      <c r="AA118" s="46">
        <v>0</v>
      </c>
      <c r="AB118" s="68">
        <v>118</v>
      </c>
      <c r="AC118" s="68"/>
      <c r="AD118" s="69"/>
      <c r="AE118" s="76" t="s">
        <v>1349</v>
      </c>
      <c r="AF118" s="80" t="s">
        <v>1468</v>
      </c>
      <c r="AG118" s="76">
        <v>143</v>
      </c>
      <c r="AH118" s="76">
        <v>403</v>
      </c>
      <c r="AI118" s="76">
        <v>2407</v>
      </c>
      <c r="AJ118" s="76">
        <v>12</v>
      </c>
      <c r="AK118" s="76">
        <v>122</v>
      </c>
      <c r="AL118" s="76">
        <v>293</v>
      </c>
      <c r="AM118" s="76" t="b">
        <v>0</v>
      </c>
      <c r="AN118" s="78">
        <v>42463.21939814815</v>
      </c>
      <c r="AO118" s="76"/>
      <c r="AP118" s="76" t="s">
        <v>1664</v>
      </c>
      <c r="AQ118" s="81" t="str">
        <f>HYPERLINK("https://t.co/LA30YQnSKL")</f>
        <v>https://t.co/LA30YQnSKL</v>
      </c>
      <c r="AR118" s="81" t="str">
        <f>HYPERLINK("https://www.star-knowledge.com")</f>
        <v>https://www.star-knowledge.com</v>
      </c>
      <c r="AS118" s="76" t="s">
        <v>1778</v>
      </c>
      <c r="AT118" s="76"/>
      <c r="AU118" s="76"/>
      <c r="AV118" s="76"/>
      <c r="AW118" s="76">
        <v>1.29171322965214E+18</v>
      </c>
      <c r="AX118" s="81" t="str">
        <f>HYPERLINK("https://t.co/LA30YQnSKL")</f>
        <v>https://t.co/LA30YQnSKL</v>
      </c>
      <c r="AY118" s="76" t="b">
        <v>0</v>
      </c>
      <c r="AZ118" s="76"/>
      <c r="BA118" s="76"/>
      <c r="BB118" s="76" t="b">
        <v>0</v>
      </c>
      <c r="BC118" s="76" t="b">
        <v>1</v>
      </c>
      <c r="BD118" s="76" t="b">
        <v>0</v>
      </c>
      <c r="BE118" s="76" t="b">
        <v>0</v>
      </c>
      <c r="BF118" s="76" t="b">
        <v>0</v>
      </c>
      <c r="BG118" s="76" t="b">
        <v>0</v>
      </c>
      <c r="BH118" s="76" t="b">
        <v>0</v>
      </c>
      <c r="BI118" s="81" t="str">
        <f>HYPERLINK("https://pbs.twimg.com/profile_banners/716494420888006660/1517918445")</f>
        <v>https://pbs.twimg.com/profile_banners/716494420888006660/1517918445</v>
      </c>
      <c r="BJ118" s="76"/>
      <c r="BK118" s="76" t="s">
        <v>330</v>
      </c>
      <c r="BL118" s="76" t="b">
        <v>0</v>
      </c>
      <c r="BM118" s="76"/>
      <c r="BN118" s="76" t="s">
        <v>65</v>
      </c>
      <c r="BO118" s="76" t="s">
        <v>332</v>
      </c>
      <c r="BP118" s="97" t="str">
        <f>HYPERLINK("https://twitter.com/star_knowledge")</f>
        <v>https://twitter.com/star_knowledge</v>
      </c>
      <c r="BQ118" s="45"/>
      <c r="BR118" s="45"/>
      <c r="BS118" s="45"/>
      <c r="BT118" s="45"/>
      <c r="BU118" s="45"/>
      <c r="BV118" s="45"/>
      <c r="BW118" s="45"/>
      <c r="BX118" s="45"/>
      <c r="BY118" s="45"/>
      <c r="BZ118" s="45"/>
      <c r="CA118" s="75" t="str">
        <f>REPLACE(INDEX(GroupVertices[Group],MATCH("~"&amp;Vertices[[#This Row],[Vertex]],GroupVertices[Vertex],0)),1,1,"")</f>
        <v>2</v>
      </c>
      <c r="CB118" s="2"/>
    </row>
    <row r="119" spans="1:80" ht="34.05" customHeight="1">
      <c r="A119" s="61" t="s">
        <v>708</v>
      </c>
      <c r="C119" s="62"/>
      <c r="D119" s="62"/>
      <c r="E119" s="63"/>
      <c r="F119" s="92"/>
      <c r="G119" s="86" t="str">
        <f>HYPERLINK("https://pbs.twimg.com/profile_images/378800000677725332/99dadbfd957074b303401e8d7fe6c097_normal.png")</f>
        <v>https://pbs.twimg.com/profile_images/378800000677725332/99dadbfd957074b303401e8d7fe6c097_normal.png</v>
      </c>
      <c r="H119" s="93"/>
      <c r="I119" s="66"/>
      <c r="J119" s="67"/>
      <c r="K119" s="94"/>
      <c r="L119" s="66" t="s">
        <v>1940</v>
      </c>
      <c r="M119" s="95"/>
      <c r="N119" s="71">
        <v>6796.11279296875</v>
      </c>
      <c r="O119" s="71">
        <v>651.8880615234375</v>
      </c>
      <c r="P119" s="72"/>
      <c r="Q119" s="73"/>
      <c r="R119" s="73"/>
      <c r="S119" s="96"/>
      <c r="T119" s="45">
        <v>1</v>
      </c>
      <c r="U119" s="45">
        <v>0</v>
      </c>
      <c r="V119" s="46">
        <v>0</v>
      </c>
      <c r="W119" s="46">
        <v>0.33049</v>
      </c>
      <c r="X119" s="46">
        <v>0.018525</v>
      </c>
      <c r="Y119" s="46">
        <v>0.005552</v>
      </c>
      <c r="Z119" s="46">
        <v>0</v>
      </c>
      <c r="AA119" s="46">
        <v>0</v>
      </c>
      <c r="AB119" s="68">
        <v>119</v>
      </c>
      <c r="AC119" s="68"/>
      <c r="AD119" s="69"/>
      <c r="AE119" s="76" t="s">
        <v>1350</v>
      </c>
      <c r="AF119" s="80" t="s">
        <v>1469</v>
      </c>
      <c r="AG119" s="76">
        <v>74</v>
      </c>
      <c r="AH119" s="76">
        <v>1</v>
      </c>
      <c r="AI119" s="76">
        <v>201</v>
      </c>
      <c r="AJ119" s="76">
        <v>0</v>
      </c>
      <c r="AK119" s="76">
        <v>0</v>
      </c>
      <c r="AL119" s="76">
        <v>0</v>
      </c>
      <c r="AM119" s="76" t="b">
        <v>0</v>
      </c>
      <c r="AN119" s="78">
        <v>40236.852858796294</v>
      </c>
      <c r="AO119" s="76" t="s">
        <v>1547</v>
      </c>
      <c r="AP119" s="76" t="s">
        <v>1665</v>
      </c>
      <c r="AQ119" s="81" t="str">
        <f>HYPERLINK("http://t.co/CNyT559TDj")</f>
        <v>http://t.co/CNyT559TDj</v>
      </c>
      <c r="AR119" s="81" t="str">
        <f>HYPERLINK("http://square63.com")</f>
        <v>http://square63.com</v>
      </c>
      <c r="AS119" s="76" t="s">
        <v>1779</v>
      </c>
      <c r="AT119" s="76"/>
      <c r="AU119" s="76"/>
      <c r="AV119" s="76"/>
      <c r="AW119" s="76"/>
      <c r="AX119" s="81" t="str">
        <f>HYPERLINK("http://t.co/CNyT559TDj")</f>
        <v>http://t.co/CNyT559TDj</v>
      </c>
      <c r="AY119" s="76" t="b">
        <v>0</v>
      </c>
      <c r="AZ119" s="76"/>
      <c r="BA119" s="76"/>
      <c r="BB119" s="76" t="b">
        <v>0</v>
      </c>
      <c r="BC119" s="76" t="b">
        <v>1</v>
      </c>
      <c r="BD119" s="76" t="b">
        <v>0</v>
      </c>
      <c r="BE119" s="76" t="b">
        <v>0</v>
      </c>
      <c r="BF119" s="76" t="b">
        <v>0</v>
      </c>
      <c r="BG119" s="76" t="b">
        <v>0</v>
      </c>
      <c r="BH119" s="76" t="b">
        <v>0</v>
      </c>
      <c r="BI119" s="76"/>
      <c r="BJ119" s="76"/>
      <c r="BK119" s="76" t="s">
        <v>330</v>
      </c>
      <c r="BL119" s="76" t="b">
        <v>0</v>
      </c>
      <c r="BM119" s="76"/>
      <c r="BN119" s="76" t="s">
        <v>65</v>
      </c>
      <c r="BO119" s="76" t="s">
        <v>332</v>
      </c>
      <c r="BP119" s="97" t="str">
        <f>HYPERLINK("https://twitter.com/square63")</f>
        <v>https://twitter.com/square63</v>
      </c>
      <c r="BQ119" s="45"/>
      <c r="BR119" s="45"/>
      <c r="BS119" s="45"/>
      <c r="BT119" s="45"/>
      <c r="BU119" s="45"/>
      <c r="BV119" s="45"/>
      <c r="BW119" s="45"/>
      <c r="BX119" s="45"/>
      <c r="BY119" s="45"/>
      <c r="BZ119" s="45"/>
      <c r="CA119" s="75" t="str">
        <f>REPLACE(INDEX(GroupVertices[Group],MATCH("~"&amp;Vertices[[#This Row],[Vertex]],GroupVertices[Vertex],0)),1,1,"")</f>
        <v>2</v>
      </c>
      <c r="CB119" s="2"/>
    </row>
    <row r="120" spans="1:80" ht="34.05" customHeight="1">
      <c r="A120" s="61" t="s">
        <v>709</v>
      </c>
      <c r="C120" s="62"/>
      <c r="D120" s="62"/>
      <c r="E120" s="63"/>
      <c r="F120" s="92"/>
      <c r="G120" s="86" t="str">
        <f>HYPERLINK("https://pbs.twimg.com/profile_images/445803776637538304/xOkVCqbt_normal.png")</f>
        <v>https://pbs.twimg.com/profile_images/445803776637538304/xOkVCqbt_normal.png</v>
      </c>
      <c r="H120" s="93"/>
      <c r="I120" s="66"/>
      <c r="J120" s="67"/>
      <c r="K120" s="94"/>
      <c r="L120" s="66" t="s">
        <v>1941</v>
      </c>
      <c r="M120" s="95"/>
      <c r="N120" s="71">
        <v>9642.814453125</v>
      </c>
      <c r="O120" s="71">
        <v>2932.007080078125</v>
      </c>
      <c r="P120" s="72"/>
      <c r="Q120" s="73"/>
      <c r="R120" s="73"/>
      <c r="S120" s="96"/>
      <c r="T120" s="45">
        <v>1</v>
      </c>
      <c r="U120" s="45">
        <v>0</v>
      </c>
      <c r="V120" s="46">
        <v>0</v>
      </c>
      <c r="W120" s="46">
        <v>0.33049</v>
      </c>
      <c r="X120" s="46">
        <v>0.018525</v>
      </c>
      <c r="Y120" s="46">
        <v>0.005552</v>
      </c>
      <c r="Z120" s="46">
        <v>0</v>
      </c>
      <c r="AA120" s="46">
        <v>0</v>
      </c>
      <c r="AB120" s="68">
        <v>120</v>
      </c>
      <c r="AC120" s="68"/>
      <c r="AD120" s="69"/>
      <c r="AE120" s="76" t="s">
        <v>1351</v>
      </c>
      <c r="AF120" s="80" t="s">
        <v>1470</v>
      </c>
      <c r="AG120" s="76">
        <v>666</v>
      </c>
      <c r="AH120" s="76">
        <v>5</v>
      </c>
      <c r="AI120" s="76">
        <v>1134</v>
      </c>
      <c r="AJ120" s="76">
        <v>51</v>
      </c>
      <c r="AK120" s="76">
        <v>48</v>
      </c>
      <c r="AL120" s="76">
        <v>281</v>
      </c>
      <c r="AM120" s="76" t="b">
        <v>0</v>
      </c>
      <c r="AN120" s="78">
        <v>41653.70457175926</v>
      </c>
      <c r="AO120" s="76" t="s">
        <v>291</v>
      </c>
      <c r="AP120" s="76" t="s">
        <v>1666</v>
      </c>
      <c r="AQ120" s="81" t="str">
        <f>HYPERLINK("http://t.co/NVAmWWkkfX")</f>
        <v>http://t.co/NVAmWWkkfX</v>
      </c>
      <c r="AR120" s="81" t="str">
        <f>HYPERLINK("http://digitbazar.com/")</f>
        <v>http://digitbazar.com/</v>
      </c>
      <c r="AS120" s="76" t="s">
        <v>1780</v>
      </c>
      <c r="AT120" s="76"/>
      <c r="AU120" s="76"/>
      <c r="AV120" s="76"/>
      <c r="AW120" s="76"/>
      <c r="AX120" s="81" t="str">
        <f>HYPERLINK("http://t.co/NVAmWWkkfX")</f>
        <v>http://t.co/NVAmWWkkfX</v>
      </c>
      <c r="AY120" s="76" t="b">
        <v>0</v>
      </c>
      <c r="AZ120" s="76"/>
      <c r="BA120" s="76"/>
      <c r="BB120" s="76" t="b">
        <v>0</v>
      </c>
      <c r="BC120" s="76" t="b">
        <v>1</v>
      </c>
      <c r="BD120" s="76" t="b">
        <v>0</v>
      </c>
      <c r="BE120" s="76" t="b">
        <v>0</v>
      </c>
      <c r="BF120" s="76" t="b">
        <v>0</v>
      </c>
      <c r="BG120" s="76" t="b">
        <v>0</v>
      </c>
      <c r="BH120" s="76" t="b">
        <v>0</v>
      </c>
      <c r="BI120" s="81" t="str">
        <f>HYPERLINK("https://pbs.twimg.com/profile_banners/2291416165/1423032418")</f>
        <v>https://pbs.twimg.com/profile_banners/2291416165/1423032418</v>
      </c>
      <c r="BJ120" s="76"/>
      <c r="BK120" s="76" t="s">
        <v>330</v>
      </c>
      <c r="BL120" s="76" t="b">
        <v>0</v>
      </c>
      <c r="BM120" s="76"/>
      <c r="BN120" s="76" t="s">
        <v>65</v>
      </c>
      <c r="BO120" s="76" t="s">
        <v>332</v>
      </c>
      <c r="BP120" s="97" t="str">
        <f>HYPERLINK("https://twitter.com/digitbazar")</f>
        <v>https://twitter.com/digitbazar</v>
      </c>
      <c r="BQ120" s="45"/>
      <c r="BR120" s="45"/>
      <c r="BS120" s="45"/>
      <c r="BT120" s="45"/>
      <c r="BU120" s="45"/>
      <c r="BV120" s="45"/>
      <c r="BW120" s="45"/>
      <c r="BX120" s="45"/>
      <c r="BY120" s="45"/>
      <c r="BZ120" s="45"/>
      <c r="CA120" s="75" t="str">
        <f>REPLACE(INDEX(GroupVertices[Group],MATCH("~"&amp;Vertices[[#This Row],[Vertex]],GroupVertices[Vertex],0)),1,1,"")</f>
        <v>2</v>
      </c>
      <c r="CB120" s="2"/>
    </row>
    <row r="121" spans="1:80" ht="34.05" customHeight="1">
      <c r="A121" s="61" t="s">
        <v>710</v>
      </c>
      <c r="C121" s="62"/>
      <c r="D121" s="62"/>
      <c r="E121" s="63"/>
      <c r="F121" s="92"/>
      <c r="G121" s="86" t="str">
        <f>HYPERLINK("https://pbs.twimg.com/profile_images/440412698073776128/FmffSpXH_normal.png")</f>
        <v>https://pbs.twimg.com/profile_images/440412698073776128/FmffSpXH_normal.png</v>
      </c>
      <c r="H121" s="93"/>
      <c r="I121" s="66"/>
      <c r="J121" s="67"/>
      <c r="K121" s="94"/>
      <c r="L121" s="66" t="s">
        <v>1942</v>
      </c>
      <c r="M121" s="95"/>
      <c r="N121" s="71">
        <v>9878.5078125</v>
      </c>
      <c r="O121" s="71">
        <v>4432.06787109375</v>
      </c>
      <c r="P121" s="72"/>
      <c r="Q121" s="73"/>
      <c r="R121" s="73"/>
      <c r="S121" s="96"/>
      <c r="T121" s="45">
        <v>1</v>
      </c>
      <c r="U121" s="45">
        <v>0</v>
      </c>
      <c r="V121" s="46">
        <v>0</v>
      </c>
      <c r="W121" s="46">
        <v>0.33049</v>
      </c>
      <c r="X121" s="46">
        <v>0.018525</v>
      </c>
      <c r="Y121" s="46">
        <v>0.005552</v>
      </c>
      <c r="Z121" s="46">
        <v>0</v>
      </c>
      <c r="AA121" s="46">
        <v>0</v>
      </c>
      <c r="AB121" s="68">
        <v>121</v>
      </c>
      <c r="AC121" s="68"/>
      <c r="AD121" s="69"/>
      <c r="AE121" s="76" t="s">
        <v>1352</v>
      </c>
      <c r="AF121" s="80" t="s">
        <v>1471</v>
      </c>
      <c r="AG121" s="76">
        <v>4396</v>
      </c>
      <c r="AH121" s="76">
        <v>16</v>
      </c>
      <c r="AI121" s="76">
        <v>1035</v>
      </c>
      <c r="AJ121" s="76">
        <v>10</v>
      </c>
      <c r="AK121" s="76">
        <v>0</v>
      </c>
      <c r="AL121" s="76">
        <v>6</v>
      </c>
      <c r="AM121" s="76" t="b">
        <v>0</v>
      </c>
      <c r="AN121" s="78">
        <v>40568.578935185185</v>
      </c>
      <c r="AO121" s="76" t="s">
        <v>425</v>
      </c>
      <c r="AP121" s="76" t="s">
        <v>1667</v>
      </c>
      <c r="AQ121" s="81" t="str">
        <f>HYPERLINK("https://t.co/Z1qg9nUVDo")</f>
        <v>https://t.co/Z1qg9nUVDo</v>
      </c>
      <c r="AR121" s="81" t="str">
        <f>HYPERLINK("https://www.nichetechsolutions.com/")</f>
        <v>https://www.nichetechsolutions.com/</v>
      </c>
      <c r="AS121" s="76" t="s">
        <v>1781</v>
      </c>
      <c r="AT121" s="76"/>
      <c r="AU121" s="76"/>
      <c r="AV121" s="76"/>
      <c r="AW121" s="76"/>
      <c r="AX121" s="81" t="str">
        <f>HYPERLINK("https://t.co/Z1qg9nUVDo")</f>
        <v>https://t.co/Z1qg9nUVDo</v>
      </c>
      <c r="AY121" s="76" t="b">
        <v>0</v>
      </c>
      <c r="AZ121" s="76"/>
      <c r="BA121" s="76"/>
      <c r="BB121" s="76" t="b">
        <v>0</v>
      </c>
      <c r="BC121" s="76" t="b">
        <v>1</v>
      </c>
      <c r="BD121" s="76" t="b">
        <v>0</v>
      </c>
      <c r="BE121" s="76" t="b">
        <v>0</v>
      </c>
      <c r="BF121" s="76" t="b">
        <v>0</v>
      </c>
      <c r="BG121" s="76" t="b">
        <v>0</v>
      </c>
      <c r="BH121" s="76" t="b">
        <v>0</v>
      </c>
      <c r="BI121" s="81" t="str">
        <f>HYPERLINK("https://pbs.twimg.com/profile_banners/242740911/1409941576")</f>
        <v>https://pbs.twimg.com/profile_banners/242740911/1409941576</v>
      </c>
      <c r="BJ121" s="76"/>
      <c r="BK121" s="76" t="s">
        <v>330</v>
      </c>
      <c r="BL121" s="76" t="b">
        <v>0</v>
      </c>
      <c r="BM121" s="76"/>
      <c r="BN121" s="76" t="s">
        <v>65</v>
      </c>
      <c r="BO121" s="76" t="s">
        <v>332</v>
      </c>
      <c r="BP121" s="97" t="str">
        <f>HYPERLINK("https://twitter.com/nichetechsol")</f>
        <v>https://twitter.com/nichetechsol</v>
      </c>
      <c r="BQ121" s="45"/>
      <c r="BR121" s="45"/>
      <c r="BS121" s="45"/>
      <c r="BT121" s="45"/>
      <c r="BU121" s="45"/>
      <c r="BV121" s="45"/>
      <c r="BW121" s="45"/>
      <c r="BX121" s="45"/>
      <c r="BY121" s="45"/>
      <c r="BZ121" s="45"/>
      <c r="CA121" s="75" t="str">
        <f>REPLACE(INDEX(GroupVertices[Group],MATCH("~"&amp;Vertices[[#This Row],[Vertex]],GroupVertices[Vertex],0)),1,1,"")</f>
        <v>2</v>
      </c>
      <c r="CB121" s="2"/>
    </row>
    <row r="122" spans="1:80" ht="34.05" customHeight="1">
      <c r="A122" s="61" t="s">
        <v>711</v>
      </c>
      <c r="C122" s="62"/>
      <c r="D122" s="62"/>
      <c r="E122" s="63"/>
      <c r="F122" s="92"/>
      <c r="G122" s="86" t="str">
        <f>HYPERLINK("https://pbs.twimg.com/profile_images/742712387942371328/hWFsazyj_normal.jpg")</f>
        <v>https://pbs.twimg.com/profile_images/742712387942371328/hWFsazyj_normal.jpg</v>
      </c>
      <c r="H122" s="93"/>
      <c r="I122" s="66"/>
      <c r="J122" s="67"/>
      <c r="K122" s="94"/>
      <c r="L122" s="66" t="s">
        <v>1943</v>
      </c>
      <c r="M122" s="95"/>
      <c r="N122" s="71">
        <v>7763.291015625</v>
      </c>
      <c r="O122" s="71">
        <v>932.5462646484375</v>
      </c>
      <c r="P122" s="72"/>
      <c r="Q122" s="73"/>
      <c r="R122" s="73"/>
      <c r="S122" s="96"/>
      <c r="T122" s="45">
        <v>1</v>
      </c>
      <c r="U122" s="45">
        <v>0</v>
      </c>
      <c r="V122" s="46">
        <v>0</v>
      </c>
      <c r="W122" s="46">
        <v>0.33049</v>
      </c>
      <c r="X122" s="46">
        <v>0.018525</v>
      </c>
      <c r="Y122" s="46">
        <v>0.005552</v>
      </c>
      <c r="Z122" s="46">
        <v>0</v>
      </c>
      <c r="AA122" s="46">
        <v>0</v>
      </c>
      <c r="AB122" s="68">
        <v>122</v>
      </c>
      <c r="AC122" s="68"/>
      <c r="AD122" s="69"/>
      <c r="AE122" s="76" t="s">
        <v>1353</v>
      </c>
      <c r="AF122" s="80" t="s">
        <v>1472</v>
      </c>
      <c r="AG122" s="76">
        <v>2065</v>
      </c>
      <c r="AH122" s="76">
        <v>2554</v>
      </c>
      <c r="AI122" s="76">
        <v>5380</v>
      </c>
      <c r="AJ122" s="76">
        <v>304</v>
      </c>
      <c r="AK122" s="76">
        <v>116</v>
      </c>
      <c r="AL122" s="76">
        <v>1424</v>
      </c>
      <c r="AM122" s="76" t="b">
        <v>0</v>
      </c>
      <c r="AN122" s="78">
        <v>40006.14208333333</v>
      </c>
      <c r="AO122" s="76" t="s">
        <v>1548</v>
      </c>
      <c r="AP122" s="76" t="s">
        <v>1668</v>
      </c>
      <c r="AQ122" s="81" t="str">
        <f>HYPERLINK("https://t.co/GtfmPUrTFt")</f>
        <v>https://t.co/GtfmPUrTFt</v>
      </c>
      <c r="AR122" s="81" t="str">
        <f>HYPERLINK("https://pointclearsolutions.com/")</f>
        <v>https://pointclearsolutions.com/</v>
      </c>
      <c r="AS122" s="76" t="s">
        <v>1782</v>
      </c>
      <c r="AT122" s="76"/>
      <c r="AU122" s="76"/>
      <c r="AV122" s="76"/>
      <c r="AW122" s="76"/>
      <c r="AX122" s="81" t="str">
        <f>HYPERLINK("https://t.co/GtfmPUrTFt")</f>
        <v>https://t.co/GtfmPUrTFt</v>
      </c>
      <c r="AY122" s="76" t="b">
        <v>0</v>
      </c>
      <c r="AZ122" s="76"/>
      <c r="BA122" s="76"/>
      <c r="BB122" s="76" t="b">
        <v>0</v>
      </c>
      <c r="BC122" s="76" t="b">
        <v>1</v>
      </c>
      <c r="BD122" s="76" t="b">
        <v>0</v>
      </c>
      <c r="BE122" s="76" t="b">
        <v>0</v>
      </c>
      <c r="BF122" s="76" t="b">
        <v>0</v>
      </c>
      <c r="BG122" s="76" t="b">
        <v>0</v>
      </c>
      <c r="BH122" s="76" t="b">
        <v>0</v>
      </c>
      <c r="BI122" s="81" t="str">
        <f>HYPERLINK("https://pbs.twimg.com/profile_banners/56006076/1465911389")</f>
        <v>https://pbs.twimg.com/profile_banners/56006076/1465911389</v>
      </c>
      <c r="BJ122" s="76"/>
      <c r="BK122" s="76" t="s">
        <v>330</v>
      </c>
      <c r="BL122" s="76" t="b">
        <v>0</v>
      </c>
      <c r="BM122" s="76"/>
      <c r="BN122" s="76" t="s">
        <v>65</v>
      </c>
      <c r="BO122" s="76" t="s">
        <v>332</v>
      </c>
      <c r="BP122" s="97" t="str">
        <f>HYPERLINK("https://twitter.com/worryfreelabs")</f>
        <v>https://twitter.com/worryfreelabs</v>
      </c>
      <c r="BQ122" s="45"/>
      <c r="BR122" s="45"/>
      <c r="BS122" s="45"/>
      <c r="BT122" s="45"/>
      <c r="BU122" s="45"/>
      <c r="BV122" s="45"/>
      <c r="BW122" s="45"/>
      <c r="BX122" s="45"/>
      <c r="BY122" s="45"/>
      <c r="BZ122" s="45"/>
      <c r="CA122" s="75" t="str">
        <f>REPLACE(INDEX(GroupVertices[Group],MATCH("~"&amp;Vertices[[#This Row],[Vertex]],GroupVertices[Vertex],0)),1,1,"")</f>
        <v>2</v>
      </c>
      <c r="CB122" s="2"/>
    </row>
    <row r="123" spans="1:80" ht="34.05" customHeight="1">
      <c r="A123" s="61" t="s">
        <v>712</v>
      </c>
      <c r="C123" s="62"/>
      <c r="D123" s="62"/>
      <c r="E123" s="63"/>
      <c r="F123" s="92"/>
      <c r="G123" s="86" t="str">
        <f>HYPERLINK("https://pbs.twimg.com/profile_images/1392395867974340612/ZCwQmqu2_normal.jpg")</f>
        <v>https://pbs.twimg.com/profile_images/1392395867974340612/ZCwQmqu2_normal.jpg</v>
      </c>
      <c r="H123" s="93"/>
      <c r="I123" s="66"/>
      <c r="J123" s="67"/>
      <c r="K123" s="94"/>
      <c r="L123" s="66" t="s">
        <v>1944</v>
      </c>
      <c r="M123" s="95"/>
      <c r="N123" s="71">
        <v>8247.21875</v>
      </c>
      <c r="O123" s="71">
        <v>1337.4444580078125</v>
      </c>
      <c r="P123" s="72"/>
      <c r="Q123" s="73"/>
      <c r="R123" s="73"/>
      <c r="S123" s="96"/>
      <c r="T123" s="45">
        <v>1</v>
      </c>
      <c r="U123" s="45">
        <v>0</v>
      </c>
      <c r="V123" s="46">
        <v>0</v>
      </c>
      <c r="W123" s="46">
        <v>0.33049</v>
      </c>
      <c r="X123" s="46">
        <v>0.018525</v>
      </c>
      <c r="Y123" s="46">
        <v>0.005552</v>
      </c>
      <c r="Z123" s="46">
        <v>0</v>
      </c>
      <c r="AA123" s="46">
        <v>0</v>
      </c>
      <c r="AB123" s="68">
        <v>123</v>
      </c>
      <c r="AC123" s="68"/>
      <c r="AD123" s="69"/>
      <c r="AE123" s="76" t="s">
        <v>1354</v>
      </c>
      <c r="AF123" s="80" t="s">
        <v>1473</v>
      </c>
      <c r="AG123" s="76">
        <v>288</v>
      </c>
      <c r="AH123" s="76">
        <v>69</v>
      </c>
      <c r="AI123" s="76">
        <v>1080</v>
      </c>
      <c r="AJ123" s="76">
        <v>59</v>
      </c>
      <c r="AK123" s="76">
        <v>207</v>
      </c>
      <c r="AL123" s="76">
        <v>655</v>
      </c>
      <c r="AM123" s="76" t="b">
        <v>0</v>
      </c>
      <c r="AN123" s="78">
        <v>41379.61859953704</v>
      </c>
      <c r="AO123" s="76" t="s">
        <v>1549</v>
      </c>
      <c r="AP123" s="76" t="s">
        <v>1669</v>
      </c>
      <c r="AQ123" s="81" t="str">
        <f>HYPERLINK("https://t.co/YG0oK1X5sB")</f>
        <v>https://t.co/YG0oK1X5sB</v>
      </c>
      <c r="AR123" s="81" t="str">
        <f>HYPERLINK("https://www.goodworklabs.com/")</f>
        <v>https://www.goodworklabs.com/</v>
      </c>
      <c r="AS123" s="76" t="s">
        <v>1783</v>
      </c>
      <c r="AT123" s="76"/>
      <c r="AU123" s="76"/>
      <c r="AV123" s="76"/>
      <c r="AW123" s="76"/>
      <c r="AX123" s="81" t="str">
        <f>HYPERLINK("https://t.co/YG0oK1X5sB")</f>
        <v>https://t.co/YG0oK1X5sB</v>
      </c>
      <c r="AY123" s="76" t="b">
        <v>0</v>
      </c>
      <c r="AZ123" s="76"/>
      <c r="BA123" s="76"/>
      <c r="BB123" s="76" t="b">
        <v>0</v>
      </c>
      <c r="BC123" s="76" t="b">
        <v>1</v>
      </c>
      <c r="BD123" s="76" t="b">
        <v>0</v>
      </c>
      <c r="BE123" s="76" t="b">
        <v>0</v>
      </c>
      <c r="BF123" s="76" t="b">
        <v>0</v>
      </c>
      <c r="BG123" s="76" t="b">
        <v>0</v>
      </c>
      <c r="BH123" s="76" t="b">
        <v>0</v>
      </c>
      <c r="BI123" s="81" t="str">
        <f>HYPERLINK("https://pbs.twimg.com/profile_banners/1354543874/1684307563")</f>
        <v>https://pbs.twimg.com/profile_banners/1354543874/1684307563</v>
      </c>
      <c r="BJ123" s="76"/>
      <c r="BK123" s="76" t="s">
        <v>330</v>
      </c>
      <c r="BL123" s="76" t="b">
        <v>0</v>
      </c>
      <c r="BM123" s="76"/>
      <c r="BN123" s="76" t="s">
        <v>65</v>
      </c>
      <c r="BO123" s="76" t="s">
        <v>332</v>
      </c>
      <c r="BP123" s="97" t="str">
        <f>HYPERLINK("https://twitter.com/goodworklabs")</f>
        <v>https://twitter.com/goodworklabs</v>
      </c>
      <c r="BQ123" s="45"/>
      <c r="BR123" s="45"/>
      <c r="BS123" s="45"/>
      <c r="BT123" s="45"/>
      <c r="BU123" s="45"/>
      <c r="BV123" s="45"/>
      <c r="BW123" s="45"/>
      <c r="BX123" s="45"/>
      <c r="BY123" s="45"/>
      <c r="BZ123" s="45"/>
      <c r="CA123" s="75" t="str">
        <f>REPLACE(INDEX(GroupVertices[Group],MATCH("~"&amp;Vertices[[#This Row],[Vertex]],GroupVertices[Vertex],0)),1,1,"")</f>
        <v>2</v>
      </c>
      <c r="CB123" s="2"/>
    </row>
    <row r="124" spans="1:80" ht="34.05" customHeight="1">
      <c r="A124" s="61" t="s">
        <v>713</v>
      </c>
      <c r="C124" s="62"/>
      <c r="D124" s="62"/>
      <c r="E124" s="63"/>
      <c r="F124" s="92"/>
      <c r="G124" s="86" t="str">
        <f>HYPERLINK("https://pbs.twimg.com/profile_images/747537511367479298/S1DpZnL2_normal.jpg")</f>
        <v>https://pbs.twimg.com/profile_images/747537511367479298/S1DpZnL2_normal.jpg</v>
      </c>
      <c r="H124" s="93"/>
      <c r="I124" s="66"/>
      <c r="J124" s="67"/>
      <c r="K124" s="94"/>
      <c r="L124" s="66" t="s">
        <v>1945</v>
      </c>
      <c r="M124" s="95"/>
      <c r="N124" s="71">
        <v>8001.82763671875</v>
      </c>
      <c r="O124" s="71">
        <v>1185.5267333984375</v>
      </c>
      <c r="P124" s="72"/>
      <c r="Q124" s="73"/>
      <c r="R124" s="73"/>
      <c r="S124" s="96"/>
      <c r="T124" s="45">
        <v>1</v>
      </c>
      <c r="U124" s="45">
        <v>0</v>
      </c>
      <c r="V124" s="46">
        <v>0</v>
      </c>
      <c r="W124" s="46">
        <v>0.33049</v>
      </c>
      <c r="X124" s="46">
        <v>0.018525</v>
      </c>
      <c r="Y124" s="46">
        <v>0.005552</v>
      </c>
      <c r="Z124" s="46">
        <v>0</v>
      </c>
      <c r="AA124" s="46">
        <v>0</v>
      </c>
      <c r="AB124" s="68">
        <v>124</v>
      </c>
      <c r="AC124" s="68"/>
      <c r="AD124" s="69"/>
      <c r="AE124" s="76" t="s">
        <v>1355</v>
      </c>
      <c r="AF124" s="80" t="s">
        <v>1474</v>
      </c>
      <c r="AG124" s="76">
        <v>934</v>
      </c>
      <c r="AH124" s="76">
        <v>328</v>
      </c>
      <c r="AI124" s="76">
        <v>1913</v>
      </c>
      <c r="AJ124" s="76">
        <v>127</v>
      </c>
      <c r="AK124" s="76">
        <v>478</v>
      </c>
      <c r="AL124" s="76">
        <v>389</v>
      </c>
      <c r="AM124" s="76" t="b">
        <v>0</v>
      </c>
      <c r="AN124" s="78">
        <v>39995.95017361111</v>
      </c>
      <c r="AO124" s="76" t="s">
        <v>1550</v>
      </c>
      <c r="AP124" s="76" t="s">
        <v>1670</v>
      </c>
      <c r="AQ124" s="81" t="str">
        <f>HYPERLINK("https://t.co/eUUFTFeaVw")</f>
        <v>https://t.co/eUUFTFeaVw</v>
      </c>
      <c r="AR124" s="81" t="str">
        <f>HYPERLINK("https://domandtom.com")</f>
        <v>https://domandtom.com</v>
      </c>
      <c r="AS124" s="76" t="s">
        <v>1784</v>
      </c>
      <c r="AT124" s="76"/>
      <c r="AU124" s="76"/>
      <c r="AV124" s="76"/>
      <c r="AW124" s="76"/>
      <c r="AX124" s="81" t="str">
        <f>HYPERLINK("https://t.co/eUUFTFeaVw")</f>
        <v>https://t.co/eUUFTFeaVw</v>
      </c>
      <c r="AY124" s="76" t="b">
        <v>0</v>
      </c>
      <c r="AZ124" s="76"/>
      <c r="BA124" s="76"/>
      <c r="BB124" s="76" t="b">
        <v>1</v>
      </c>
      <c r="BC124" s="76" t="b">
        <v>1</v>
      </c>
      <c r="BD124" s="76" t="b">
        <v>0</v>
      </c>
      <c r="BE124" s="76" t="b">
        <v>0</v>
      </c>
      <c r="BF124" s="76" t="b">
        <v>0</v>
      </c>
      <c r="BG124" s="76" t="b">
        <v>0</v>
      </c>
      <c r="BH124" s="76" t="b">
        <v>0</v>
      </c>
      <c r="BI124" s="81" t="str">
        <f>HYPERLINK("https://pbs.twimg.com/profile_banners/52878977/1499973855")</f>
        <v>https://pbs.twimg.com/profile_banners/52878977/1499973855</v>
      </c>
      <c r="BJ124" s="76"/>
      <c r="BK124" s="76" t="s">
        <v>330</v>
      </c>
      <c r="BL124" s="76" t="b">
        <v>0</v>
      </c>
      <c r="BM124" s="76"/>
      <c r="BN124" s="76" t="s">
        <v>65</v>
      </c>
      <c r="BO124" s="76" t="s">
        <v>332</v>
      </c>
      <c r="BP124" s="97" t="str">
        <f>HYPERLINK("https://twitter.com/dom_and_tom")</f>
        <v>https://twitter.com/dom_and_tom</v>
      </c>
      <c r="BQ124" s="45"/>
      <c r="BR124" s="45"/>
      <c r="BS124" s="45"/>
      <c r="BT124" s="45"/>
      <c r="BU124" s="45"/>
      <c r="BV124" s="45"/>
      <c r="BW124" s="45"/>
      <c r="BX124" s="45"/>
      <c r="BY124" s="45"/>
      <c r="BZ124" s="45"/>
      <c r="CA124" s="75" t="str">
        <f>REPLACE(INDEX(GroupVertices[Group],MATCH("~"&amp;Vertices[[#This Row],[Vertex]],GroupVertices[Vertex],0)),1,1,"")</f>
        <v>2</v>
      </c>
      <c r="CB124" s="2"/>
    </row>
    <row r="125" spans="1:80" ht="34.05" customHeight="1">
      <c r="A125" s="61" t="s">
        <v>714</v>
      </c>
      <c r="C125" s="62"/>
      <c r="D125" s="62"/>
      <c r="E125" s="63"/>
      <c r="F125" s="92"/>
      <c r="G125" s="86" t="str">
        <f>HYPERLINK("https://pbs.twimg.com/profile_images/1105462292005748736/ZGKGeZj-_normal.png")</f>
        <v>https://pbs.twimg.com/profile_images/1105462292005748736/ZGKGeZj-_normal.png</v>
      </c>
      <c r="H125" s="93"/>
      <c r="I125" s="66"/>
      <c r="J125" s="67"/>
      <c r="K125" s="94"/>
      <c r="L125" s="66" t="s">
        <v>1946</v>
      </c>
      <c r="M125" s="95"/>
      <c r="N125" s="71">
        <v>7431.68408203125</v>
      </c>
      <c r="O125" s="71">
        <v>790.3977661132812</v>
      </c>
      <c r="P125" s="72"/>
      <c r="Q125" s="73"/>
      <c r="R125" s="73"/>
      <c r="S125" s="96"/>
      <c r="T125" s="45">
        <v>1</v>
      </c>
      <c r="U125" s="45">
        <v>0</v>
      </c>
      <c r="V125" s="46">
        <v>0</v>
      </c>
      <c r="W125" s="46">
        <v>0.33049</v>
      </c>
      <c r="X125" s="46">
        <v>0.018525</v>
      </c>
      <c r="Y125" s="46">
        <v>0.005552</v>
      </c>
      <c r="Z125" s="46">
        <v>0</v>
      </c>
      <c r="AA125" s="46">
        <v>0</v>
      </c>
      <c r="AB125" s="68">
        <v>125</v>
      </c>
      <c r="AC125" s="68"/>
      <c r="AD125" s="69"/>
      <c r="AE125" s="76" t="s">
        <v>1356</v>
      </c>
      <c r="AF125" s="80" t="s">
        <v>1475</v>
      </c>
      <c r="AG125" s="76">
        <v>424</v>
      </c>
      <c r="AH125" s="76">
        <v>162</v>
      </c>
      <c r="AI125" s="76">
        <v>276</v>
      </c>
      <c r="AJ125" s="76">
        <v>20</v>
      </c>
      <c r="AK125" s="76">
        <v>127</v>
      </c>
      <c r="AL125" s="76">
        <v>93</v>
      </c>
      <c r="AM125" s="76" t="b">
        <v>0</v>
      </c>
      <c r="AN125" s="78">
        <v>41227.92275462963</v>
      </c>
      <c r="AO125" s="76" t="s">
        <v>1551</v>
      </c>
      <c r="AP125" s="76" t="s">
        <v>1671</v>
      </c>
      <c r="AQ125" s="81" t="str">
        <f>HYPERLINK("https://t.co/8p1w3LJkJz")</f>
        <v>https://t.co/8p1w3LJkJz</v>
      </c>
      <c r="AR125" s="81" t="str">
        <f>HYPERLINK("http://www.rocketinsights.com")</f>
        <v>http://www.rocketinsights.com</v>
      </c>
      <c r="AS125" s="76" t="s">
        <v>1785</v>
      </c>
      <c r="AT125" s="76"/>
      <c r="AU125" s="76"/>
      <c r="AV125" s="76"/>
      <c r="AW125" s="76"/>
      <c r="AX125" s="81" t="str">
        <f>HYPERLINK("https://t.co/8p1w3LJkJz")</f>
        <v>https://t.co/8p1w3LJkJz</v>
      </c>
      <c r="AY125" s="76" t="b">
        <v>0</v>
      </c>
      <c r="AZ125" s="76"/>
      <c r="BA125" s="76"/>
      <c r="BB125" s="76" t="b">
        <v>0</v>
      </c>
      <c r="BC125" s="76" t="b">
        <v>1</v>
      </c>
      <c r="BD125" s="76" t="b">
        <v>1</v>
      </c>
      <c r="BE125" s="76" t="b">
        <v>0</v>
      </c>
      <c r="BF125" s="76" t="b">
        <v>1</v>
      </c>
      <c r="BG125" s="76" t="b">
        <v>0</v>
      </c>
      <c r="BH125" s="76" t="b">
        <v>0</v>
      </c>
      <c r="BI125" s="81" t="str">
        <f>HYPERLINK("https://pbs.twimg.com/profile_banners/948577506/1649687724")</f>
        <v>https://pbs.twimg.com/profile_banners/948577506/1649687724</v>
      </c>
      <c r="BJ125" s="76"/>
      <c r="BK125" s="76" t="s">
        <v>330</v>
      </c>
      <c r="BL125" s="76" t="b">
        <v>0</v>
      </c>
      <c r="BM125" s="76"/>
      <c r="BN125" s="76" t="s">
        <v>65</v>
      </c>
      <c r="BO125" s="76" t="s">
        <v>332</v>
      </c>
      <c r="BP125" s="97" t="str">
        <f>HYPERLINK("https://twitter.com/rocketinsights")</f>
        <v>https://twitter.com/rocketinsights</v>
      </c>
      <c r="BQ125" s="45"/>
      <c r="BR125" s="45"/>
      <c r="BS125" s="45"/>
      <c r="BT125" s="45"/>
      <c r="BU125" s="45"/>
      <c r="BV125" s="45"/>
      <c r="BW125" s="45"/>
      <c r="BX125" s="45"/>
      <c r="BY125" s="45"/>
      <c r="BZ125" s="45"/>
      <c r="CA125" s="75" t="str">
        <f>REPLACE(INDEX(GroupVertices[Group],MATCH("~"&amp;Vertices[[#This Row],[Vertex]],GroupVertices[Vertex],0)),1,1,"")</f>
        <v>2</v>
      </c>
      <c r="CB125" s="2"/>
    </row>
    <row r="126" spans="1:80" ht="34.05" customHeight="1">
      <c r="A126" s="61" t="s">
        <v>715</v>
      </c>
      <c r="C126" s="62"/>
      <c r="D126" s="62"/>
      <c r="E126" s="63"/>
      <c r="F126" s="92"/>
      <c r="G126" s="86" t="str">
        <f>HYPERLINK("https://pbs.twimg.com/profile_images/1275878886727987203/BAgj0KvJ_normal.jpg")</f>
        <v>https://pbs.twimg.com/profile_images/1275878886727987203/BAgj0KvJ_normal.jpg</v>
      </c>
      <c r="H126" s="93"/>
      <c r="I126" s="66"/>
      <c r="J126" s="67"/>
      <c r="K126" s="94"/>
      <c r="L126" s="66" t="s">
        <v>1947</v>
      </c>
      <c r="M126" s="95"/>
      <c r="N126" s="71">
        <v>9216.751953125</v>
      </c>
      <c r="O126" s="71">
        <v>2249.88525390625</v>
      </c>
      <c r="P126" s="72"/>
      <c r="Q126" s="73"/>
      <c r="R126" s="73"/>
      <c r="S126" s="96"/>
      <c r="T126" s="45">
        <v>1</v>
      </c>
      <c r="U126" s="45">
        <v>0</v>
      </c>
      <c r="V126" s="46">
        <v>0</v>
      </c>
      <c r="W126" s="46">
        <v>0.33049</v>
      </c>
      <c r="X126" s="46">
        <v>0.018525</v>
      </c>
      <c r="Y126" s="46">
        <v>0.005552</v>
      </c>
      <c r="Z126" s="46">
        <v>0</v>
      </c>
      <c r="AA126" s="46">
        <v>0</v>
      </c>
      <c r="AB126" s="68">
        <v>126</v>
      </c>
      <c r="AC126" s="68"/>
      <c r="AD126" s="69"/>
      <c r="AE126" s="76" t="s">
        <v>1357</v>
      </c>
      <c r="AF126" s="80" t="s">
        <v>1476</v>
      </c>
      <c r="AG126" s="76">
        <v>740</v>
      </c>
      <c r="AH126" s="76">
        <v>701</v>
      </c>
      <c r="AI126" s="76">
        <v>1418</v>
      </c>
      <c r="AJ126" s="76">
        <v>16</v>
      </c>
      <c r="AK126" s="76">
        <v>76</v>
      </c>
      <c r="AL126" s="76">
        <v>161</v>
      </c>
      <c r="AM126" s="76" t="b">
        <v>0</v>
      </c>
      <c r="AN126" s="78">
        <v>40059.63277777778</v>
      </c>
      <c r="AO126" s="76" t="s">
        <v>1552</v>
      </c>
      <c r="AP126" s="76" t="s">
        <v>1672</v>
      </c>
      <c r="AQ126" s="81" t="str">
        <f>HYPERLINK("https://t.co/3XwxyZkFrq")</f>
        <v>https://t.co/3XwxyZkFrq</v>
      </c>
      <c r="AR126" s="81" t="str">
        <f>HYPERLINK("http://www.sdsol.com")</f>
        <v>http://www.sdsol.com</v>
      </c>
      <c r="AS126" s="76" t="s">
        <v>1786</v>
      </c>
      <c r="AT126" s="76"/>
      <c r="AU126" s="76"/>
      <c r="AV126" s="76"/>
      <c r="AW126" s="76"/>
      <c r="AX126" s="81" t="str">
        <f>HYPERLINK("https://t.co/3XwxyZkFrq")</f>
        <v>https://t.co/3XwxyZkFrq</v>
      </c>
      <c r="AY126" s="76" t="b">
        <v>0</v>
      </c>
      <c r="AZ126" s="76"/>
      <c r="BA126" s="76"/>
      <c r="BB126" s="76" t="b">
        <v>0</v>
      </c>
      <c r="BC126" s="76" t="b">
        <v>1</v>
      </c>
      <c r="BD126" s="76" t="b">
        <v>0</v>
      </c>
      <c r="BE126" s="76" t="b">
        <v>0</v>
      </c>
      <c r="BF126" s="76" t="b">
        <v>0</v>
      </c>
      <c r="BG126" s="76" t="b">
        <v>0</v>
      </c>
      <c r="BH126" s="76" t="b">
        <v>0</v>
      </c>
      <c r="BI126" s="81" t="str">
        <f>HYPERLINK("https://pbs.twimg.com/profile_banners/71276396/1540323914")</f>
        <v>https://pbs.twimg.com/profile_banners/71276396/1540323914</v>
      </c>
      <c r="BJ126" s="76"/>
      <c r="BK126" s="76" t="s">
        <v>330</v>
      </c>
      <c r="BL126" s="76" t="b">
        <v>0</v>
      </c>
      <c r="BM126" s="76"/>
      <c r="BN126" s="76" t="s">
        <v>65</v>
      </c>
      <c r="BO126" s="76" t="s">
        <v>332</v>
      </c>
      <c r="BP126" s="97" t="str">
        <f>HYPERLINK("https://twitter.com/miamitechsperts")</f>
        <v>https://twitter.com/miamitechsperts</v>
      </c>
      <c r="BQ126" s="45"/>
      <c r="BR126" s="45"/>
      <c r="BS126" s="45"/>
      <c r="BT126" s="45"/>
      <c r="BU126" s="45"/>
      <c r="BV126" s="45"/>
      <c r="BW126" s="45"/>
      <c r="BX126" s="45"/>
      <c r="BY126" s="45"/>
      <c r="BZ126" s="45"/>
      <c r="CA126" s="75" t="str">
        <f>REPLACE(INDEX(GroupVertices[Group],MATCH("~"&amp;Vertices[[#This Row],[Vertex]],GroupVertices[Vertex],0)),1,1,"")</f>
        <v>2</v>
      </c>
      <c r="CB126" s="2"/>
    </row>
    <row r="127" spans="1:80" ht="34.05" customHeight="1">
      <c r="A127" s="61" t="s">
        <v>634</v>
      </c>
      <c r="C127" s="62"/>
      <c r="D127" s="62"/>
      <c r="E127" s="63"/>
      <c r="F127" s="92"/>
      <c r="G127" s="86" t="str">
        <f>HYPERLINK("https://pbs.twimg.com/profile_images/1634150200305414144/yRbuyQ62_normal.jpg")</f>
        <v>https://pbs.twimg.com/profile_images/1634150200305414144/yRbuyQ62_normal.jpg</v>
      </c>
      <c r="H127" s="93"/>
      <c r="I127" s="66"/>
      <c r="J127" s="67"/>
      <c r="K127" s="94"/>
      <c r="L127" s="66" t="s">
        <v>1948</v>
      </c>
      <c r="M127" s="95"/>
      <c r="N127" s="71">
        <v>6920.4296875</v>
      </c>
      <c r="O127" s="71">
        <v>3478.753662109375</v>
      </c>
      <c r="P127" s="72"/>
      <c r="Q127" s="73"/>
      <c r="R127" s="73"/>
      <c r="S127" s="96"/>
      <c r="T127" s="45">
        <v>2</v>
      </c>
      <c r="U127" s="45">
        <v>10</v>
      </c>
      <c r="V127" s="46">
        <v>889</v>
      </c>
      <c r="W127" s="46">
        <v>0.45858</v>
      </c>
      <c r="X127" s="46">
        <v>0.115308</v>
      </c>
      <c r="Y127" s="46">
        <v>0.008775</v>
      </c>
      <c r="Z127" s="46">
        <v>0.1111111111111111</v>
      </c>
      <c r="AA127" s="46">
        <v>0.1111111111111111</v>
      </c>
      <c r="AB127" s="68">
        <v>127</v>
      </c>
      <c r="AC127" s="68"/>
      <c r="AD127" s="69"/>
      <c r="AE127" s="76" t="s">
        <v>1358</v>
      </c>
      <c r="AF127" s="80" t="s">
        <v>1477</v>
      </c>
      <c r="AG127" s="76">
        <v>3452</v>
      </c>
      <c r="AH127" s="76">
        <v>1622</v>
      </c>
      <c r="AI127" s="76">
        <v>7754</v>
      </c>
      <c r="AJ127" s="76">
        <v>1407</v>
      </c>
      <c r="AK127" s="76">
        <v>1538</v>
      </c>
      <c r="AL127" s="76">
        <v>3450</v>
      </c>
      <c r="AM127" s="76" t="b">
        <v>0</v>
      </c>
      <c r="AN127" s="78">
        <v>40367.27471064815</v>
      </c>
      <c r="AO127" s="76" t="s">
        <v>310</v>
      </c>
      <c r="AP127" s="76" t="s">
        <v>1673</v>
      </c>
      <c r="AQ127" s="81" t="str">
        <f>HYPERLINK("https://t.co/bJqELZuqHJ")</f>
        <v>https://t.co/bJqELZuqHJ</v>
      </c>
      <c r="AR127" s="81" t="str">
        <f>HYPERLINK("http://www.evontech.com")</f>
        <v>http://www.evontech.com</v>
      </c>
      <c r="AS127" s="76" t="s">
        <v>1787</v>
      </c>
      <c r="AT127" s="76"/>
      <c r="AU127" s="76"/>
      <c r="AV127" s="76"/>
      <c r="AW127" s="76">
        <v>1.73194740262862E+18</v>
      </c>
      <c r="AX127" s="81" t="str">
        <f>HYPERLINK("https://t.co/bJqELZuqHJ")</f>
        <v>https://t.co/bJqELZuqHJ</v>
      </c>
      <c r="AY127" s="76" t="b">
        <v>0</v>
      </c>
      <c r="AZ127" s="76"/>
      <c r="BA127" s="76"/>
      <c r="BB127" s="76" t="b">
        <v>0</v>
      </c>
      <c r="BC127" s="76" t="b">
        <v>1</v>
      </c>
      <c r="BD127" s="76" t="b">
        <v>0</v>
      </c>
      <c r="BE127" s="76" t="b">
        <v>0</v>
      </c>
      <c r="BF127" s="76" t="b">
        <v>1</v>
      </c>
      <c r="BG127" s="76" t="b">
        <v>0</v>
      </c>
      <c r="BH127" s="76" t="b">
        <v>0</v>
      </c>
      <c r="BI127" s="81" t="str">
        <f>HYPERLINK("https://pbs.twimg.com/profile_banners/164178163/1696414170")</f>
        <v>https://pbs.twimg.com/profile_banners/164178163/1696414170</v>
      </c>
      <c r="BJ127" s="76"/>
      <c r="BK127" s="76" t="s">
        <v>330</v>
      </c>
      <c r="BL127" s="76" t="b">
        <v>0</v>
      </c>
      <c r="BM127" s="76"/>
      <c r="BN127" s="76" t="s">
        <v>66</v>
      </c>
      <c r="BO127" s="76" t="s">
        <v>332</v>
      </c>
      <c r="BP127" s="97" t="str">
        <f>HYPERLINK("https://twitter.com/evontech")</f>
        <v>https://twitter.com/evontech</v>
      </c>
      <c r="BQ127" s="45"/>
      <c r="BR127" s="45"/>
      <c r="BS127" s="45"/>
      <c r="BT127" s="45"/>
      <c r="BU127" s="45" t="s">
        <v>850</v>
      </c>
      <c r="BV127" s="45" t="s">
        <v>850</v>
      </c>
      <c r="BW127" s="90" t="s">
        <v>2214</v>
      </c>
      <c r="BX127" s="90" t="s">
        <v>2214</v>
      </c>
      <c r="BY127" s="90" t="s">
        <v>2286</v>
      </c>
      <c r="BZ127" s="90" t="s">
        <v>2286</v>
      </c>
      <c r="CA127" s="75" t="str">
        <f>REPLACE(INDEX(GroupVertices[Group],MATCH("~"&amp;Vertices[[#This Row],[Vertex]],GroupVertices[Vertex],0)),1,1,"")</f>
        <v>2</v>
      </c>
      <c r="CB127" s="2"/>
    </row>
    <row r="128" spans="1:80" ht="34.05" customHeight="1">
      <c r="A128" s="61" t="s">
        <v>716</v>
      </c>
      <c r="C128" s="62"/>
      <c r="D128" s="62"/>
      <c r="E128" s="63"/>
      <c r="F128" s="92"/>
      <c r="G128" s="86" t="str">
        <f>HYPERLINK("https://pbs.twimg.com/profile_images/955476200809467907/wUP6okPy_normal.jpg")</f>
        <v>https://pbs.twimg.com/profile_images/955476200809467907/wUP6okPy_normal.jpg</v>
      </c>
      <c r="H128" s="93"/>
      <c r="I128" s="66"/>
      <c r="J128" s="67"/>
      <c r="K128" s="94"/>
      <c r="L128" s="66" t="s">
        <v>1949</v>
      </c>
      <c r="M128" s="95"/>
      <c r="N128" s="71">
        <v>9805.6787109375</v>
      </c>
      <c r="O128" s="71">
        <v>3983.017822265625</v>
      </c>
      <c r="P128" s="72"/>
      <c r="Q128" s="73"/>
      <c r="R128" s="73"/>
      <c r="S128" s="96"/>
      <c r="T128" s="45">
        <v>2</v>
      </c>
      <c r="U128" s="45">
        <v>0</v>
      </c>
      <c r="V128" s="46">
        <v>0</v>
      </c>
      <c r="W128" s="46">
        <v>0.331197</v>
      </c>
      <c r="X128" s="46">
        <v>0.029574</v>
      </c>
      <c r="Y128" s="46">
        <v>0.005683</v>
      </c>
      <c r="Z128" s="46">
        <v>1</v>
      </c>
      <c r="AA128" s="46">
        <v>0</v>
      </c>
      <c r="AB128" s="68">
        <v>128</v>
      </c>
      <c r="AC128" s="68"/>
      <c r="AD128" s="69"/>
      <c r="AE128" s="76" t="s">
        <v>1359</v>
      </c>
      <c r="AF128" s="80" t="s">
        <v>1478</v>
      </c>
      <c r="AG128" s="76">
        <v>177</v>
      </c>
      <c r="AH128" s="76">
        <v>330</v>
      </c>
      <c r="AI128" s="76">
        <v>491</v>
      </c>
      <c r="AJ128" s="76">
        <v>7</v>
      </c>
      <c r="AK128" s="76">
        <v>24</v>
      </c>
      <c r="AL128" s="76">
        <v>308</v>
      </c>
      <c r="AM128" s="76" t="b">
        <v>0</v>
      </c>
      <c r="AN128" s="78">
        <v>40155.34542824074</v>
      </c>
      <c r="AO128" s="76" t="s">
        <v>1553</v>
      </c>
      <c r="AP128" s="76" t="s">
        <v>1674</v>
      </c>
      <c r="AQ128" s="81" t="str">
        <f>HYPERLINK("https://t.co/RSLJHLON7j")</f>
        <v>https://t.co/RSLJHLON7j</v>
      </c>
      <c r="AR128" s="81" t="str">
        <f>HYPERLINK("http://sunarctechnologies.com/")</f>
        <v>http://sunarctechnologies.com/</v>
      </c>
      <c r="AS128" s="76" t="s">
        <v>1788</v>
      </c>
      <c r="AT128" s="76"/>
      <c r="AU128" s="76"/>
      <c r="AV128" s="76"/>
      <c r="AW128" s="76"/>
      <c r="AX128" s="81" t="str">
        <f>HYPERLINK("https://t.co/RSLJHLON7j")</f>
        <v>https://t.co/RSLJHLON7j</v>
      </c>
      <c r="AY128" s="76" t="b">
        <v>0</v>
      </c>
      <c r="AZ128" s="76"/>
      <c r="BA128" s="76"/>
      <c r="BB128" s="76" t="b">
        <v>1</v>
      </c>
      <c r="BC128" s="76" t="b">
        <v>0</v>
      </c>
      <c r="BD128" s="76" t="b">
        <v>0</v>
      </c>
      <c r="BE128" s="76" t="b">
        <v>0</v>
      </c>
      <c r="BF128" s="76" t="b">
        <v>0</v>
      </c>
      <c r="BG128" s="76" t="b">
        <v>0</v>
      </c>
      <c r="BH128" s="76" t="b">
        <v>0</v>
      </c>
      <c r="BI128" s="81" t="str">
        <f>HYPERLINK("https://pbs.twimg.com/profile_banners/95379260/1619073143")</f>
        <v>https://pbs.twimg.com/profile_banners/95379260/1619073143</v>
      </c>
      <c r="BJ128" s="76"/>
      <c r="BK128" s="76" t="s">
        <v>330</v>
      </c>
      <c r="BL128" s="76" t="b">
        <v>0</v>
      </c>
      <c r="BM128" s="76"/>
      <c r="BN128" s="76" t="s">
        <v>65</v>
      </c>
      <c r="BO128" s="76" t="s">
        <v>332</v>
      </c>
      <c r="BP128" s="97" t="str">
        <f>HYPERLINK("https://twitter.com/sunarc_tech")</f>
        <v>https://twitter.com/sunarc_tech</v>
      </c>
      <c r="BQ128" s="45"/>
      <c r="BR128" s="45"/>
      <c r="BS128" s="45"/>
      <c r="BT128" s="45"/>
      <c r="BU128" s="45"/>
      <c r="BV128" s="45"/>
      <c r="BW128" s="45"/>
      <c r="BX128" s="45"/>
      <c r="BY128" s="45"/>
      <c r="BZ128" s="45"/>
      <c r="CA128" s="75" t="str">
        <f>REPLACE(INDEX(GroupVertices[Group],MATCH("~"&amp;Vertices[[#This Row],[Vertex]],GroupVertices[Vertex],0)),1,1,"")</f>
        <v>2</v>
      </c>
      <c r="CB128" s="2"/>
    </row>
    <row r="129" spans="1:80" ht="34.05" customHeight="1">
      <c r="A129" s="61" t="s">
        <v>717</v>
      </c>
      <c r="C129" s="62"/>
      <c r="D129" s="62"/>
      <c r="E129" s="63"/>
      <c r="F129" s="92"/>
      <c r="G129" s="86" t="str">
        <f>HYPERLINK("https://pbs.twimg.com/profile_images/1615582890041147392/nidh8kpW_normal.jpg")</f>
        <v>https://pbs.twimg.com/profile_images/1615582890041147392/nidh8kpW_normal.jpg</v>
      </c>
      <c r="H129" s="93"/>
      <c r="I129" s="66"/>
      <c r="J129" s="67"/>
      <c r="K129" s="94"/>
      <c r="L129" s="66" t="s">
        <v>1950</v>
      </c>
      <c r="M129" s="95"/>
      <c r="N129" s="71">
        <v>9731.265625</v>
      </c>
      <c r="O129" s="71">
        <v>3616.904541015625</v>
      </c>
      <c r="P129" s="72"/>
      <c r="Q129" s="73"/>
      <c r="R129" s="73"/>
      <c r="S129" s="96"/>
      <c r="T129" s="45">
        <v>2</v>
      </c>
      <c r="U129" s="45">
        <v>0</v>
      </c>
      <c r="V129" s="46">
        <v>0</v>
      </c>
      <c r="W129" s="46">
        <v>0.331197</v>
      </c>
      <c r="X129" s="46">
        <v>0.029574</v>
      </c>
      <c r="Y129" s="46">
        <v>0.005683</v>
      </c>
      <c r="Z129" s="46">
        <v>1</v>
      </c>
      <c r="AA129" s="46">
        <v>0</v>
      </c>
      <c r="AB129" s="68">
        <v>129</v>
      </c>
      <c r="AC129" s="68"/>
      <c r="AD129" s="69"/>
      <c r="AE129" s="76" t="s">
        <v>1360</v>
      </c>
      <c r="AF129" s="80" t="s">
        <v>1479</v>
      </c>
      <c r="AG129" s="76">
        <v>1584</v>
      </c>
      <c r="AH129" s="76">
        <v>1937</v>
      </c>
      <c r="AI129" s="76">
        <v>2799</v>
      </c>
      <c r="AJ129" s="76">
        <v>75</v>
      </c>
      <c r="AK129" s="76">
        <v>747</v>
      </c>
      <c r="AL129" s="76">
        <v>1356</v>
      </c>
      <c r="AM129" s="76" t="b">
        <v>0</v>
      </c>
      <c r="AN129" s="78">
        <v>39944.424629629626</v>
      </c>
      <c r="AO129" s="76" t="s">
        <v>1554</v>
      </c>
      <c r="AP129" s="76" t="s">
        <v>1675</v>
      </c>
      <c r="AQ129" s="81" t="str">
        <f>HYPERLINK("https://t.co/hCW8OtzDc8")</f>
        <v>https://t.co/hCW8OtzDc8</v>
      </c>
      <c r="AR129" s="81" t="str">
        <f>HYPERLINK("https://www.octalsoftware.com/")</f>
        <v>https://www.octalsoftware.com/</v>
      </c>
      <c r="AS129" s="76" t="s">
        <v>1789</v>
      </c>
      <c r="AT129" s="76"/>
      <c r="AU129" s="76"/>
      <c r="AV129" s="76"/>
      <c r="AW129" s="76">
        <v>9.63016750550761E+17</v>
      </c>
      <c r="AX129" s="81" t="str">
        <f>HYPERLINK("https://t.co/hCW8OtzDc8")</f>
        <v>https://t.co/hCW8OtzDc8</v>
      </c>
      <c r="AY129" s="76" t="b">
        <v>0</v>
      </c>
      <c r="AZ129" s="76"/>
      <c r="BA129" s="76"/>
      <c r="BB129" s="76" t="b">
        <v>0</v>
      </c>
      <c r="BC129" s="76" t="b">
        <v>1</v>
      </c>
      <c r="BD129" s="76" t="b">
        <v>0</v>
      </c>
      <c r="BE129" s="76" t="b">
        <v>0</v>
      </c>
      <c r="BF129" s="76" t="b">
        <v>1</v>
      </c>
      <c r="BG129" s="76" t="b">
        <v>0</v>
      </c>
      <c r="BH129" s="76" t="b">
        <v>0</v>
      </c>
      <c r="BI129" s="81" t="str">
        <f>HYPERLINK("https://pbs.twimg.com/profile_banners/39226054/1494242996")</f>
        <v>https://pbs.twimg.com/profile_banners/39226054/1494242996</v>
      </c>
      <c r="BJ129" s="76"/>
      <c r="BK129" s="76" t="s">
        <v>330</v>
      </c>
      <c r="BL129" s="76" t="b">
        <v>0</v>
      </c>
      <c r="BM129" s="76"/>
      <c r="BN129" s="76" t="s">
        <v>65</v>
      </c>
      <c r="BO129" s="76" t="s">
        <v>332</v>
      </c>
      <c r="BP129" s="97" t="str">
        <f>HYPERLINK("https://twitter.com/octalitsolution")</f>
        <v>https://twitter.com/octalitsolution</v>
      </c>
      <c r="BQ129" s="45"/>
      <c r="BR129" s="45"/>
      <c r="BS129" s="45"/>
      <c r="BT129" s="45"/>
      <c r="BU129" s="45"/>
      <c r="BV129" s="45"/>
      <c r="BW129" s="45"/>
      <c r="BX129" s="45"/>
      <c r="BY129" s="45"/>
      <c r="BZ129" s="45"/>
      <c r="CA129" s="75" t="str">
        <f>REPLACE(INDEX(GroupVertices[Group],MATCH("~"&amp;Vertices[[#This Row],[Vertex]],GroupVertices[Vertex],0)),1,1,"")</f>
        <v>2</v>
      </c>
      <c r="CB129" s="2"/>
    </row>
    <row r="130" spans="1:80" ht="34.05" customHeight="1">
      <c r="A130" s="61" t="s">
        <v>718</v>
      </c>
      <c r="C130" s="62"/>
      <c r="D130" s="62"/>
      <c r="E130" s="63"/>
      <c r="F130" s="92"/>
      <c r="G130" s="86" t="str">
        <f>HYPERLINK("https://pbs.twimg.com/profile_images/1229384198638600192/e5VKBkJx_normal.png")</f>
        <v>https://pbs.twimg.com/profile_images/1229384198638600192/e5VKBkJx_normal.png</v>
      </c>
      <c r="H130" s="93"/>
      <c r="I130" s="66"/>
      <c r="J130" s="67"/>
      <c r="K130" s="94"/>
      <c r="L130" s="66" t="s">
        <v>1951</v>
      </c>
      <c r="M130" s="95"/>
      <c r="N130" s="71">
        <v>9589.0625</v>
      </c>
      <c r="O130" s="71">
        <v>3250.8515625</v>
      </c>
      <c r="P130" s="72"/>
      <c r="Q130" s="73"/>
      <c r="R130" s="73"/>
      <c r="S130" s="96"/>
      <c r="T130" s="45">
        <v>2</v>
      </c>
      <c r="U130" s="45">
        <v>0</v>
      </c>
      <c r="V130" s="46">
        <v>0</v>
      </c>
      <c r="W130" s="46">
        <v>0.331197</v>
      </c>
      <c r="X130" s="46">
        <v>0.029574</v>
      </c>
      <c r="Y130" s="46">
        <v>0.005683</v>
      </c>
      <c r="Z130" s="46">
        <v>1</v>
      </c>
      <c r="AA130" s="46">
        <v>0</v>
      </c>
      <c r="AB130" s="68">
        <v>130</v>
      </c>
      <c r="AC130" s="68"/>
      <c r="AD130" s="69"/>
      <c r="AE130" s="76" t="s">
        <v>1361</v>
      </c>
      <c r="AF130" s="80" t="s">
        <v>1480</v>
      </c>
      <c r="AG130" s="76">
        <v>7340</v>
      </c>
      <c r="AH130" s="76">
        <v>1484</v>
      </c>
      <c r="AI130" s="76">
        <v>56622</v>
      </c>
      <c r="AJ130" s="76">
        <v>2737</v>
      </c>
      <c r="AK130" s="76">
        <v>1341</v>
      </c>
      <c r="AL130" s="76">
        <v>2022</v>
      </c>
      <c r="AM130" s="76" t="b">
        <v>0</v>
      </c>
      <c r="AN130" s="78">
        <v>40421.223229166666</v>
      </c>
      <c r="AO130" s="76" t="s">
        <v>1555</v>
      </c>
      <c r="AP130" s="76" t="s">
        <v>1676</v>
      </c>
      <c r="AQ130" s="81" t="str">
        <f>HYPERLINK("https://t.co/hZiytgSyxu")</f>
        <v>https://t.co/hZiytgSyxu</v>
      </c>
      <c r="AR130" s="81" t="str">
        <f>HYPERLINK("https://softwaredevelopersindia.com")</f>
        <v>https://softwaredevelopersindia.com</v>
      </c>
      <c r="AS130" s="76" t="s">
        <v>1790</v>
      </c>
      <c r="AT130" s="76"/>
      <c r="AU130" s="76"/>
      <c r="AV130" s="76"/>
      <c r="AW130" s="76"/>
      <c r="AX130" s="81" t="str">
        <f>HYPERLINK("https://t.co/hZiytgSyxu")</f>
        <v>https://t.co/hZiytgSyxu</v>
      </c>
      <c r="AY130" s="76" t="b">
        <v>0</v>
      </c>
      <c r="AZ130" s="76"/>
      <c r="BA130" s="76"/>
      <c r="BB130" s="76" t="b">
        <v>0</v>
      </c>
      <c r="BC130" s="76" t="b">
        <v>1</v>
      </c>
      <c r="BD130" s="76" t="b">
        <v>0</v>
      </c>
      <c r="BE130" s="76" t="b">
        <v>0</v>
      </c>
      <c r="BF130" s="76" t="b">
        <v>0</v>
      </c>
      <c r="BG130" s="76" t="b">
        <v>0</v>
      </c>
      <c r="BH130" s="76" t="b">
        <v>0</v>
      </c>
      <c r="BI130" s="81" t="str">
        <f>HYPERLINK("https://pbs.twimg.com/profile_banners/185085429/1484116050")</f>
        <v>https://pbs.twimg.com/profile_banners/185085429/1484116050</v>
      </c>
      <c r="BJ130" s="76"/>
      <c r="BK130" s="76" t="s">
        <v>330</v>
      </c>
      <c r="BL130" s="76" t="b">
        <v>0</v>
      </c>
      <c r="BM130" s="76"/>
      <c r="BN130" s="76" t="s">
        <v>65</v>
      </c>
      <c r="BO130" s="76" t="s">
        <v>332</v>
      </c>
      <c r="BP130" s="97" t="str">
        <f>HYPERLINK("https://twitter.com/softwaredevin")</f>
        <v>https://twitter.com/softwaredevin</v>
      </c>
      <c r="BQ130" s="45"/>
      <c r="BR130" s="45"/>
      <c r="BS130" s="45"/>
      <c r="BT130" s="45"/>
      <c r="BU130" s="45"/>
      <c r="BV130" s="45"/>
      <c r="BW130" s="45"/>
      <c r="BX130" s="45"/>
      <c r="BY130" s="45"/>
      <c r="BZ130" s="45"/>
      <c r="CA130" s="75" t="str">
        <f>REPLACE(INDEX(GroupVertices[Group],MATCH("~"&amp;Vertices[[#This Row],[Vertex]],GroupVertices[Vertex],0)),1,1,"")</f>
        <v>2</v>
      </c>
      <c r="CB130" s="2"/>
    </row>
    <row r="131" spans="1:80" ht="34.05" customHeight="1">
      <c r="A131" s="61" t="s">
        <v>719</v>
      </c>
      <c r="C131" s="62"/>
      <c r="D131" s="62"/>
      <c r="E131" s="63"/>
      <c r="F131" s="92"/>
      <c r="G131" s="86" t="str">
        <f>HYPERLINK("https://pbs.twimg.com/profile_images/1685216464591360000/4JxTHhLt_normal.jpg")</f>
        <v>https://pbs.twimg.com/profile_images/1685216464591360000/4JxTHhLt_normal.jpg</v>
      </c>
      <c r="H131" s="93"/>
      <c r="I131" s="66"/>
      <c r="J131" s="67"/>
      <c r="K131" s="94"/>
      <c r="L131" s="66" t="s">
        <v>1952</v>
      </c>
      <c r="M131" s="95"/>
      <c r="N131" s="71">
        <v>9271.3330078125</v>
      </c>
      <c r="O131" s="71">
        <v>2946.2509765625</v>
      </c>
      <c r="P131" s="72"/>
      <c r="Q131" s="73"/>
      <c r="R131" s="73"/>
      <c r="S131" s="96"/>
      <c r="T131" s="45">
        <v>2</v>
      </c>
      <c r="U131" s="45">
        <v>0</v>
      </c>
      <c r="V131" s="46">
        <v>0</v>
      </c>
      <c r="W131" s="46">
        <v>0.331197</v>
      </c>
      <c r="X131" s="46">
        <v>0.029574</v>
      </c>
      <c r="Y131" s="46">
        <v>0.005683</v>
      </c>
      <c r="Z131" s="46">
        <v>1</v>
      </c>
      <c r="AA131" s="46">
        <v>0</v>
      </c>
      <c r="AB131" s="68">
        <v>131</v>
      </c>
      <c r="AC131" s="68"/>
      <c r="AD131" s="69"/>
      <c r="AE131" s="76" t="s">
        <v>1362</v>
      </c>
      <c r="AF131" s="80" t="s">
        <v>1481</v>
      </c>
      <c r="AG131" s="76">
        <v>1498</v>
      </c>
      <c r="AH131" s="76">
        <v>58</v>
      </c>
      <c r="AI131" s="76">
        <v>1076</v>
      </c>
      <c r="AJ131" s="76">
        <v>53</v>
      </c>
      <c r="AK131" s="76">
        <v>230</v>
      </c>
      <c r="AL131" s="76">
        <v>329</v>
      </c>
      <c r="AM131" s="76" t="b">
        <v>0</v>
      </c>
      <c r="AN131" s="78">
        <v>40214.48447916667</v>
      </c>
      <c r="AO131" s="76" t="s">
        <v>291</v>
      </c>
      <c r="AP131" s="76" t="s">
        <v>1677</v>
      </c>
      <c r="AQ131" s="81" t="str">
        <f>HYPERLINK("https://t.co/7l0ctzQw1j")</f>
        <v>https://t.co/7l0ctzQw1j</v>
      </c>
      <c r="AR131" s="81" t="str">
        <f>HYPERLINK("https://www.promaticsindia.com")</f>
        <v>https://www.promaticsindia.com</v>
      </c>
      <c r="AS131" s="76" t="s">
        <v>1791</v>
      </c>
      <c r="AT131" s="76"/>
      <c r="AU131" s="76"/>
      <c r="AV131" s="76"/>
      <c r="AW131" s="76"/>
      <c r="AX131" s="81" t="str">
        <f>HYPERLINK("https://t.co/7l0ctzQw1j")</f>
        <v>https://t.co/7l0ctzQw1j</v>
      </c>
      <c r="AY131" s="76" t="b">
        <v>0</v>
      </c>
      <c r="AZ131" s="76"/>
      <c r="BA131" s="76"/>
      <c r="BB131" s="76" t="b">
        <v>1</v>
      </c>
      <c r="BC131" s="76" t="b">
        <v>1</v>
      </c>
      <c r="BD131" s="76" t="b">
        <v>0</v>
      </c>
      <c r="BE131" s="76" t="b">
        <v>0</v>
      </c>
      <c r="BF131" s="76" t="b">
        <v>1</v>
      </c>
      <c r="BG131" s="76" t="b">
        <v>0</v>
      </c>
      <c r="BH131" s="76" t="b">
        <v>0</v>
      </c>
      <c r="BI131" s="81" t="str">
        <f>HYPERLINK("https://pbs.twimg.com/profile_banners/111569289/1672995636")</f>
        <v>https://pbs.twimg.com/profile_banners/111569289/1672995636</v>
      </c>
      <c r="BJ131" s="76"/>
      <c r="BK131" s="76" t="s">
        <v>330</v>
      </c>
      <c r="BL131" s="76" t="b">
        <v>0</v>
      </c>
      <c r="BM131" s="76"/>
      <c r="BN131" s="76" t="s">
        <v>65</v>
      </c>
      <c r="BO131" s="76" t="s">
        <v>332</v>
      </c>
      <c r="BP131" s="97" t="str">
        <f>HYPERLINK("https://twitter.com/promatics")</f>
        <v>https://twitter.com/promatics</v>
      </c>
      <c r="BQ131" s="45"/>
      <c r="BR131" s="45"/>
      <c r="BS131" s="45"/>
      <c r="BT131" s="45"/>
      <c r="BU131" s="45"/>
      <c r="BV131" s="45"/>
      <c r="BW131" s="45"/>
      <c r="BX131" s="45"/>
      <c r="BY131" s="45"/>
      <c r="BZ131" s="45"/>
      <c r="CA131" s="75" t="str">
        <f>REPLACE(INDEX(GroupVertices[Group],MATCH("~"&amp;Vertices[[#This Row],[Vertex]],GroupVertices[Vertex],0)),1,1,"")</f>
        <v>2</v>
      </c>
      <c r="CB131" s="2"/>
    </row>
    <row r="132" spans="1:80" ht="34.05" customHeight="1">
      <c r="A132" s="61" t="s">
        <v>720</v>
      </c>
      <c r="C132" s="62"/>
      <c r="D132" s="62"/>
      <c r="E132" s="63"/>
      <c r="F132" s="92"/>
      <c r="G132" s="86" t="str">
        <f>HYPERLINK("https://pbs.twimg.com/profile_images/781061930815332352/Om4Hbjo0_normal.jpg")</f>
        <v>https://pbs.twimg.com/profile_images/781061930815332352/Om4Hbjo0_normal.jpg</v>
      </c>
      <c r="H132" s="93"/>
      <c r="I132" s="66"/>
      <c r="J132" s="67"/>
      <c r="K132" s="94"/>
      <c r="L132" s="66" t="s">
        <v>1953</v>
      </c>
      <c r="M132" s="95"/>
      <c r="N132" s="71">
        <v>9729.671875</v>
      </c>
      <c r="O132" s="71">
        <v>4672.267578125</v>
      </c>
      <c r="P132" s="72"/>
      <c r="Q132" s="73"/>
      <c r="R132" s="73"/>
      <c r="S132" s="96"/>
      <c r="T132" s="45">
        <v>2</v>
      </c>
      <c r="U132" s="45">
        <v>0</v>
      </c>
      <c r="V132" s="46">
        <v>0</v>
      </c>
      <c r="W132" s="46">
        <v>0.331197</v>
      </c>
      <c r="X132" s="46">
        <v>0.029574</v>
      </c>
      <c r="Y132" s="46">
        <v>0.005683</v>
      </c>
      <c r="Z132" s="46">
        <v>1</v>
      </c>
      <c r="AA132" s="46">
        <v>0</v>
      </c>
      <c r="AB132" s="68">
        <v>132</v>
      </c>
      <c r="AC132" s="68"/>
      <c r="AD132" s="69"/>
      <c r="AE132" s="76" t="s">
        <v>1363</v>
      </c>
      <c r="AF132" s="80" t="s">
        <v>1482</v>
      </c>
      <c r="AG132" s="76">
        <v>31</v>
      </c>
      <c r="AH132" s="76">
        <v>158</v>
      </c>
      <c r="AI132" s="76">
        <v>213</v>
      </c>
      <c r="AJ132" s="76">
        <v>1</v>
      </c>
      <c r="AK132" s="76">
        <v>84</v>
      </c>
      <c r="AL132" s="76">
        <v>180</v>
      </c>
      <c r="AM132" s="76" t="b">
        <v>0</v>
      </c>
      <c r="AN132" s="78">
        <v>42632.34657407407</v>
      </c>
      <c r="AO132" s="76" t="s">
        <v>306</v>
      </c>
      <c r="AP132" s="76" t="s">
        <v>1678</v>
      </c>
      <c r="AQ132" s="81" t="str">
        <f>HYPERLINK("https://t.co/UGy1qHBttA")</f>
        <v>https://t.co/UGy1qHBttA</v>
      </c>
      <c r="AR132" s="81" t="str">
        <f>HYPERLINK("http://www.phoenixbizz.com/")</f>
        <v>http://www.phoenixbizz.com/</v>
      </c>
      <c r="AS132" s="76" t="s">
        <v>1792</v>
      </c>
      <c r="AT132" s="76"/>
      <c r="AU132" s="76"/>
      <c r="AV132" s="76"/>
      <c r="AW132" s="76"/>
      <c r="AX132" s="81" t="str">
        <f>HYPERLINK("https://t.co/UGy1qHBttA")</f>
        <v>https://t.co/UGy1qHBttA</v>
      </c>
      <c r="AY132" s="76" t="b">
        <v>0</v>
      </c>
      <c r="AZ132" s="76"/>
      <c r="BA132" s="76"/>
      <c r="BB132" s="76" t="b">
        <v>0</v>
      </c>
      <c r="BC132" s="76" t="b">
        <v>1</v>
      </c>
      <c r="BD132" s="76" t="b">
        <v>0</v>
      </c>
      <c r="BE132" s="76" t="b">
        <v>0</v>
      </c>
      <c r="BF132" s="76" t="b">
        <v>0</v>
      </c>
      <c r="BG132" s="76" t="b">
        <v>0</v>
      </c>
      <c r="BH132" s="76" t="b">
        <v>0</v>
      </c>
      <c r="BI132" s="81" t="str">
        <f>HYPERLINK("https://pbs.twimg.com/profile_banners/777784058080178177/1474273596")</f>
        <v>https://pbs.twimg.com/profile_banners/777784058080178177/1474273596</v>
      </c>
      <c r="BJ132" s="76"/>
      <c r="BK132" s="76" t="s">
        <v>330</v>
      </c>
      <c r="BL132" s="76" t="b">
        <v>0</v>
      </c>
      <c r="BM132" s="76"/>
      <c r="BN132" s="76" t="s">
        <v>65</v>
      </c>
      <c r="BO132" s="76" t="s">
        <v>332</v>
      </c>
      <c r="BP132" s="97" t="str">
        <f>HYPERLINK("https://twitter.com/phoenix_bizz")</f>
        <v>https://twitter.com/phoenix_bizz</v>
      </c>
      <c r="BQ132" s="45"/>
      <c r="BR132" s="45"/>
      <c r="BS132" s="45"/>
      <c r="BT132" s="45"/>
      <c r="BU132" s="45"/>
      <c r="BV132" s="45"/>
      <c r="BW132" s="45"/>
      <c r="BX132" s="45"/>
      <c r="BY132" s="45"/>
      <c r="BZ132" s="45"/>
      <c r="CA132" s="75" t="str">
        <f>REPLACE(INDEX(GroupVertices[Group],MATCH("~"&amp;Vertices[[#This Row],[Vertex]],GroupVertices[Vertex],0)),1,1,"")</f>
        <v>2</v>
      </c>
      <c r="CB132" s="2"/>
    </row>
    <row r="133" spans="1:80" ht="34.05" customHeight="1">
      <c r="A133" s="61" t="s">
        <v>721</v>
      </c>
      <c r="C133" s="62"/>
      <c r="D133" s="62"/>
      <c r="E133" s="63"/>
      <c r="F133" s="92"/>
      <c r="G133" s="86" t="str">
        <f>HYPERLINK("https://pbs.twimg.com/profile_images/1612763047084560384/LJtT_VGo_normal.jpg")</f>
        <v>https://pbs.twimg.com/profile_images/1612763047084560384/LJtT_VGo_normal.jpg</v>
      </c>
      <c r="H133" s="93"/>
      <c r="I133" s="66"/>
      <c r="J133" s="67"/>
      <c r="K133" s="94"/>
      <c r="L133" s="66" t="s">
        <v>1954</v>
      </c>
      <c r="M133" s="95"/>
      <c r="N133" s="71">
        <v>7614.1318359375</v>
      </c>
      <c r="O133" s="71">
        <v>1241.5128173828125</v>
      </c>
      <c r="P133" s="72"/>
      <c r="Q133" s="73"/>
      <c r="R133" s="73"/>
      <c r="S133" s="96"/>
      <c r="T133" s="45">
        <v>2</v>
      </c>
      <c r="U133" s="45">
        <v>0</v>
      </c>
      <c r="V133" s="46">
        <v>0</v>
      </c>
      <c r="W133" s="46">
        <v>0.331197</v>
      </c>
      <c r="X133" s="46">
        <v>0.029574</v>
      </c>
      <c r="Y133" s="46">
        <v>0.005683</v>
      </c>
      <c r="Z133" s="46">
        <v>1</v>
      </c>
      <c r="AA133" s="46">
        <v>0</v>
      </c>
      <c r="AB133" s="68">
        <v>133</v>
      </c>
      <c r="AC133" s="68"/>
      <c r="AD133" s="69"/>
      <c r="AE133" s="76" t="s">
        <v>1364</v>
      </c>
      <c r="AF133" s="80" t="s">
        <v>1483</v>
      </c>
      <c r="AG133" s="76">
        <v>681</v>
      </c>
      <c r="AH133" s="76">
        <v>1173</v>
      </c>
      <c r="AI133" s="76">
        <v>1417</v>
      </c>
      <c r="AJ133" s="76">
        <v>3</v>
      </c>
      <c r="AK133" s="76">
        <v>277</v>
      </c>
      <c r="AL133" s="76">
        <v>894</v>
      </c>
      <c r="AM133" s="76" t="b">
        <v>0</v>
      </c>
      <c r="AN133" s="78">
        <v>42878.38642361111</v>
      </c>
      <c r="AO133" s="76" t="s">
        <v>1556</v>
      </c>
      <c r="AP133" s="76" t="s">
        <v>1679</v>
      </c>
      <c r="AQ133" s="81" t="str">
        <f>HYPERLINK("https://t.co/8ez5gIhYc7")</f>
        <v>https://t.co/8ez5gIhYc7</v>
      </c>
      <c r="AR133" s="81" t="str">
        <f>HYPERLINK("http://www.ripenapps.com/")</f>
        <v>http://www.ripenapps.com/</v>
      </c>
      <c r="AS133" s="76" t="s">
        <v>1793</v>
      </c>
      <c r="AT133" s="76"/>
      <c r="AU133" s="76"/>
      <c r="AV133" s="76"/>
      <c r="AW133" s="76">
        <v>1.52403834367549E+18</v>
      </c>
      <c r="AX133" s="81" t="str">
        <f>HYPERLINK("https://t.co/8ez5gIhYc7")</f>
        <v>https://t.co/8ez5gIhYc7</v>
      </c>
      <c r="AY133" s="76" t="b">
        <v>0</v>
      </c>
      <c r="AZ133" s="76"/>
      <c r="BA133" s="76"/>
      <c r="BB133" s="76" t="b">
        <v>0</v>
      </c>
      <c r="BC133" s="76" t="b">
        <v>1</v>
      </c>
      <c r="BD133" s="76" t="b">
        <v>1</v>
      </c>
      <c r="BE133" s="76" t="b">
        <v>0</v>
      </c>
      <c r="BF133" s="76" t="b">
        <v>0</v>
      </c>
      <c r="BG133" s="76" t="b">
        <v>0</v>
      </c>
      <c r="BH133" s="76" t="b">
        <v>0</v>
      </c>
      <c r="BI133" s="81" t="str">
        <f>HYPERLINK("https://pbs.twimg.com/profile_banners/866945913888972800/1652278644")</f>
        <v>https://pbs.twimg.com/profile_banners/866945913888972800/1652278644</v>
      </c>
      <c r="BJ133" s="76"/>
      <c r="BK133" s="76" t="s">
        <v>330</v>
      </c>
      <c r="BL133" s="76" t="b">
        <v>0</v>
      </c>
      <c r="BM133" s="76"/>
      <c r="BN133" s="76" t="s">
        <v>65</v>
      </c>
      <c r="BO133" s="76" t="s">
        <v>332</v>
      </c>
      <c r="BP133" s="97" t="str">
        <f>HYPERLINK("https://twitter.com/ripenappstech")</f>
        <v>https://twitter.com/ripenappstech</v>
      </c>
      <c r="BQ133" s="45"/>
      <c r="BR133" s="45"/>
      <c r="BS133" s="45"/>
      <c r="BT133" s="45"/>
      <c r="BU133" s="45"/>
      <c r="BV133" s="45"/>
      <c r="BW133" s="45"/>
      <c r="BX133" s="45"/>
      <c r="BY133" s="45"/>
      <c r="BZ133" s="45"/>
      <c r="CA133" s="75" t="str">
        <f>REPLACE(INDEX(GroupVertices[Group],MATCH("~"&amp;Vertices[[#This Row],[Vertex]],GroupVertices[Vertex],0)),1,1,"")</f>
        <v>2</v>
      </c>
      <c r="CB133" s="2"/>
    </row>
    <row r="134" spans="1:80" ht="34.05" customHeight="1">
      <c r="A134" s="61" t="s">
        <v>722</v>
      </c>
      <c r="C134" s="62"/>
      <c r="D134" s="62"/>
      <c r="E134" s="63"/>
      <c r="F134" s="92"/>
      <c r="G134" s="86" t="str">
        <f>HYPERLINK("https://pbs.twimg.com/profile_images/1673241590180220930/YS1JJq6o_normal.jpg")</f>
        <v>https://pbs.twimg.com/profile_images/1673241590180220930/YS1JJq6o_normal.jpg</v>
      </c>
      <c r="H134" s="93"/>
      <c r="I134" s="66"/>
      <c r="J134" s="67"/>
      <c r="K134" s="94"/>
      <c r="L134" s="66" t="s">
        <v>1955</v>
      </c>
      <c r="M134" s="95"/>
      <c r="N134" s="71">
        <v>7189.8203125</v>
      </c>
      <c r="O134" s="71">
        <v>984.51806640625</v>
      </c>
      <c r="P134" s="72"/>
      <c r="Q134" s="73"/>
      <c r="R134" s="73"/>
      <c r="S134" s="96"/>
      <c r="T134" s="45">
        <v>2</v>
      </c>
      <c r="U134" s="45">
        <v>0</v>
      </c>
      <c r="V134" s="46">
        <v>0</v>
      </c>
      <c r="W134" s="46">
        <v>0.331197</v>
      </c>
      <c r="X134" s="46">
        <v>0.029574</v>
      </c>
      <c r="Y134" s="46">
        <v>0.005683</v>
      </c>
      <c r="Z134" s="46">
        <v>1</v>
      </c>
      <c r="AA134" s="46">
        <v>0</v>
      </c>
      <c r="AB134" s="68">
        <v>134</v>
      </c>
      <c r="AC134" s="68"/>
      <c r="AD134" s="69"/>
      <c r="AE134" s="76" t="s">
        <v>1365</v>
      </c>
      <c r="AF134" s="80" t="s">
        <v>1484</v>
      </c>
      <c r="AG134" s="76">
        <v>4714</v>
      </c>
      <c r="AH134" s="76">
        <v>5784</v>
      </c>
      <c r="AI134" s="76">
        <v>583</v>
      </c>
      <c r="AJ134" s="76">
        <v>16</v>
      </c>
      <c r="AK134" s="76">
        <v>2939</v>
      </c>
      <c r="AL134" s="76">
        <v>343</v>
      </c>
      <c r="AM134" s="76" t="b">
        <v>0</v>
      </c>
      <c r="AN134" s="78">
        <v>39739.81832175926</v>
      </c>
      <c r="AO134" s="76" t="s">
        <v>308</v>
      </c>
      <c r="AP134" s="76" t="s">
        <v>1680</v>
      </c>
      <c r="AQ134" s="81" t="str">
        <f>HYPERLINK("https://t.co/WHAIUwppP3")</f>
        <v>https://t.co/WHAIUwppP3</v>
      </c>
      <c r="AR134" s="81" t="str">
        <f>HYPERLINK("http://www.A1future.com")</f>
        <v>http://www.A1future.com</v>
      </c>
      <c r="AS134" s="76" t="s">
        <v>1794</v>
      </c>
      <c r="AT134" s="76"/>
      <c r="AU134" s="76"/>
      <c r="AV134" s="76"/>
      <c r="AW134" s="76"/>
      <c r="AX134" s="81" t="str">
        <f>HYPERLINK("https://t.co/WHAIUwppP3")</f>
        <v>https://t.co/WHAIUwppP3</v>
      </c>
      <c r="AY134" s="76" t="b">
        <v>0</v>
      </c>
      <c r="AZ134" s="76"/>
      <c r="BA134" s="76"/>
      <c r="BB134" s="76" t="b">
        <v>0</v>
      </c>
      <c r="BC134" s="76" t="b">
        <v>1</v>
      </c>
      <c r="BD134" s="76" t="b">
        <v>1</v>
      </c>
      <c r="BE134" s="76" t="b">
        <v>0</v>
      </c>
      <c r="BF134" s="76" t="b">
        <v>0</v>
      </c>
      <c r="BG134" s="76" t="b">
        <v>0</v>
      </c>
      <c r="BH134" s="76" t="b">
        <v>0</v>
      </c>
      <c r="BI134" s="81" t="str">
        <f>HYPERLINK("https://pbs.twimg.com/profile_banners/16842439/1692787856")</f>
        <v>https://pbs.twimg.com/profile_banners/16842439/1692787856</v>
      </c>
      <c r="BJ134" s="76"/>
      <c r="BK134" s="76" t="s">
        <v>330</v>
      </c>
      <c r="BL134" s="76" t="b">
        <v>0</v>
      </c>
      <c r="BM134" s="76"/>
      <c r="BN134" s="76" t="s">
        <v>65</v>
      </c>
      <c r="BO134" s="76" t="s">
        <v>332</v>
      </c>
      <c r="BP134" s="97" t="str">
        <f>HYPERLINK("https://twitter.com/a1future")</f>
        <v>https://twitter.com/a1future</v>
      </c>
      <c r="BQ134" s="45"/>
      <c r="BR134" s="45"/>
      <c r="BS134" s="45"/>
      <c r="BT134" s="45"/>
      <c r="BU134" s="45"/>
      <c r="BV134" s="45"/>
      <c r="BW134" s="45"/>
      <c r="BX134" s="45"/>
      <c r="BY134" s="45"/>
      <c r="BZ134" s="45"/>
      <c r="CA134" s="75" t="str">
        <f>REPLACE(INDEX(GroupVertices[Group],MATCH("~"&amp;Vertices[[#This Row],[Vertex]],GroupVertices[Vertex],0)),1,1,"")</f>
        <v>2</v>
      </c>
      <c r="CB134" s="2"/>
    </row>
    <row r="135" spans="1:80" ht="34.05" customHeight="1">
      <c r="A135" s="61" t="s">
        <v>392</v>
      </c>
      <c r="C135" s="62"/>
      <c r="D135" s="62"/>
      <c r="E135" s="63"/>
      <c r="F135" s="92"/>
      <c r="G135" s="86" t="str">
        <f>HYPERLINK("https://pbs.twimg.com/profile_images/1296790366083899392/evocoOcC_normal.jpg")</f>
        <v>https://pbs.twimg.com/profile_images/1296790366083899392/evocoOcC_normal.jpg</v>
      </c>
      <c r="H135" s="93"/>
      <c r="I135" s="66"/>
      <c r="J135" s="67"/>
      <c r="K135" s="94"/>
      <c r="L135" s="66" t="s">
        <v>1956</v>
      </c>
      <c r="M135" s="95"/>
      <c r="N135" s="71">
        <v>7168.7275390625</v>
      </c>
      <c r="O135" s="71">
        <v>3931.8046875</v>
      </c>
      <c r="P135" s="72"/>
      <c r="Q135" s="73"/>
      <c r="R135" s="73"/>
      <c r="S135" s="96"/>
      <c r="T135" s="45">
        <v>2</v>
      </c>
      <c r="U135" s="45">
        <v>9</v>
      </c>
      <c r="V135" s="46">
        <v>379.5</v>
      </c>
      <c r="W135" s="46">
        <v>0.45858</v>
      </c>
      <c r="X135" s="46">
        <v>0.131007</v>
      </c>
      <c r="Y135" s="46">
        <v>0.007095</v>
      </c>
      <c r="Z135" s="46">
        <v>0.2222222222222222</v>
      </c>
      <c r="AA135" s="46">
        <v>0.2222222222222222</v>
      </c>
      <c r="AB135" s="68">
        <v>135</v>
      </c>
      <c r="AC135" s="68"/>
      <c r="AD135" s="69"/>
      <c r="AE135" s="76" t="s">
        <v>418</v>
      </c>
      <c r="AF135" s="80" t="s">
        <v>421</v>
      </c>
      <c r="AG135" s="76">
        <v>3496</v>
      </c>
      <c r="AH135" s="76">
        <v>2705</v>
      </c>
      <c r="AI135" s="76">
        <v>4118</v>
      </c>
      <c r="AJ135" s="76">
        <v>176</v>
      </c>
      <c r="AK135" s="76">
        <v>8458</v>
      </c>
      <c r="AL135" s="76">
        <v>1621</v>
      </c>
      <c r="AM135" s="76" t="b">
        <v>0</v>
      </c>
      <c r="AN135" s="78">
        <v>40059.64833333333</v>
      </c>
      <c r="AO135" s="76" t="s">
        <v>426</v>
      </c>
      <c r="AP135" s="76" t="s">
        <v>432</v>
      </c>
      <c r="AQ135" s="81" t="str">
        <f>HYPERLINK("https://t.co/yBgL9RyLqL")</f>
        <v>https://t.co/yBgL9RyLqL</v>
      </c>
      <c r="AR135" s="81" t="str">
        <f>HYPERLINK("http://www.thriveagency.com")</f>
        <v>http://www.thriveagency.com</v>
      </c>
      <c r="AS135" s="76" t="s">
        <v>401</v>
      </c>
      <c r="AT135" s="81" t="str">
        <f>HYPERLINK("https://t.co/GWZhY62bDm")</f>
        <v>https://t.co/GWZhY62bDm</v>
      </c>
      <c r="AU135" s="81" t="str">
        <f>HYPERLINK("https://lnk.bio/thriveagency")</f>
        <v>https://lnk.bio/thriveagency</v>
      </c>
      <c r="AV135" s="76" t="s">
        <v>437</v>
      </c>
      <c r="AW135" s="76">
        <v>1.70884186900079E+18</v>
      </c>
      <c r="AX135" s="81" t="str">
        <f>HYPERLINK("https://t.co/yBgL9RyLqL")</f>
        <v>https://t.co/yBgL9RyLqL</v>
      </c>
      <c r="AY135" s="76" t="b">
        <v>0</v>
      </c>
      <c r="AZ135" s="76"/>
      <c r="BA135" s="76"/>
      <c r="BB135" s="76" t="b">
        <v>0</v>
      </c>
      <c r="BC135" s="76" t="b">
        <v>1</v>
      </c>
      <c r="BD135" s="76" t="b">
        <v>0</v>
      </c>
      <c r="BE135" s="76" t="b">
        <v>0</v>
      </c>
      <c r="BF135" s="76" t="b">
        <v>1</v>
      </c>
      <c r="BG135" s="76" t="b">
        <v>0</v>
      </c>
      <c r="BH135" s="76" t="b">
        <v>0</v>
      </c>
      <c r="BI135" s="81" t="str">
        <f>HYPERLINK("https://pbs.twimg.com/profile_banners/71281607/1483569058")</f>
        <v>https://pbs.twimg.com/profile_banners/71281607/1483569058</v>
      </c>
      <c r="BJ135" s="76"/>
      <c r="BK135" s="76" t="s">
        <v>331</v>
      </c>
      <c r="BL135" s="76" t="b">
        <v>0</v>
      </c>
      <c r="BM135" s="76"/>
      <c r="BN135" s="76" t="s">
        <v>66</v>
      </c>
      <c r="BO135" s="76" t="s">
        <v>332</v>
      </c>
      <c r="BP135" s="97" t="str">
        <f>HYPERLINK("https://twitter.com/thriveagency")</f>
        <v>https://twitter.com/thriveagency</v>
      </c>
      <c r="BQ135" s="45"/>
      <c r="BR135" s="45"/>
      <c r="BS135" s="45"/>
      <c r="BT135" s="45"/>
      <c r="BU135" s="45"/>
      <c r="BV135" s="45"/>
      <c r="BW135" s="90" t="s">
        <v>2215</v>
      </c>
      <c r="BX135" s="90" t="s">
        <v>2215</v>
      </c>
      <c r="BY135" s="90" t="s">
        <v>2287</v>
      </c>
      <c r="BZ135" s="90" t="s">
        <v>2287</v>
      </c>
      <c r="CA135" s="75" t="str">
        <f>REPLACE(INDEX(GroupVertices[Group],MATCH("~"&amp;Vertices[[#This Row],[Vertex]],GroupVertices[Vertex],0)),1,1,"")</f>
        <v>2</v>
      </c>
      <c r="CB135" s="2"/>
    </row>
    <row r="136" spans="1:80" ht="34.05" customHeight="1">
      <c r="A136" s="61" t="s">
        <v>636</v>
      </c>
      <c r="C136" s="62"/>
      <c r="D136" s="62"/>
      <c r="E136" s="63"/>
      <c r="F136" s="92"/>
      <c r="G136" s="86" t="str">
        <f>HYPERLINK("https://abs.twimg.com/sticky/default_profile_images/default_profile_normal.png")</f>
        <v>https://abs.twimg.com/sticky/default_profile_images/default_profile_normal.png</v>
      </c>
      <c r="H136" s="93"/>
      <c r="I136" s="66"/>
      <c r="J136" s="67"/>
      <c r="K136" s="94"/>
      <c r="L136" s="66" t="s">
        <v>1957</v>
      </c>
      <c r="M136" s="95"/>
      <c r="N136" s="71">
        <v>5335.787109375</v>
      </c>
      <c r="O136" s="71">
        <v>2849.9033203125</v>
      </c>
      <c r="P136" s="72"/>
      <c r="Q136" s="73"/>
      <c r="R136" s="73"/>
      <c r="S136" s="96"/>
      <c r="T136" s="45">
        <v>0</v>
      </c>
      <c r="U136" s="45">
        <v>1</v>
      </c>
      <c r="V136" s="46">
        <v>0</v>
      </c>
      <c r="W136" s="46">
        <v>0.41555</v>
      </c>
      <c r="X136" s="46">
        <v>0.065898</v>
      </c>
      <c r="Y136" s="46">
        <v>0.005556</v>
      </c>
      <c r="Z136" s="46">
        <v>0</v>
      </c>
      <c r="AA136" s="46">
        <v>0</v>
      </c>
      <c r="AB136" s="68">
        <v>136</v>
      </c>
      <c r="AC136" s="68"/>
      <c r="AD136" s="69"/>
      <c r="AE136" s="76" t="s">
        <v>1366</v>
      </c>
      <c r="AF136" s="80" t="s">
        <v>1485</v>
      </c>
      <c r="AG136" s="76">
        <v>2</v>
      </c>
      <c r="AH136" s="76">
        <v>3</v>
      </c>
      <c r="AI136" s="76">
        <v>1</v>
      </c>
      <c r="AJ136" s="76">
        <v>0</v>
      </c>
      <c r="AK136" s="76">
        <v>0</v>
      </c>
      <c r="AL136" s="76">
        <v>0</v>
      </c>
      <c r="AM136" s="76" t="b">
        <v>0</v>
      </c>
      <c r="AN136" s="78">
        <v>41927.27491898148</v>
      </c>
      <c r="AO136" s="76"/>
      <c r="AP136" s="76"/>
      <c r="AQ136" s="76"/>
      <c r="AR136" s="76"/>
      <c r="AS136" s="76"/>
      <c r="AT136" s="76"/>
      <c r="AU136" s="76"/>
      <c r="AV136" s="76"/>
      <c r="AW136" s="76"/>
      <c r="AX136" s="76"/>
      <c r="AY136" s="76" t="b">
        <v>0</v>
      </c>
      <c r="AZ136" s="76" t="b">
        <v>1</v>
      </c>
      <c r="BA136" s="76"/>
      <c r="BB136" s="76" t="b">
        <v>1</v>
      </c>
      <c r="BC136" s="76" t="b">
        <v>1</v>
      </c>
      <c r="BD136" s="76" t="b">
        <v>1</v>
      </c>
      <c r="BE136" s="76" t="b">
        <v>1</v>
      </c>
      <c r="BF136" s="76" t="b">
        <v>0</v>
      </c>
      <c r="BG136" s="76" t="b">
        <v>0</v>
      </c>
      <c r="BH136" s="76" t="b">
        <v>0</v>
      </c>
      <c r="BI136" s="76"/>
      <c r="BJ136" s="76"/>
      <c r="BK136" s="76" t="s">
        <v>330</v>
      </c>
      <c r="BL136" s="76" t="b">
        <v>0</v>
      </c>
      <c r="BM136" s="76"/>
      <c r="BN136" s="76" t="s">
        <v>66</v>
      </c>
      <c r="BO136" s="76" t="s">
        <v>332</v>
      </c>
      <c r="BP136" s="97" t="str">
        <f>HYPERLINK("https://twitter.com/wendy97053587")</f>
        <v>https://twitter.com/wendy97053587</v>
      </c>
      <c r="BQ136" s="45"/>
      <c r="BR136" s="45"/>
      <c r="BS136" s="45"/>
      <c r="BT136" s="45"/>
      <c r="BU136" s="45"/>
      <c r="BV136" s="45"/>
      <c r="BW136" s="90" t="s">
        <v>2216</v>
      </c>
      <c r="BX136" s="90" t="s">
        <v>2216</v>
      </c>
      <c r="BY136" s="90" t="s">
        <v>2288</v>
      </c>
      <c r="BZ136" s="90" t="s">
        <v>2288</v>
      </c>
      <c r="CA136" s="75" t="str">
        <f>REPLACE(INDEX(GroupVertices[Group],MATCH("~"&amp;Vertices[[#This Row],[Vertex]],GroupVertices[Vertex],0)),1,1,"")</f>
        <v>1</v>
      </c>
      <c r="CB136" s="2"/>
    </row>
    <row r="137" spans="1:80" ht="34.05" customHeight="1">
      <c r="A137" s="61" t="s">
        <v>637</v>
      </c>
      <c r="C137" s="62"/>
      <c r="D137" s="62"/>
      <c r="E137" s="63"/>
      <c r="F137" s="92"/>
      <c r="G137" s="86" t="str">
        <f>HYPERLINK("https://pbs.twimg.com/profile_images/874339226023755777/kXsi95qh_normal.jpg")</f>
        <v>https://pbs.twimg.com/profile_images/874339226023755777/kXsi95qh_normal.jpg</v>
      </c>
      <c r="H137" s="93"/>
      <c r="I137" s="66"/>
      <c r="J137" s="67"/>
      <c r="K137" s="94"/>
      <c r="L137" s="66" t="s">
        <v>1958</v>
      </c>
      <c r="M137" s="95"/>
      <c r="N137" s="71">
        <v>6960.61083984375</v>
      </c>
      <c r="O137" s="71">
        <v>5892.7890625</v>
      </c>
      <c r="P137" s="72"/>
      <c r="Q137" s="73"/>
      <c r="R137" s="73"/>
      <c r="S137" s="96"/>
      <c r="T137" s="45">
        <v>0</v>
      </c>
      <c r="U137" s="45">
        <v>1</v>
      </c>
      <c r="V137" s="46">
        <v>0</v>
      </c>
      <c r="W137" s="46">
        <v>0.41555</v>
      </c>
      <c r="X137" s="46">
        <v>0.065898</v>
      </c>
      <c r="Y137" s="46">
        <v>0.005556</v>
      </c>
      <c r="Z137" s="46">
        <v>0</v>
      </c>
      <c r="AA137" s="46">
        <v>0</v>
      </c>
      <c r="AB137" s="68">
        <v>137</v>
      </c>
      <c r="AC137" s="68"/>
      <c r="AD137" s="69"/>
      <c r="AE137" s="76" t="s">
        <v>1367</v>
      </c>
      <c r="AF137" s="80" t="s">
        <v>1486</v>
      </c>
      <c r="AG137" s="76">
        <v>676</v>
      </c>
      <c r="AH137" s="76">
        <v>804</v>
      </c>
      <c r="AI137" s="76">
        <v>7731</v>
      </c>
      <c r="AJ137" s="76">
        <v>264</v>
      </c>
      <c r="AK137" s="76">
        <v>104</v>
      </c>
      <c r="AL137" s="76">
        <v>1776</v>
      </c>
      <c r="AM137" s="76" t="b">
        <v>0</v>
      </c>
      <c r="AN137" s="78">
        <v>42038.076574074075</v>
      </c>
      <c r="AO137" s="76" t="s">
        <v>1557</v>
      </c>
      <c r="AP137" s="76" t="s">
        <v>1681</v>
      </c>
      <c r="AQ137" s="81" t="str">
        <f>HYPERLINK("http://t.co/CiT9GQx6UM")</f>
        <v>http://t.co/CiT9GQx6UM</v>
      </c>
      <c r="AR137" s="81" t="str">
        <f>HYPERLINK("http://www.bluformiga.biz")</f>
        <v>http://www.bluformiga.biz</v>
      </c>
      <c r="AS137" s="76" t="s">
        <v>1795</v>
      </c>
      <c r="AT137" s="76"/>
      <c r="AU137" s="76"/>
      <c r="AV137" s="76"/>
      <c r="AW137" s="76">
        <v>9.38375891788488E+17</v>
      </c>
      <c r="AX137" s="81" t="str">
        <f>HYPERLINK("http://t.co/CiT9GQx6UM")</f>
        <v>http://t.co/CiT9GQx6UM</v>
      </c>
      <c r="AY137" s="76" t="b">
        <v>0</v>
      </c>
      <c r="AZ137" s="76" t="b">
        <v>1</v>
      </c>
      <c r="BA137" s="76"/>
      <c r="BB137" s="76" t="b">
        <v>1</v>
      </c>
      <c r="BC137" s="76" t="b">
        <v>1</v>
      </c>
      <c r="BD137" s="76" t="b">
        <v>0</v>
      </c>
      <c r="BE137" s="76" t="b">
        <v>0</v>
      </c>
      <c r="BF137" s="76" t="b">
        <v>0</v>
      </c>
      <c r="BG137" s="76" t="b">
        <v>0</v>
      </c>
      <c r="BH137" s="76" t="b">
        <v>0</v>
      </c>
      <c r="BI137" s="81" t="str">
        <f>HYPERLINK("https://pbs.twimg.com/profile_banners/3013566597/1497293183")</f>
        <v>https://pbs.twimg.com/profile_banners/3013566597/1497293183</v>
      </c>
      <c r="BJ137" s="76"/>
      <c r="BK137" s="76" t="s">
        <v>330</v>
      </c>
      <c r="BL137" s="76" t="b">
        <v>0</v>
      </c>
      <c r="BM137" s="76"/>
      <c r="BN137" s="76" t="s">
        <v>66</v>
      </c>
      <c r="BO137" s="76" t="s">
        <v>332</v>
      </c>
      <c r="BP137" s="97" t="str">
        <f>HYPERLINK("https://twitter.com/bluformiga")</f>
        <v>https://twitter.com/bluformiga</v>
      </c>
      <c r="BQ137" s="45" t="s">
        <v>866</v>
      </c>
      <c r="BR137" s="45" t="s">
        <v>866</v>
      </c>
      <c r="BS137" s="45" t="s">
        <v>887</v>
      </c>
      <c r="BT137" s="45" t="s">
        <v>2147</v>
      </c>
      <c r="BU137" s="45"/>
      <c r="BV137" s="45"/>
      <c r="BW137" s="90" t="s">
        <v>2217</v>
      </c>
      <c r="BX137" s="90" t="s">
        <v>2217</v>
      </c>
      <c r="BY137" s="90" t="s">
        <v>2289</v>
      </c>
      <c r="BZ137" s="90" t="s">
        <v>2289</v>
      </c>
      <c r="CA137" s="75" t="str">
        <f>REPLACE(INDEX(GroupVertices[Group],MATCH("~"&amp;Vertices[[#This Row],[Vertex]],GroupVertices[Vertex],0)),1,1,"")</f>
        <v>1</v>
      </c>
      <c r="CB137" s="2"/>
    </row>
    <row r="138" spans="1:80" ht="34.05" customHeight="1">
      <c r="A138" s="61" t="s">
        <v>638</v>
      </c>
      <c r="C138" s="62"/>
      <c r="D138" s="62"/>
      <c r="E138" s="63"/>
      <c r="F138" s="92"/>
      <c r="G138" s="86" t="str">
        <f>HYPERLINK("https://pbs.twimg.com/profile_images/1682857379946287105/VI5Itl1O_normal.jpg")</f>
        <v>https://pbs.twimg.com/profile_images/1682857379946287105/VI5Itl1O_normal.jpg</v>
      </c>
      <c r="H138" s="93"/>
      <c r="I138" s="66"/>
      <c r="J138" s="67"/>
      <c r="K138" s="94"/>
      <c r="L138" s="66" t="s">
        <v>1959</v>
      </c>
      <c r="M138" s="95"/>
      <c r="N138" s="71">
        <v>3210.11279296875</v>
      </c>
      <c r="O138" s="71">
        <v>4459.91796875</v>
      </c>
      <c r="P138" s="72"/>
      <c r="Q138" s="73"/>
      <c r="R138" s="73"/>
      <c r="S138" s="96"/>
      <c r="T138" s="45">
        <v>0</v>
      </c>
      <c r="U138" s="45">
        <v>1</v>
      </c>
      <c r="V138" s="46">
        <v>0</v>
      </c>
      <c r="W138" s="46">
        <v>0.41555</v>
      </c>
      <c r="X138" s="46">
        <v>0.065898</v>
      </c>
      <c r="Y138" s="46">
        <v>0.005556</v>
      </c>
      <c r="Z138" s="46">
        <v>0</v>
      </c>
      <c r="AA138" s="46">
        <v>0</v>
      </c>
      <c r="AB138" s="68">
        <v>138</v>
      </c>
      <c r="AC138" s="68"/>
      <c r="AD138" s="69"/>
      <c r="AE138" s="76" t="s">
        <v>1368</v>
      </c>
      <c r="AF138" s="80" t="s">
        <v>1487</v>
      </c>
      <c r="AG138" s="76">
        <v>15441</v>
      </c>
      <c r="AH138" s="76">
        <v>4001</v>
      </c>
      <c r="AI138" s="76">
        <v>186612</v>
      </c>
      <c r="AJ138" s="76">
        <v>2</v>
      </c>
      <c r="AK138" s="76">
        <v>702341</v>
      </c>
      <c r="AL138" s="76">
        <v>7110</v>
      </c>
      <c r="AM138" s="76" t="b">
        <v>0</v>
      </c>
      <c r="AN138" s="78">
        <v>40884.46761574074</v>
      </c>
      <c r="AO138" s="76" t="s">
        <v>1558</v>
      </c>
      <c r="AP138" s="76" t="s">
        <v>1682</v>
      </c>
      <c r="AQ138" s="76"/>
      <c r="AR138" s="76"/>
      <c r="AS138" s="76"/>
      <c r="AT138" s="76"/>
      <c r="AU138" s="76"/>
      <c r="AV138" s="76"/>
      <c r="AW138" s="76">
        <v>1.21699031378243E+18</v>
      </c>
      <c r="AX138" s="76"/>
      <c r="AY138" s="76" t="b">
        <v>0</v>
      </c>
      <c r="AZ138" s="76"/>
      <c r="BA138" s="76"/>
      <c r="BB138" s="76" t="b">
        <v>1</v>
      </c>
      <c r="BC138" s="76" t="b">
        <v>1</v>
      </c>
      <c r="BD138" s="76" t="b">
        <v>0</v>
      </c>
      <c r="BE138" s="76" t="b">
        <v>0</v>
      </c>
      <c r="BF138" s="76" t="b">
        <v>1</v>
      </c>
      <c r="BG138" s="76" t="b">
        <v>0</v>
      </c>
      <c r="BH138" s="76" t="b">
        <v>0</v>
      </c>
      <c r="BI138" s="81" t="str">
        <f>HYPERLINK("https://pbs.twimg.com/profile_banners/430610967/1685729236")</f>
        <v>https://pbs.twimg.com/profile_banners/430610967/1685729236</v>
      </c>
      <c r="BJ138" s="76"/>
      <c r="BK138" s="76" t="s">
        <v>330</v>
      </c>
      <c r="BL138" s="76" t="b">
        <v>0</v>
      </c>
      <c r="BM138" s="76"/>
      <c r="BN138" s="76" t="s">
        <v>66</v>
      </c>
      <c r="BO138" s="76" t="s">
        <v>332</v>
      </c>
      <c r="BP138" s="97" t="str">
        <f>HYPERLINK("https://twitter.com/mackphason")</f>
        <v>https://twitter.com/mackphason</v>
      </c>
      <c r="BQ138" s="45" t="s">
        <v>2136</v>
      </c>
      <c r="BR138" s="45" t="s">
        <v>2136</v>
      </c>
      <c r="BS138" s="45" t="s">
        <v>236</v>
      </c>
      <c r="BT138" s="45" t="s">
        <v>236</v>
      </c>
      <c r="BU138" s="45"/>
      <c r="BV138" s="45"/>
      <c r="BW138" s="90" t="s">
        <v>2218</v>
      </c>
      <c r="BX138" s="90" t="s">
        <v>2218</v>
      </c>
      <c r="BY138" s="90" t="s">
        <v>2290</v>
      </c>
      <c r="BZ138" s="90" t="s">
        <v>2290</v>
      </c>
      <c r="CA138" s="75" t="str">
        <f>REPLACE(INDEX(GroupVertices[Group],MATCH("~"&amp;Vertices[[#This Row],[Vertex]],GroupVertices[Vertex],0)),1,1,"")</f>
        <v>1</v>
      </c>
      <c r="CB138" s="2"/>
    </row>
    <row r="139" spans="1:80" ht="34.05" customHeight="1">
      <c r="A139" s="61" t="s">
        <v>639</v>
      </c>
      <c r="C139" s="62"/>
      <c r="D139" s="62"/>
      <c r="E139" s="63"/>
      <c r="F139" s="92"/>
      <c r="G139" s="86" t="str">
        <f>HYPERLINK("https://pbs.twimg.com/profile_images/990197838872219648/A86Smvr9_normal.jpg")</f>
        <v>https://pbs.twimg.com/profile_images/990197838872219648/A86Smvr9_normal.jpg</v>
      </c>
      <c r="H139" s="93"/>
      <c r="I139" s="66"/>
      <c r="J139" s="67"/>
      <c r="K139" s="94"/>
      <c r="L139" s="66" t="s">
        <v>1960</v>
      </c>
      <c r="M139" s="95"/>
      <c r="N139" s="71">
        <v>6446.9775390625</v>
      </c>
      <c r="O139" s="71">
        <v>4959.7177734375</v>
      </c>
      <c r="P139" s="72"/>
      <c r="Q139" s="73"/>
      <c r="R139" s="73"/>
      <c r="S139" s="96"/>
      <c r="T139" s="45">
        <v>0</v>
      </c>
      <c r="U139" s="45">
        <v>1</v>
      </c>
      <c r="V139" s="46">
        <v>0</v>
      </c>
      <c r="W139" s="46">
        <v>0.41555</v>
      </c>
      <c r="X139" s="46">
        <v>0.065898</v>
      </c>
      <c r="Y139" s="46">
        <v>0.005556</v>
      </c>
      <c r="Z139" s="46">
        <v>0</v>
      </c>
      <c r="AA139" s="46">
        <v>0</v>
      </c>
      <c r="AB139" s="68">
        <v>139</v>
      </c>
      <c r="AC139" s="68"/>
      <c r="AD139" s="69"/>
      <c r="AE139" s="76" t="s">
        <v>1369</v>
      </c>
      <c r="AF139" s="80" t="s">
        <v>1488</v>
      </c>
      <c r="AG139" s="76">
        <v>537</v>
      </c>
      <c r="AH139" s="76">
        <v>1141</v>
      </c>
      <c r="AI139" s="76">
        <v>4344</v>
      </c>
      <c r="AJ139" s="76">
        <v>20</v>
      </c>
      <c r="AK139" s="76">
        <v>13</v>
      </c>
      <c r="AL139" s="76">
        <v>3582</v>
      </c>
      <c r="AM139" s="76" t="b">
        <v>0</v>
      </c>
      <c r="AN139" s="78">
        <v>41778.93633101852</v>
      </c>
      <c r="AO139" s="76" t="s">
        <v>295</v>
      </c>
      <c r="AP139" s="76" t="s">
        <v>1683</v>
      </c>
      <c r="AQ139" s="81" t="str">
        <f>HYPERLINK("https://t.co/0dkXhSg7W5")</f>
        <v>https://t.co/0dkXhSg7W5</v>
      </c>
      <c r="AR139" s="81" t="str">
        <f>HYPERLINK("https://www.softwarefindr.com")</f>
        <v>https://www.softwarefindr.com</v>
      </c>
      <c r="AS139" s="76" t="s">
        <v>1796</v>
      </c>
      <c r="AT139" s="81" t="str">
        <f>HYPERLINK("https://t.co/6QDU4jeYR4")</f>
        <v>https://t.co/6QDU4jeYR4</v>
      </c>
      <c r="AU139" s="81" t="str">
        <f>HYPERLINK("https://www.softwarefindr.com/")</f>
        <v>https://www.softwarefindr.com/</v>
      </c>
      <c r="AV139" s="76" t="s">
        <v>1796</v>
      </c>
      <c r="AW139" s="76"/>
      <c r="AX139" s="81" t="str">
        <f>HYPERLINK("https://t.co/0dkXhSg7W5")</f>
        <v>https://t.co/0dkXhSg7W5</v>
      </c>
      <c r="AY139" s="76" t="b">
        <v>0</v>
      </c>
      <c r="AZ139" s="76" t="b">
        <v>1</v>
      </c>
      <c r="BA139" s="76"/>
      <c r="BB139" s="76" t="b">
        <v>1</v>
      </c>
      <c r="BC139" s="76" t="b">
        <v>1</v>
      </c>
      <c r="BD139" s="76" t="b">
        <v>0</v>
      </c>
      <c r="BE139" s="76" t="b">
        <v>0</v>
      </c>
      <c r="BF139" s="76" t="b">
        <v>0</v>
      </c>
      <c r="BG139" s="76" t="b">
        <v>0</v>
      </c>
      <c r="BH139" s="76" t="b">
        <v>0</v>
      </c>
      <c r="BI139" s="81" t="str">
        <f>HYPERLINK("https://pbs.twimg.com/profile_banners/2508626119/1524916503")</f>
        <v>https://pbs.twimg.com/profile_banners/2508626119/1524916503</v>
      </c>
      <c r="BJ139" s="76"/>
      <c r="BK139" s="76" t="s">
        <v>330</v>
      </c>
      <c r="BL139" s="76" t="b">
        <v>0</v>
      </c>
      <c r="BM139" s="76"/>
      <c r="BN139" s="76" t="s">
        <v>66</v>
      </c>
      <c r="BO139" s="76" t="s">
        <v>332</v>
      </c>
      <c r="BP139" s="97" t="str">
        <f>HYPERLINK("https://twitter.com/softwarefindr_")</f>
        <v>https://twitter.com/softwarefindr_</v>
      </c>
      <c r="BQ139" s="45"/>
      <c r="BR139" s="45"/>
      <c r="BS139" s="45"/>
      <c r="BT139" s="45"/>
      <c r="BU139" s="45"/>
      <c r="BV139" s="45"/>
      <c r="BW139" s="90" t="s">
        <v>2219</v>
      </c>
      <c r="BX139" s="90" t="s">
        <v>2219</v>
      </c>
      <c r="BY139" s="90" t="s">
        <v>2291</v>
      </c>
      <c r="BZ139" s="90" t="s">
        <v>2291</v>
      </c>
      <c r="CA139" s="75" t="str">
        <f>REPLACE(INDEX(GroupVertices[Group],MATCH("~"&amp;Vertices[[#This Row],[Vertex]],GroupVertices[Vertex],0)),1,1,"")</f>
        <v>1</v>
      </c>
      <c r="CB139" s="2"/>
    </row>
    <row r="140" spans="1:80" ht="34.05" customHeight="1">
      <c r="A140" s="61" t="s">
        <v>640</v>
      </c>
      <c r="C140" s="62"/>
      <c r="D140" s="62"/>
      <c r="E140" s="63"/>
      <c r="F140" s="92"/>
      <c r="G140" s="86" t="str">
        <f>HYPERLINK("https://pbs.twimg.com/profile_images/3576806864/d4f8631a5781656b82ea51cf77beb9d3_normal.png")</f>
        <v>https://pbs.twimg.com/profile_images/3576806864/d4f8631a5781656b82ea51cf77beb9d3_normal.png</v>
      </c>
      <c r="H140" s="93"/>
      <c r="I140" s="66"/>
      <c r="J140" s="67"/>
      <c r="K140" s="94"/>
      <c r="L140" s="66" t="s">
        <v>1961</v>
      </c>
      <c r="M140" s="95"/>
      <c r="N140" s="71">
        <v>2714.25</v>
      </c>
      <c r="O140" s="71">
        <v>5232.96435546875</v>
      </c>
      <c r="P140" s="72"/>
      <c r="Q140" s="73"/>
      <c r="R140" s="73"/>
      <c r="S140" s="96"/>
      <c r="T140" s="45">
        <v>0</v>
      </c>
      <c r="U140" s="45">
        <v>2</v>
      </c>
      <c r="V140" s="46">
        <v>75.5</v>
      </c>
      <c r="W140" s="46">
        <v>0.41779</v>
      </c>
      <c r="X140" s="46">
        <v>0.06841</v>
      </c>
      <c r="Y140" s="46">
        <v>0.005826</v>
      </c>
      <c r="Z140" s="46">
        <v>0</v>
      </c>
      <c r="AA140" s="46">
        <v>0</v>
      </c>
      <c r="AB140" s="68">
        <v>140</v>
      </c>
      <c r="AC140" s="68"/>
      <c r="AD140" s="69"/>
      <c r="AE140" s="76" t="s">
        <v>1370</v>
      </c>
      <c r="AF140" s="80" t="s">
        <v>1489</v>
      </c>
      <c r="AG140" s="76">
        <v>350</v>
      </c>
      <c r="AH140" s="76">
        <v>885</v>
      </c>
      <c r="AI140" s="76">
        <v>1294</v>
      </c>
      <c r="AJ140" s="76">
        <v>15</v>
      </c>
      <c r="AK140" s="76">
        <v>117</v>
      </c>
      <c r="AL140" s="76">
        <v>269</v>
      </c>
      <c r="AM140" s="76" t="b">
        <v>0</v>
      </c>
      <c r="AN140" s="78">
        <v>41288.57111111111</v>
      </c>
      <c r="AO140" s="76" t="s">
        <v>1559</v>
      </c>
      <c r="AP140" s="76" t="s">
        <v>1684</v>
      </c>
      <c r="AQ140" s="81" t="str">
        <f>HYPERLINK("http://t.co/KxDTOysERm")</f>
        <v>http://t.co/KxDTOysERm</v>
      </c>
      <c r="AR140" s="81" t="str">
        <f>HYPERLINK("http://www.secondsthatcountstudios.com")</f>
        <v>http://www.secondsthatcountstudios.com</v>
      </c>
      <c r="AS140" s="76" t="s">
        <v>1797</v>
      </c>
      <c r="AT140" s="81" t="str">
        <f>HYPERLINK("https://t.co/3mH17fOO8Q")</f>
        <v>https://t.co/3mH17fOO8Q</v>
      </c>
      <c r="AU140" s="81" t="str">
        <f>HYPERLINK("https://www.twine.fm/kimemson")</f>
        <v>https://www.twine.fm/kimemson</v>
      </c>
      <c r="AV140" s="76" t="s">
        <v>1824</v>
      </c>
      <c r="AW140" s="76"/>
      <c r="AX140" s="81" t="str">
        <f>HYPERLINK("http://t.co/KxDTOysERm")</f>
        <v>http://t.co/KxDTOysERm</v>
      </c>
      <c r="AY140" s="76" t="b">
        <v>0</v>
      </c>
      <c r="AZ140" s="76"/>
      <c r="BA140" s="76"/>
      <c r="BB140" s="76" t="b">
        <v>0</v>
      </c>
      <c r="BC140" s="76" t="b">
        <v>1</v>
      </c>
      <c r="BD140" s="76" t="b">
        <v>0</v>
      </c>
      <c r="BE140" s="76" t="b">
        <v>0</v>
      </c>
      <c r="BF140" s="76" t="b">
        <v>0</v>
      </c>
      <c r="BG140" s="76" t="b">
        <v>0</v>
      </c>
      <c r="BH140" s="76" t="b">
        <v>0</v>
      </c>
      <c r="BI140" s="81" t="str">
        <f>HYPERLINK("https://pbs.twimg.com/profile_banners/1089075913/1366981230")</f>
        <v>https://pbs.twimg.com/profile_banners/1089075913/1366981230</v>
      </c>
      <c r="BJ140" s="76"/>
      <c r="BK140" s="76" t="s">
        <v>330</v>
      </c>
      <c r="BL140" s="76" t="b">
        <v>0</v>
      </c>
      <c r="BM140" s="76"/>
      <c r="BN140" s="76" t="s">
        <v>66</v>
      </c>
      <c r="BO140" s="76" t="s">
        <v>332</v>
      </c>
      <c r="BP140" s="97" t="str">
        <f>HYPERLINK("https://twitter.com/stcstudios")</f>
        <v>https://twitter.com/stcstudios</v>
      </c>
      <c r="BQ140" s="45" t="s">
        <v>2137</v>
      </c>
      <c r="BR140" s="45" t="s">
        <v>2137</v>
      </c>
      <c r="BS140" s="45" t="s">
        <v>233</v>
      </c>
      <c r="BT140" s="45" t="s">
        <v>233</v>
      </c>
      <c r="BU140" s="45" t="s">
        <v>853</v>
      </c>
      <c r="BV140" s="45" t="s">
        <v>853</v>
      </c>
      <c r="BW140" s="90" t="s">
        <v>2220</v>
      </c>
      <c r="BX140" s="90" t="s">
        <v>2220</v>
      </c>
      <c r="BY140" s="90" t="s">
        <v>2292</v>
      </c>
      <c r="BZ140" s="90" t="s">
        <v>2292</v>
      </c>
      <c r="CA140" s="75" t="str">
        <f>REPLACE(INDEX(GroupVertices[Group],MATCH("~"&amp;Vertices[[#This Row],[Vertex]],GroupVertices[Vertex],0)),1,1,"")</f>
        <v>1</v>
      </c>
      <c r="CB140" s="2"/>
    </row>
    <row r="141" spans="1:80" ht="34.05" customHeight="1">
      <c r="A141" s="61" t="s">
        <v>641</v>
      </c>
      <c r="C141" s="62"/>
      <c r="D141" s="62"/>
      <c r="E141" s="63"/>
      <c r="F141" s="92"/>
      <c r="G141" s="86" t="str">
        <f>HYPERLINK("https://pbs.twimg.com/profile_images/661473093890654208/8rc2wsU2_normal.jpg")</f>
        <v>https://pbs.twimg.com/profile_images/661473093890654208/8rc2wsU2_normal.jpg</v>
      </c>
      <c r="H141" s="93"/>
      <c r="I141" s="66"/>
      <c r="J141" s="67"/>
      <c r="K141" s="94"/>
      <c r="L141" s="66" t="s">
        <v>1962</v>
      </c>
      <c r="M141" s="95"/>
      <c r="N141" s="71">
        <v>7250.0791015625</v>
      </c>
      <c r="O141" s="71">
        <v>6254.8740234375</v>
      </c>
      <c r="P141" s="72"/>
      <c r="Q141" s="73"/>
      <c r="R141" s="73"/>
      <c r="S141" s="96"/>
      <c r="T141" s="45">
        <v>0</v>
      </c>
      <c r="U141" s="45">
        <v>2</v>
      </c>
      <c r="V141" s="46">
        <v>308</v>
      </c>
      <c r="W141" s="46">
        <v>0.41779</v>
      </c>
      <c r="X141" s="46">
        <v>0.066508</v>
      </c>
      <c r="Y141" s="46">
        <v>0.006446</v>
      </c>
      <c r="Z141" s="46">
        <v>0</v>
      </c>
      <c r="AA141" s="46">
        <v>0</v>
      </c>
      <c r="AB141" s="68">
        <v>141</v>
      </c>
      <c r="AC141" s="68"/>
      <c r="AD141" s="69"/>
      <c r="AE141" s="76" t="s">
        <v>1371</v>
      </c>
      <c r="AF141" s="80" t="s">
        <v>1490</v>
      </c>
      <c r="AG141" s="76">
        <v>413</v>
      </c>
      <c r="AH141" s="76">
        <v>605</v>
      </c>
      <c r="AI141" s="76">
        <v>3401</v>
      </c>
      <c r="AJ141" s="76">
        <v>108</v>
      </c>
      <c r="AK141" s="76">
        <v>132</v>
      </c>
      <c r="AL141" s="76">
        <v>19</v>
      </c>
      <c r="AM141" s="76" t="b">
        <v>0</v>
      </c>
      <c r="AN141" s="78">
        <v>42151.533483796295</v>
      </c>
      <c r="AO141" s="76" t="s">
        <v>296</v>
      </c>
      <c r="AP141" s="76" t="s">
        <v>1685</v>
      </c>
      <c r="AQ141" s="81" t="str">
        <f>HYPERLINK("http://t.co/1IunGNupIn")</f>
        <v>http://t.co/1IunGNupIn</v>
      </c>
      <c r="AR141" s="81" t="str">
        <f>HYPERLINK("http://www.designbrandindia.com")</f>
        <v>http://www.designbrandindia.com</v>
      </c>
      <c r="AS141" s="76" t="s">
        <v>1798</v>
      </c>
      <c r="AT141" s="76"/>
      <c r="AU141" s="76"/>
      <c r="AV141" s="76"/>
      <c r="AW141" s="76"/>
      <c r="AX141" s="81" t="str">
        <f>HYPERLINK("http://t.co/1IunGNupIn")</f>
        <v>http://t.co/1IunGNupIn</v>
      </c>
      <c r="AY141" s="76" t="b">
        <v>0</v>
      </c>
      <c r="AZ141" s="76"/>
      <c r="BA141" s="76"/>
      <c r="BB141" s="76" t="b">
        <v>0</v>
      </c>
      <c r="BC141" s="76" t="b">
        <v>1</v>
      </c>
      <c r="BD141" s="76" t="b">
        <v>0</v>
      </c>
      <c r="BE141" s="76" t="b">
        <v>0</v>
      </c>
      <c r="BF141" s="76" t="b">
        <v>0</v>
      </c>
      <c r="BG141" s="76" t="b">
        <v>0</v>
      </c>
      <c r="BH141" s="76" t="b">
        <v>0</v>
      </c>
      <c r="BI141" s="81" t="str">
        <f>HYPERLINK("https://pbs.twimg.com/profile_banners/3228207062/1451472411")</f>
        <v>https://pbs.twimg.com/profile_banners/3228207062/1451472411</v>
      </c>
      <c r="BJ141" s="76"/>
      <c r="BK141" s="76" t="s">
        <v>330</v>
      </c>
      <c r="BL141" s="76" t="b">
        <v>0</v>
      </c>
      <c r="BM141" s="76"/>
      <c r="BN141" s="76" t="s">
        <v>66</v>
      </c>
      <c r="BO141" s="76" t="s">
        <v>332</v>
      </c>
      <c r="BP141" s="97" t="str">
        <f>HYPERLINK("https://twitter.com/designbrandind")</f>
        <v>https://twitter.com/designbrandind</v>
      </c>
      <c r="BQ141" s="45" t="s">
        <v>2010</v>
      </c>
      <c r="BR141" s="45" t="s">
        <v>2010</v>
      </c>
      <c r="BS141" s="45" t="s">
        <v>888</v>
      </c>
      <c r="BT141" s="45" t="s">
        <v>888</v>
      </c>
      <c r="BU141" s="45"/>
      <c r="BV141" s="45"/>
      <c r="BW141" s="90" t="s">
        <v>2221</v>
      </c>
      <c r="BX141" s="90" t="s">
        <v>2221</v>
      </c>
      <c r="BY141" s="90" t="s">
        <v>2293</v>
      </c>
      <c r="BZ141" s="90" t="s">
        <v>2293</v>
      </c>
      <c r="CA141" s="75" t="str">
        <f>REPLACE(INDEX(GroupVertices[Group],MATCH("~"&amp;Vertices[[#This Row],[Vertex]],GroupVertices[Vertex],0)),1,1,"")</f>
        <v>11</v>
      </c>
      <c r="CB141" s="2"/>
    </row>
    <row r="142" spans="1:80" ht="34.05" customHeight="1">
      <c r="A142" s="61" t="s">
        <v>723</v>
      </c>
      <c r="C142" s="62"/>
      <c r="D142" s="62"/>
      <c r="E142" s="63"/>
      <c r="F142" s="92"/>
      <c r="G142" s="86" t="str">
        <f>HYPERLINK("https://pbs.twimg.com/profile_images/603011736753569792/W_Q7sY4D_normal.png")</f>
        <v>https://pbs.twimg.com/profile_images/603011736753569792/W_Q7sY4D_normal.png</v>
      </c>
      <c r="H142" s="93"/>
      <c r="I142" s="66"/>
      <c r="J142" s="67"/>
      <c r="K142" s="94"/>
      <c r="L142" s="66" t="s">
        <v>1963</v>
      </c>
      <c r="M142" s="95"/>
      <c r="N142" s="71">
        <v>9509.2822265625</v>
      </c>
      <c r="O142" s="71">
        <v>7492.1103515625</v>
      </c>
      <c r="P142" s="72"/>
      <c r="Q142" s="73"/>
      <c r="R142" s="73"/>
      <c r="S142" s="96"/>
      <c r="T142" s="45">
        <v>1</v>
      </c>
      <c r="U142" s="45">
        <v>0</v>
      </c>
      <c r="V142" s="46">
        <v>0</v>
      </c>
      <c r="W142" s="46">
        <v>0.295238</v>
      </c>
      <c r="X142" s="46">
        <v>0.006373</v>
      </c>
      <c r="Y142" s="46">
        <v>0.005932</v>
      </c>
      <c r="Z142" s="46">
        <v>0</v>
      </c>
      <c r="AA142" s="46">
        <v>0</v>
      </c>
      <c r="AB142" s="68">
        <v>142</v>
      </c>
      <c r="AC142" s="68"/>
      <c r="AD142" s="69"/>
      <c r="AE142" s="76" t="s">
        <v>1372</v>
      </c>
      <c r="AF142" s="80" t="s">
        <v>1491</v>
      </c>
      <c r="AG142" s="76">
        <v>201</v>
      </c>
      <c r="AH142" s="76">
        <v>71</v>
      </c>
      <c r="AI142" s="76">
        <v>593</v>
      </c>
      <c r="AJ142" s="76">
        <v>2</v>
      </c>
      <c r="AK142" s="76">
        <v>0</v>
      </c>
      <c r="AL142" s="76">
        <v>9</v>
      </c>
      <c r="AM142" s="76" t="b">
        <v>0</v>
      </c>
      <c r="AN142" s="78">
        <v>40271.816875</v>
      </c>
      <c r="AO142" s="76" t="s">
        <v>1560</v>
      </c>
      <c r="AP142" s="76" t="s">
        <v>1686</v>
      </c>
      <c r="AQ142" s="81" t="str">
        <f>HYPERLINK("http://t.co/5vAUrt3wYi")</f>
        <v>http://t.co/5vAUrt3wYi</v>
      </c>
      <c r="AR142" s="81" t="str">
        <f>HYPERLINK("http://www.freemanmultimedia.com")</f>
        <v>http://www.freemanmultimedia.com</v>
      </c>
      <c r="AS142" s="76" t="s">
        <v>1799</v>
      </c>
      <c r="AT142" s="76"/>
      <c r="AU142" s="76"/>
      <c r="AV142" s="76"/>
      <c r="AW142" s="76"/>
      <c r="AX142" s="81" t="str">
        <f>HYPERLINK("http://t.co/5vAUrt3wYi")</f>
        <v>http://t.co/5vAUrt3wYi</v>
      </c>
      <c r="AY142" s="76" t="b">
        <v>0</v>
      </c>
      <c r="AZ142" s="76"/>
      <c r="BA142" s="76"/>
      <c r="BB142" s="76" t="b">
        <v>0</v>
      </c>
      <c r="BC142" s="76" t="b">
        <v>1</v>
      </c>
      <c r="BD142" s="76" t="b">
        <v>0</v>
      </c>
      <c r="BE142" s="76" t="b">
        <v>0</v>
      </c>
      <c r="BF142" s="76" t="b">
        <v>0</v>
      </c>
      <c r="BG142" s="76" t="b">
        <v>0</v>
      </c>
      <c r="BH142" s="76" t="b">
        <v>0</v>
      </c>
      <c r="BI142" s="81" t="str">
        <f>HYPERLINK("https://pbs.twimg.com/profile_banners/129279726/1432604162")</f>
        <v>https://pbs.twimg.com/profile_banners/129279726/1432604162</v>
      </c>
      <c r="BJ142" s="76"/>
      <c r="BK142" s="76" t="s">
        <v>330</v>
      </c>
      <c r="BL142" s="76" t="b">
        <v>0</v>
      </c>
      <c r="BM142" s="76"/>
      <c r="BN142" s="76" t="s">
        <v>65</v>
      </c>
      <c r="BO142" s="76" t="s">
        <v>332</v>
      </c>
      <c r="BP142" s="97" t="str">
        <f>HYPERLINK("https://twitter.com/fmidesign")</f>
        <v>https://twitter.com/fmidesign</v>
      </c>
      <c r="BQ142" s="45"/>
      <c r="BR142" s="45"/>
      <c r="BS142" s="45"/>
      <c r="BT142" s="45"/>
      <c r="BU142" s="45"/>
      <c r="BV142" s="45"/>
      <c r="BW142" s="45"/>
      <c r="BX142" s="45"/>
      <c r="BY142" s="45"/>
      <c r="BZ142" s="45"/>
      <c r="CA142" s="75" t="str">
        <f>REPLACE(INDEX(GroupVertices[Group],MATCH("~"&amp;Vertices[[#This Row],[Vertex]],GroupVertices[Vertex],0)),1,1,"")</f>
        <v>11</v>
      </c>
      <c r="CB142" s="2"/>
    </row>
    <row r="143" spans="1:80" ht="34.05" customHeight="1">
      <c r="A143" s="61" t="s">
        <v>642</v>
      </c>
      <c r="C143" s="62"/>
      <c r="D143" s="62"/>
      <c r="E143" s="63"/>
      <c r="F143" s="92"/>
      <c r="G143" s="86" t="str">
        <f>HYPERLINK("https://pbs.twimg.com/profile_images/1595048650220228612/7d0PQZ96_normal.jpg")</f>
        <v>https://pbs.twimg.com/profile_images/1595048650220228612/7d0PQZ96_normal.jpg</v>
      </c>
      <c r="H143" s="93"/>
      <c r="I143" s="66"/>
      <c r="J143" s="67"/>
      <c r="K143" s="94"/>
      <c r="L143" s="66" t="s">
        <v>1964</v>
      </c>
      <c r="M143" s="95"/>
      <c r="N143" s="71">
        <v>3891.216064453125</v>
      </c>
      <c r="O143" s="71">
        <v>7334.9140625</v>
      </c>
      <c r="P143" s="72"/>
      <c r="Q143" s="73"/>
      <c r="R143" s="73"/>
      <c r="S143" s="96"/>
      <c r="T143" s="45">
        <v>0</v>
      </c>
      <c r="U143" s="45">
        <v>6</v>
      </c>
      <c r="V143" s="46">
        <v>1520</v>
      </c>
      <c r="W143" s="46">
        <v>0.426997</v>
      </c>
      <c r="X143" s="46">
        <v>0.069068</v>
      </c>
      <c r="Y143" s="46">
        <v>0.009827</v>
      </c>
      <c r="Z143" s="46">
        <v>0</v>
      </c>
      <c r="AA143" s="46">
        <v>0</v>
      </c>
      <c r="AB143" s="68">
        <v>143</v>
      </c>
      <c r="AC143" s="68"/>
      <c r="AD143" s="69"/>
      <c r="AE143" s="76" t="s">
        <v>1373</v>
      </c>
      <c r="AF143" s="80" t="s">
        <v>1492</v>
      </c>
      <c r="AG143" s="76">
        <v>3712</v>
      </c>
      <c r="AH143" s="76">
        <v>3540</v>
      </c>
      <c r="AI143" s="76">
        <v>1654</v>
      </c>
      <c r="AJ143" s="76">
        <v>25</v>
      </c>
      <c r="AK143" s="76">
        <v>5093</v>
      </c>
      <c r="AL143" s="76">
        <v>641</v>
      </c>
      <c r="AM143" s="76" t="b">
        <v>0</v>
      </c>
      <c r="AN143" s="78">
        <v>40862.84233796296</v>
      </c>
      <c r="AO143" s="76" t="s">
        <v>322</v>
      </c>
      <c r="AP143" s="76" t="s">
        <v>1687</v>
      </c>
      <c r="AQ143" s="81" t="str">
        <f>HYPERLINK("https://t.co/VJChqxzgGj")</f>
        <v>https://t.co/VJChqxzgGj</v>
      </c>
      <c r="AR143" s="81" t="str">
        <f>HYPERLINK("https://www.linkedin.com/in/barnaby-wass/")</f>
        <v>https://www.linkedin.com/in/barnaby-wass/</v>
      </c>
      <c r="AS143" s="76" t="s">
        <v>1800</v>
      </c>
      <c r="AT143" s="76"/>
      <c r="AU143" s="76"/>
      <c r="AV143" s="76"/>
      <c r="AW143" s="76">
        <v>1.71891664612586E+18</v>
      </c>
      <c r="AX143" s="81" t="str">
        <f>HYPERLINK("https://t.co/VJChqxzgGj")</f>
        <v>https://t.co/VJChqxzgGj</v>
      </c>
      <c r="AY143" s="76" t="b">
        <v>0</v>
      </c>
      <c r="AZ143" s="76"/>
      <c r="BA143" s="76"/>
      <c r="BB143" s="76" t="b">
        <v>0</v>
      </c>
      <c r="BC143" s="76" t="b">
        <v>1</v>
      </c>
      <c r="BD143" s="76" t="b">
        <v>0</v>
      </c>
      <c r="BE143" s="76" t="b">
        <v>0</v>
      </c>
      <c r="BF143" s="76" t="b">
        <v>1</v>
      </c>
      <c r="BG143" s="76" t="b">
        <v>0</v>
      </c>
      <c r="BH143" s="76" t="b">
        <v>0</v>
      </c>
      <c r="BI143" s="81" t="str">
        <f>HYPERLINK("https://pbs.twimg.com/profile_banners/413370855/1669124381")</f>
        <v>https://pbs.twimg.com/profile_banners/413370855/1669124381</v>
      </c>
      <c r="BJ143" s="76"/>
      <c r="BK143" s="76" t="s">
        <v>330</v>
      </c>
      <c r="BL143" s="76" t="b">
        <v>0</v>
      </c>
      <c r="BM143" s="76"/>
      <c r="BN143" s="76" t="s">
        <v>66</v>
      </c>
      <c r="BO143" s="76" t="s">
        <v>332</v>
      </c>
      <c r="BP143" s="97" t="str">
        <f>HYPERLINK("https://twitter.com/barnabywass")</f>
        <v>https://twitter.com/barnabywass</v>
      </c>
      <c r="BQ143" s="45"/>
      <c r="BR143" s="45"/>
      <c r="BS143" s="45"/>
      <c r="BT143" s="45"/>
      <c r="BU143" s="45"/>
      <c r="BV143" s="45"/>
      <c r="BW143" s="90" t="s">
        <v>2222</v>
      </c>
      <c r="BX143" s="90" t="s">
        <v>2222</v>
      </c>
      <c r="BY143" s="90" t="s">
        <v>2294</v>
      </c>
      <c r="BZ143" s="90" t="s">
        <v>2294</v>
      </c>
      <c r="CA143" s="75" t="str">
        <f>REPLACE(INDEX(GroupVertices[Group],MATCH("~"&amp;Vertices[[#This Row],[Vertex]],GroupVertices[Vertex],0)),1,1,"")</f>
        <v>4</v>
      </c>
      <c r="CB143" s="2"/>
    </row>
    <row r="144" spans="1:80" ht="34.05" customHeight="1">
      <c r="A144" s="61" t="s">
        <v>724</v>
      </c>
      <c r="C144" s="62"/>
      <c r="D144" s="62"/>
      <c r="E144" s="63"/>
      <c r="F144" s="92"/>
      <c r="G144" s="86" t="str">
        <f>HYPERLINK("https://pbs.twimg.com/profile_images/991489093858082816/K-oQetIl_normal.jpg")</f>
        <v>https://pbs.twimg.com/profile_images/991489093858082816/K-oQetIl_normal.jpg</v>
      </c>
      <c r="H144" s="93"/>
      <c r="I144" s="66"/>
      <c r="J144" s="67"/>
      <c r="K144" s="94"/>
      <c r="L144" s="66" t="s">
        <v>1965</v>
      </c>
      <c r="M144" s="95"/>
      <c r="N144" s="71">
        <v>2028.8505859375</v>
      </c>
      <c r="O144" s="71">
        <v>8809.6162109375</v>
      </c>
      <c r="P144" s="72"/>
      <c r="Q144" s="73"/>
      <c r="R144" s="73"/>
      <c r="S144" s="96"/>
      <c r="T144" s="45">
        <v>1</v>
      </c>
      <c r="U144" s="45">
        <v>0</v>
      </c>
      <c r="V144" s="46">
        <v>0</v>
      </c>
      <c r="W144" s="46">
        <v>0.299807</v>
      </c>
      <c r="X144" s="46">
        <v>0.006618</v>
      </c>
      <c r="Y144" s="46">
        <v>0.005694</v>
      </c>
      <c r="Z144" s="46">
        <v>0</v>
      </c>
      <c r="AA144" s="46">
        <v>0</v>
      </c>
      <c r="AB144" s="68">
        <v>144</v>
      </c>
      <c r="AC144" s="68"/>
      <c r="AD144" s="69"/>
      <c r="AE144" s="76" t="s">
        <v>1374</v>
      </c>
      <c r="AF144" s="80" t="s">
        <v>1493</v>
      </c>
      <c r="AG144" s="76">
        <v>242</v>
      </c>
      <c r="AH144" s="76">
        <v>544</v>
      </c>
      <c r="AI144" s="76">
        <v>1164</v>
      </c>
      <c r="AJ144" s="76">
        <v>4</v>
      </c>
      <c r="AK144" s="76">
        <v>1045</v>
      </c>
      <c r="AL144" s="76">
        <v>33</v>
      </c>
      <c r="AM144" s="76" t="b">
        <v>0</v>
      </c>
      <c r="AN144" s="78">
        <v>39910.9509837963</v>
      </c>
      <c r="AO144" s="76" t="s">
        <v>316</v>
      </c>
      <c r="AP144" s="76" t="s">
        <v>1688</v>
      </c>
      <c r="AQ144" s="81" t="str">
        <f>HYPERLINK("https://t.co/SMGZZfTY7G")</f>
        <v>https://t.co/SMGZZfTY7G</v>
      </c>
      <c r="AR144" s="81" t="str">
        <f>HYPERLINK("http://awazbeats.com")</f>
        <v>http://awazbeats.com</v>
      </c>
      <c r="AS144" s="76" t="s">
        <v>1801</v>
      </c>
      <c r="AT144" s="76"/>
      <c r="AU144" s="76"/>
      <c r="AV144" s="76"/>
      <c r="AW144" s="76"/>
      <c r="AX144" s="81" t="str">
        <f>HYPERLINK("https://t.co/SMGZZfTY7G")</f>
        <v>https://t.co/SMGZZfTY7G</v>
      </c>
      <c r="AY144" s="76" t="b">
        <v>0</v>
      </c>
      <c r="AZ144" s="76"/>
      <c r="BA144" s="76"/>
      <c r="BB144" s="76" t="b">
        <v>0</v>
      </c>
      <c r="BC144" s="76" t="b">
        <v>1</v>
      </c>
      <c r="BD144" s="76" t="b">
        <v>0</v>
      </c>
      <c r="BE144" s="76" t="b">
        <v>0</v>
      </c>
      <c r="BF144" s="76" t="b">
        <v>1</v>
      </c>
      <c r="BG144" s="76" t="b">
        <v>0</v>
      </c>
      <c r="BH144" s="76" t="b">
        <v>0</v>
      </c>
      <c r="BI144" s="81" t="str">
        <f>HYPERLINK("https://pbs.twimg.com/profile_banners/29568688/1652400264")</f>
        <v>https://pbs.twimg.com/profile_banners/29568688/1652400264</v>
      </c>
      <c r="BJ144" s="76"/>
      <c r="BK144" s="76" t="s">
        <v>330</v>
      </c>
      <c r="BL144" s="76" t="b">
        <v>0</v>
      </c>
      <c r="BM144" s="76"/>
      <c r="BN144" s="76" t="s">
        <v>65</v>
      </c>
      <c r="BO144" s="76" t="s">
        <v>332</v>
      </c>
      <c r="BP144" s="97" t="str">
        <f>HYPERLINK("https://twitter.com/swiftymorgan")</f>
        <v>https://twitter.com/swiftymorgan</v>
      </c>
      <c r="BQ144" s="45"/>
      <c r="BR144" s="45"/>
      <c r="BS144" s="45"/>
      <c r="BT144" s="45"/>
      <c r="BU144" s="45"/>
      <c r="BV144" s="45"/>
      <c r="BW144" s="45"/>
      <c r="BX144" s="45"/>
      <c r="BY144" s="45"/>
      <c r="BZ144" s="45"/>
      <c r="CA144" s="75" t="str">
        <f>REPLACE(INDEX(GroupVertices[Group],MATCH("~"&amp;Vertices[[#This Row],[Vertex]],GroupVertices[Vertex],0)),1,1,"")</f>
        <v>4</v>
      </c>
      <c r="CB144" s="2"/>
    </row>
    <row r="145" spans="1:80" ht="34.05" customHeight="1">
      <c r="A145" s="61" t="s">
        <v>725</v>
      </c>
      <c r="C145" s="62"/>
      <c r="D145" s="62"/>
      <c r="E145" s="63"/>
      <c r="F145" s="92"/>
      <c r="G145" s="86" t="str">
        <f>HYPERLINK("https://pbs.twimg.com/profile_images/1356925931739377664/un6TkI1h_normal.jpg")</f>
        <v>https://pbs.twimg.com/profile_images/1356925931739377664/un6TkI1h_normal.jpg</v>
      </c>
      <c r="H145" s="93"/>
      <c r="I145" s="66"/>
      <c r="J145" s="67"/>
      <c r="K145" s="94"/>
      <c r="L145" s="66" t="s">
        <v>1966</v>
      </c>
      <c r="M145" s="95"/>
      <c r="N145" s="71">
        <v>3685.462158203125</v>
      </c>
      <c r="O145" s="71">
        <v>9692.671875</v>
      </c>
      <c r="P145" s="72"/>
      <c r="Q145" s="73"/>
      <c r="R145" s="73"/>
      <c r="S145" s="96"/>
      <c r="T145" s="45">
        <v>1</v>
      </c>
      <c r="U145" s="45">
        <v>0</v>
      </c>
      <c r="V145" s="46">
        <v>0</v>
      </c>
      <c r="W145" s="46">
        <v>0.299807</v>
      </c>
      <c r="X145" s="46">
        <v>0.006618</v>
      </c>
      <c r="Y145" s="46">
        <v>0.005694</v>
      </c>
      <c r="Z145" s="46">
        <v>0</v>
      </c>
      <c r="AA145" s="46">
        <v>0</v>
      </c>
      <c r="AB145" s="68">
        <v>145</v>
      </c>
      <c r="AC145" s="68"/>
      <c r="AD145" s="69"/>
      <c r="AE145" s="76" t="s">
        <v>1375</v>
      </c>
      <c r="AF145" s="80" t="s">
        <v>1494</v>
      </c>
      <c r="AG145" s="76">
        <v>17056</v>
      </c>
      <c r="AH145" s="76">
        <v>13496</v>
      </c>
      <c r="AI145" s="76">
        <v>32</v>
      </c>
      <c r="AJ145" s="76">
        <v>562</v>
      </c>
      <c r="AK145" s="76">
        <v>1735</v>
      </c>
      <c r="AL145" s="76">
        <v>0</v>
      </c>
      <c r="AM145" s="76" t="b">
        <v>0</v>
      </c>
      <c r="AN145" s="78">
        <v>39984.25622685185</v>
      </c>
      <c r="AO145" s="76" t="s">
        <v>307</v>
      </c>
      <c r="AP145" s="76" t="s">
        <v>1689</v>
      </c>
      <c r="AQ145" s="81" t="str">
        <f>HYPERLINK("https://t.co/CqX9eYDXyb")</f>
        <v>https://t.co/CqX9eYDXyb</v>
      </c>
      <c r="AR145" s="81" t="str">
        <f>HYPERLINK("https://twitter.com/johngow")</f>
        <v>https://twitter.com/johngow</v>
      </c>
      <c r="AS145" s="76" t="s">
        <v>1802</v>
      </c>
      <c r="AT145" s="76"/>
      <c r="AU145" s="76"/>
      <c r="AV145" s="76"/>
      <c r="AW145" s="76"/>
      <c r="AX145" s="81" t="str">
        <f>HYPERLINK("https://t.co/CqX9eYDXyb")</f>
        <v>https://t.co/CqX9eYDXyb</v>
      </c>
      <c r="AY145" s="76" t="b">
        <v>0</v>
      </c>
      <c r="AZ145" s="76"/>
      <c r="BA145" s="76"/>
      <c r="BB145" s="76" t="b">
        <v>1</v>
      </c>
      <c r="BC145" s="76" t="b">
        <v>1</v>
      </c>
      <c r="BD145" s="76" t="b">
        <v>0</v>
      </c>
      <c r="BE145" s="76" t="b">
        <v>0</v>
      </c>
      <c r="BF145" s="76" t="b">
        <v>0</v>
      </c>
      <c r="BG145" s="76" t="b">
        <v>0</v>
      </c>
      <c r="BH145" s="76" t="b">
        <v>0</v>
      </c>
      <c r="BI145" s="81" t="str">
        <f>HYPERLINK("https://pbs.twimg.com/profile_banners/48942281/1612356449")</f>
        <v>https://pbs.twimg.com/profile_banners/48942281/1612356449</v>
      </c>
      <c r="BJ145" s="76"/>
      <c r="BK145" s="76" t="s">
        <v>330</v>
      </c>
      <c r="BL145" s="76" t="b">
        <v>0</v>
      </c>
      <c r="BM145" s="76"/>
      <c r="BN145" s="76" t="s">
        <v>65</v>
      </c>
      <c r="BO145" s="76" t="s">
        <v>332</v>
      </c>
      <c r="BP145" s="97" t="str">
        <f>HYPERLINK("https://twitter.com/johngow")</f>
        <v>https://twitter.com/johngow</v>
      </c>
      <c r="BQ145" s="45"/>
      <c r="BR145" s="45"/>
      <c r="BS145" s="45"/>
      <c r="BT145" s="45"/>
      <c r="BU145" s="45"/>
      <c r="BV145" s="45"/>
      <c r="BW145" s="45"/>
      <c r="BX145" s="45"/>
      <c r="BY145" s="45"/>
      <c r="BZ145" s="45"/>
      <c r="CA145" s="75" t="str">
        <f>REPLACE(INDEX(GroupVertices[Group],MATCH("~"&amp;Vertices[[#This Row],[Vertex]],GroupVertices[Vertex],0)),1,1,"")</f>
        <v>4</v>
      </c>
      <c r="CB145" s="2"/>
    </row>
    <row r="146" spans="1:80" ht="34.05" customHeight="1">
      <c r="A146" s="61" t="s">
        <v>726</v>
      </c>
      <c r="C146" s="62"/>
      <c r="D146" s="62"/>
      <c r="E146" s="63"/>
      <c r="F146" s="92"/>
      <c r="G146" s="86" t="str">
        <f>HYPERLINK("https://pbs.twimg.com/profile_images/697358968008654848/jloEEaip_normal.jpg")</f>
        <v>https://pbs.twimg.com/profile_images/697358968008654848/jloEEaip_normal.jpg</v>
      </c>
      <c r="H146" s="93"/>
      <c r="I146" s="66"/>
      <c r="J146" s="67"/>
      <c r="K146" s="94"/>
      <c r="L146" s="66" t="s">
        <v>1967</v>
      </c>
      <c r="M146" s="95"/>
      <c r="N146" s="71">
        <v>3250.66552734375</v>
      </c>
      <c r="O146" s="71">
        <v>9511.3310546875</v>
      </c>
      <c r="P146" s="72"/>
      <c r="Q146" s="73"/>
      <c r="R146" s="73"/>
      <c r="S146" s="96"/>
      <c r="T146" s="45">
        <v>1</v>
      </c>
      <c r="U146" s="45">
        <v>0</v>
      </c>
      <c r="V146" s="46">
        <v>0</v>
      </c>
      <c r="W146" s="46">
        <v>0.299807</v>
      </c>
      <c r="X146" s="46">
        <v>0.006618</v>
      </c>
      <c r="Y146" s="46">
        <v>0.005694</v>
      </c>
      <c r="Z146" s="46">
        <v>0</v>
      </c>
      <c r="AA146" s="46">
        <v>0</v>
      </c>
      <c r="AB146" s="68">
        <v>146</v>
      </c>
      <c r="AC146" s="68"/>
      <c r="AD146" s="69"/>
      <c r="AE146" s="76" t="s">
        <v>1376</v>
      </c>
      <c r="AF146" s="80" t="s">
        <v>1495</v>
      </c>
      <c r="AG146" s="76">
        <v>144584</v>
      </c>
      <c r="AH146" s="76">
        <v>129828</v>
      </c>
      <c r="AI146" s="76">
        <v>143979</v>
      </c>
      <c r="AJ146" s="76">
        <v>3211</v>
      </c>
      <c r="AK146" s="76">
        <v>6636</v>
      </c>
      <c r="AL146" s="76">
        <v>21257</v>
      </c>
      <c r="AM146" s="76" t="b">
        <v>0</v>
      </c>
      <c r="AN146" s="78">
        <v>40768.99104166667</v>
      </c>
      <c r="AO146" s="76" t="s">
        <v>1561</v>
      </c>
      <c r="AP146" s="76" t="s">
        <v>1690</v>
      </c>
      <c r="AQ146" s="76"/>
      <c r="AR146" s="76"/>
      <c r="AS146" s="76"/>
      <c r="AT146" s="76"/>
      <c r="AU146" s="76"/>
      <c r="AV146" s="76"/>
      <c r="AW146" s="76">
        <v>1.11320631536964E+18</v>
      </c>
      <c r="AX146" s="76"/>
      <c r="AY146" s="76" t="b">
        <v>0</v>
      </c>
      <c r="AZ146" s="76"/>
      <c r="BA146" s="76"/>
      <c r="BB146" s="76" t="b">
        <v>1</v>
      </c>
      <c r="BC146" s="76" t="b">
        <v>1</v>
      </c>
      <c r="BD146" s="76" t="b">
        <v>0</v>
      </c>
      <c r="BE146" s="76" t="b">
        <v>0</v>
      </c>
      <c r="BF146" s="76" t="b">
        <v>0</v>
      </c>
      <c r="BG146" s="76" t="b">
        <v>0</v>
      </c>
      <c r="BH146" s="76" t="b">
        <v>0</v>
      </c>
      <c r="BI146" s="81" t="str">
        <f>HYPERLINK("https://pbs.twimg.com/profile_banners/354582942/1455098406")</f>
        <v>https://pbs.twimg.com/profile_banners/354582942/1455098406</v>
      </c>
      <c r="BJ146" s="76"/>
      <c r="BK146" s="76" t="s">
        <v>330</v>
      </c>
      <c r="BL146" s="76" t="b">
        <v>0</v>
      </c>
      <c r="BM146" s="76"/>
      <c r="BN146" s="76" t="s">
        <v>65</v>
      </c>
      <c r="BO146" s="76" t="s">
        <v>332</v>
      </c>
      <c r="BP146" s="97" t="str">
        <f>HYPERLINK("https://twitter.com/jeremyscrivens")</f>
        <v>https://twitter.com/jeremyscrivens</v>
      </c>
      <c r="BQ146" s="45"/>
      <c r="BR146" s="45"/>
      <c r="BS146" s="45"/>
      <c r="BT146" s="45"/>
      <c r="BU146" s="45"/>
      <c r="BV146" s="45"/>
      <c r="BW146" s="45"/>
      <c r="BX146" s="45"/>
      <c r="BY146" s="45"/>
      <c r="BZ146" s="45"/>
      <c r="CA146" s="75" t="str">
        <f>REPLACE(INDEX(GroupVertices[Group],MATCH("~"&amp;Vertices[[#This Row],[Vertex]],GroupVertices[Vertex],0)),1,1,"")</f>
        <v>4</v>
      </c>
      <c r="CB146" s="2"/>
    </row>
    <row r="147" spans="1:80" ht="34.05" customHeight="1">
      <c r="A147" s="61" t="s">
        <v>727</v>
      </c>
      <c r="C147" s="62"/>
      <c r="D147" s="62"/>
      <c r="E147" s="63"/>
      <c r="F147" s="92"/>
      <c r="G147" s="86" t="str">
        <f>HYPERLINK("https://pbs.twimg.com/profile_images/1027509231761731584/pCebEEg2_normal.jpg")</f>
        <v>https://pbs.twimg.com/profile_images/1027509231761731584/pCebEEg2_normal.jpg</v>
      </c>
      <c r="H147" s="93"/>
      <c r="I147" s="66"/>
      <c r="J147" s="67"/>
      <c r="K147" s="94"/>
      <c r="L147" s="66" t="s">
        <v>1968</v>
      </c>
      <c r="M147" s="95"/>
      <c r="N147" s="71">
        <v>2390.236572265625</v>
      </c>
      <c r="O147" s="71">
        <v>9074.4716796875</v>
      </c>
      <c r="P147" s="72"/>
      <c r="Q147" s="73"/>
      <c r="R147" s="73"/>
      <c r="S147" s="96"/>
      <c r="T147" s="45">
        <v>1</v>
      </c>
      <c r="U147" s="45">
        <v>0</v>
      </c>
      <c r="V147" s="46">
        <v>0</v>
      </c>
      <c r="W147" s="46">
        <v>0.299807</v>
      </c>
      <c r="X147" s="46">
        <v>0.006618</v>
      </c>
      <c r="Y147" s="46">
        <v>0.005694</v>
      </c>
      <c r="Z147" s="46">
        <v>0</v>
      </c>
      <c r="AA147" s="46">
        <v>0</v>
      </c>
      <c r="AB147" s="68">
        <v>147</v>
      </c>
      <c r="AC147" s="68"/>
      <c r="AD147" s="69"/>
      <c r="AE147" s="76" t="s">
        <v>1377</v>
      </c>
      <c r="AF147" s="80" t="s">
        <v>1496</v>
      </c>
      <c r="AG147" s="76">
        <v>6157</v>
      </c>
      <c r="AH147" s="76">
        <v>6205</v>
      </c>
      <c r="AI147" s="76">
        <v>3555</v>
      </c>
      <c r="AJ147" s="76">
        <v>127</v>
      </c>
      <c r="AK147" s="76">
        <v>1370</v>
      </c>
      <c r="AL147" s="76">
        <v>19</v>
      </c>
      <c r="AM147" s="76" t="b">
        <v>0</v>
      </c>
      <c r="AN147" s="78">
        <v>42286.42460648148</v>
      </c>
      <c r="AO147" s="76" t="s">
        <v>325</v>
      </c>
      <c r="AP147" s="76" t="s">
        <v>1691</v>
      </c>
      <c r="AQ147" s="81" t="str">
        <f>HYPERLINK("https://t.co/ad8l9nSDqk")</f>
        <v>https://t.co/ad8l9nSDqk</v>
      </c>
      <c r="AR147" s="81" t="str">
        <f>HYPERLINK("http://www.smokingchilimedia.com")</f>
        <v>http://www.smokingchilimedia.com</v>
      </c>
      <c r="AS147" s="76" t="s">
        <v>1803</v>
      </c>
      <c r="AT147" s="76"/>
      <c r="AU147" s="76"/>
      <c r="AV147" s="76"/>
      <c r="AW147" s="76">
        <v>1.00683463848727E+18</v>
      </c>
      <c r="AX147" s="81" t="str">
        <f>HYPERLINK("https://t.co/ad8l9nSDqk")</f>
        <v>https://t.co/ad8l9nSDqk</v>
      </c>
      <c r="AY147" s="76" t="b">
        <v>0</v>
      </c>
      <c r="AZ147" s="76"/>
      <c r="BA147" s="76"/>
      <c r="BB147" s="76" t="b">
        <v>0</v>
      </c>
      <c r="BC147" s="76" t="b">
        <v>1</v>
      </c>
      <c r="BD147" s="76" t="b">
        <v>1</v>
      </c>
      <c r="BE147" s="76" t="b">
        <v>0</v>
      </c>
      <c r="BF147" s="76" t="b">
        <v>1</v>
      </c>
      <c r="BG147" s="76" t="b">
        <v>0</v>
      </c>
      <c r="BH147" s="76" t="b">
        <v>0</v>
      </c>
      <c r="BI147" s="81" t="str">
        <f>HYPERLINK("https://pbs.twimg.com/profile_banners/3907907001/1533829630")</f>
        <v>https://pbs.twimg.com/profile_banners/3907907001/1533829630</v>
      </c>
      <c r="BJ147" s="76"/>
      <c r="BK147" s="76" t="s">
        <v>330</v>
      </c>
      <c r="BL147" s="76" t="b">
        <v>0</v>
      </c>
      <c r="BM147" s="76"/>
      <c r="BN147" s="76" t="s">
        <v>65</v>
      </c>
      <c r="BO147" s="76" t="s">
        <v>332</v>
      </c>
      <c r="BP147" s="97" t="str">
        <f>HYPERLINK("https://twitter.com/smokingchili")</f>
        <v>https://twitter.com/smokingchili</v>
      </c>
      <c r="BQ147" s="45"/>
      <c r="BR147" s="45"/>
      <c r="BS147" s="45"/>
      <c r="BT147" s="45"/>
      <c r="BU147" s="45"/>
      <c r="BV147" s="45"/>
      <c r="BW147" s="45"/>
      <c r="BX147" s="45"/>
      <c r="BY147" s="45"/>
      <c r="BZ147" s="45"/>
      <c r="CA147" s="75" t="str">
        <f>REPLACE(INDEX(GroupVertices[Group],MATCH("~"&amp;Vertices[[#This Row],[Vertex]],GroupVertices[Vertex],0)),1,1,"")</f>
        <v>4</v>
      </c>
      <c r="CB147" s="2"/>
    </row>
    <row r="148" spans="1:80" ht="34.05" customHeight="1">
      <c r="A148" s="61" t="s">
        <v>728</v>
      </c>
      <c r="C148" s="62"/>
      <c r="D148" s="62"/>
      <c r="E148" s="63"/>
      <c r="F148" s="92"/>
      <c r="G148" s="86" t="str">
        <f>HYPERLINK("https://pbs.twimg.com/profile_images/729065804004769793/St2_Pum9_normal.jpg")</f>
        <v>https://pbs.twimg.com/profile_images/729065804004769793/St2_Pum9_normal.jpg</v>
      </c>
      <c r="H148" s="93"/>
      <c r="I148" s="66"/>
      <c r="J148" s="67"/>
      <c r="K148" s="94"/>
      <c r="L148" s="66" t="s">
        <v>1969</v>
      </c>
      <c r="M148" s="95"/>
      <c r="N148" s="71">
        <v>2813.576416015625</v>
      </c>
      <c r="O148" s="71">
        <v>9314.1611328125</v>
      </c>
      <c r="P148" s="72"/>
      <c r="Q148" s="73"/>
      <c r="R148" s="73"/>
      <c r="S148" s="96"/>
      <c r="T148" s="45">
        <v>1</v>
      </c>
      <c r="U148" s="45">
        <v>0</v>
      </c>
      <c r="V148" s="46">
        <v>0</v>
      </c>
      <c r="W148" s="46">
        <v>0.299807</v>
      </c>
      <c r="X148" s="46">
        <v>0.006618</v>
      </c>
      <c r="Y148" s="46">
        <v>0.005694</v>
      </c>
      <c r="Z148" s="46">
        <v>0</v>
      </c>
      <c r="AA148" s="46">
        <v>0</v>
      </c>
      <c r="AB148" s="68">
        <v>148</v>
      </c>
      <c r="AC148" s="68"/>
      <c r="AD148" s="69"/>
      <c r="AE148" s="76" t="s">
        <v>1378</v>
      </c>
      <c r="AF148" s="80" t="s">
        <v>1497</v>
      </c>
      <c r="AG148" s="76">
        <v>135709</v>
      </c>
      <c r="AH148" s="76">
        <v>110606</v>
      </c>
      <c r="AI148" s="76">
        <v>241462</v>
      </c>
      <c r="AJ148" s="76">
        <v>7564</v>
      </c>
      <c r="AK148" s="76">
        <v>181670</v>
      </c>
      <c r="AL148" s="76">
        <v>113963</v>
      </c>
      <c r="AM148" s="76" t="b">
        <v>0</v>
      </c>
      <c r="AN148" s="78">
        <v>42432.99030092593</v>
      </c>
      <c r="AO148" s="76" t="s">
        <v>1562</v>
      </c>
      <c r="AP148" s="76" t="s">
        <v>1692</v>
      </c>
      <c r="AQ148" s="81" t="str">
        <f>HYPERLINK("https://t.co/RGmc2u9jdS")</f>
        <v>https://t.co/RGmc2u9jdS</v>
      </c>
      <c r="AR148" s="81" t="str">
        <f>HYPERLINK("http://ipfconline.fr/contacts-eng.html")</f>
        <v>http://ipfconline.fr/contacts-eng.html</v>
      </c>
      <c r="AS148" s="76" t="s">
        <v>1804</v>
      </c>
      <c r="AT148" s="76"/>
      <c r="AU148" s="76"/>
      <c r="AV148" s="76"/>
      <c r="AW148" s="76">
        <v>1.57432627376934E+18</v>
      </c>
      <c r="AX148" s="81" t="str">
        <f>HYPERLINK("https://t.co/RGmc2u9jdS")</f>
        <v>https://t.co/RGmc2u9jdS</v>
      </c>
      <c r="AY148" s="76" t="b">
        <v>1</v>
      </c>
      <c r="AZ148" s="76"/>
      <c r="BA148" s="76"/>
      <c r="BB148" s="76" t="b">
        <v>1</v>
      </c>
      <c r="BC148" s="76" t="b">
        <v>1</v>
      </c>
      <c r="BD148" s="76" t="b">
        <v>1</v>
      </c>
      <c r="BE148" s="76" t="b">
        <v>0</v>
      </c>
      <c r="BF148" s="76" t="b">
        <v>1</v>
      </c>
      <c r="BG148" s="76" t="b">
        <v>0</v>
      </c>
      <c r="BH148" s="76" t="b">
        <v>0</v>
      </c>
      <c r="BI148" s="81" t="str">
        <f>HYPERLINK("https://pbs.twimg.com/profile_banners/705539763349164032/1543420399")</f>
        <v>https://pbs.twimg.com/profile_banners/705539763349164032/1543420399</v>
      </c>
      <c r="BJ148" s="76"/>
      <c r="BK148" s="76" t="s">
        <v>330</v>
      </c>
      <c r="BL148" s="76" t="b">
        <v>0</v>
      </c>
      <c r="BM148" s="76"/>
      <c r="BN148" s="76" t="s">
        <v>65</v>
      </c>
      <c r="BO148" s="76" t="s">
        <v>332</v>
      </c>
      <c r="BP148" s="97" t="str">
        <f>HYPERLINK("https://twitter.com/ipfconline1")</f>
        <v>https://twitter.com/ipfconline1</v>
      </c>
      <c r="BQ148" s="45"/>
      <c r="BR148" s="45"/>
      <c r="BS148" s="45"/>
      <c r="BT148" s="45"/>
      <c r="BU148" s="45"/>
      <c r="BV148" s="45"/>
      <c r="BW148" s="45"/>
      <c r="BX148" s="45"/>
      <c r="BY148" s="45"/>
      <c r="BZ148" s="45"/>
      <c r="CA148" s="75" t="str">
        <f>REPLACE(INDEX(GroupVertices[Group],MATCH("~"&amp;Vertices[[#This Row],[Vertex]],GroupVertices[Vertex],0)),1,1,"")</f>
        <v>4</v>
      </c>
      <c r="CB148" s="2"/>
    </row>
    <row r="149" spans="1:80" ht="34.05" customHeight="1">
      <c r="A149" s="61" t="s">
        <v>643</v>
      </c>
      <c r="C149" s="62"/>
      <c r="D149" s="62"/>
      <c r="E149" s="63"/>
      <c r="F149" s="92"/>
      <c r="G149" s="86" t="str">
        <f>HYPERLINK("https://pbs.twimg.com/profile_images/818840593480585216/ZT0mmvMd_normal.jpg")</f>
        <v>https://pbs.twimg.com/profile_images/818840593480585216/ZT0mmvMd_normal.jpg</v>
      </c>
      <c r="H149" s="93"/>
      <c r="I149" s="66"/>
      <c r="J149" s="67"/>
      <c r="K149" s="94"/>
      <c r="L149" s="66" t="s">
        <v>1970</v>
      </c>
      <c r="M149" s="95"/>
      <c r="N149" s="71">
        <v>4547.84375</v>
      </c>
      <c r="O149" s="71">
        <v>7192.22802734375</v>
      </c>
      <c r="P149" s="72"/>
      <c r="Q149" s="73"/>
      <c r="R149" s="73"/>
      <c r="S149" s="96"/>
      <c r="T149" s="45">
        <v>0</v>
      </c>
      <c r="U149" s="45">
        <v>1</v>
      </c>
      <c r="V149" s="46">
        <v>0</v>
      </c>
      <c r="W149" s="46">
        <v>0.41555</v>
      </c>
      <c r="X149" s="46">
        <v>0.065898</v>
      </c>
      <c r="Y149" s="46">
        <v>0.005556</v>
      </c>
      <c r="Z149" s="46">
        <v>0</v>
      </c>
      <c r="AA149" s="46">
        <v>0</v>
      </c>
      <c r="AB149" s="68">
        <v>149</v>
      </c>
      <c r="AC149" s="68"/>
      <c r="AD149" s="69"/>
      <c r="AE149" s="76" t="s">
        <v>1379</v>
      </c>
      <c r="AF149" s="80" t="s">
        <v>1237</v>
      </c>
      <c r="AG149" s="76">
        <v>4039</v>
      </c>
      <c r="AH149" s="76">
        <v>4338</v>
      </c>
      <c r="AI149" s="76">
        <v>9772</v>
      </c>
      <c r="AJ149" s="76">
        <v>63</v>
      </c>
      <c r="AK149" s="76">
        <v>7</v>
      </c>
      <c r="AL149" s="76">
        <v>458</v>
      </c>
      <c r="AM149" s="76" t="b">
        <v>0</v>
      </c>
      <c r="AN149" s="78">
        <v>42745.1944212963</v>
      </c>
      <c r="AO149" s="76" t="s">
        <v>305</v>
      </c>
      <c r="AP149" s="76" t="s">
        <v>1693</v>
      </c>
      <c r="AQ149" s="81" t="str">
        <f>HYPERLINK("https://t.co/ScGDkJ9Goz")</f>
        <v>https://t.co/ScGDkJ9Goz</v>
      </c>
      <c r="AR149" s="81" t="str">
        <f>HYPERLINK("http://www.geekrelief.com")</f>
        <v>http://www.geekrelief.com</v>
      </c>
      <c r="AS149" s="76" t="s">
        <v>889</v>
      </c>
      <c r="AT149" s="76"/>
      <c r="AU149" s="76"/>
      <c r="AV149" s="76"/>
      <c r="AW149" s="76">
        <v>8.24384421767761E+17</v>
      </c>
      <c r="AX149" s="81" t="str">
        <f>HYPERLINK("https://t.co/ScGDkJ9Goz")</f>
        <v>https://t.co/ScGDkJ9Goz</v>
      </c>
      <c r="AY149" s="76" t="b">
        <v>0</v>
      </c>
      <c r="AZ149" s="76"/>
      <c r="BA149" s="76"/>
      <c r="BB149" s="76" t="b">
        <v>0</v>
      </c>
      <c r="BC149" s="76" t="b">
        <v>1</v>
      </c>
      <c r="BD149" s="76" t="b">
        <v>1</v>
      </c>
      <c r="BE149" s="76" t="b">
        <v>0</v>
      </c>
      <c r="BF149" s="76" t="b">
        <v>0</v>
      </c>
      <c r="BG149" s="76" t="b">
        <v>0</v>
      </c>
      <c r="BH149" s="76" t="b">
        <v>0</v>
      </c>
      <c r="BI149" s="81" t="str">
        <f>HYPERLINK("https://pbs.twimg.com/profile_banners/818678746643189760/1484061853")</f>
        <v>https://pbs.twimg.com/profile_banners/818678746643189760/1484061853</v>
      </c>
      <c r="BJ149" s="76"/>
      <c r="BK149" s="76" t="s">
        <v>330</v>
      </c>
      <c r="BL149" s="76" t="b">
        <v>0</v>
      </c>
      <c r="BM149" s="76"/>
      <c r="BN149" s="76" t="s">
        <v>66</v>
      </c>
      <c r="BO149" s="76" t="s">
        <v>332</v>
      </c>
      <c r="BP149" s="97" t="str">
        <f>HYPERLINK("https://twitter.com/getgeekrelief")</f>
        <v>https://twitter.com/getgeekrelief</v>
      </c>
      <c r="BQ149" s="45" t="s">
        <v>2138</v>
      </c>
      <c r="BR149" s="45" t="s">
        <v>2138</v>
      </c>
      <c r="BS149" s="45" t="s">
        <v>889</v>
      </c>
      <c r="BT149" s="45" t="s">
        <v>889</v>
      </c>
      <c r="BU149" s="45"/>
      <c r="BV149" s="45"/>
      <c r="BW149" s="90" t="s">
        <v>2223</v>
      </c>
      <c r="BX149" s="90" t="s">
        <v>2223</v>
      </c>
      <c r="BY149" s="90" t="s">
        <v>2295</v>
      </c>
      <c r="BZ149" s="90" t="s">
        <v>2295</v>
      </c>
      <c r="CA149" s="75" t="str">
        <f>REPLACE(INDEX(GroupVertices[Group],MATCH("~"&amp;Vertices[[#This Row],[Vertex]],GroupVertices[Vertex],0)),1,1,"")</f>
        <v>1</v>
      </c>
      <c r="CB149" s="2"/>
    </row>
    <row r="150" spans="1:80" ht="34.05" customHeight="1">
      <c r="A150" s="61" t="s">
        <v>644</v>
      </c>
      <c r="C150" s="62"/>
      <c r="D150" s="62"/>
      <c r="E150" s="63"/>
      <c r="F150" s="92"/>
      <c r="G150" s="86" t="str">
        <f>HYPERLINK("https://pbs.twimg.com/profile_images/583339387166990336/56iMGRnj_normal.png")</f>
        <v>https://pbs.twimg.com/profile_images/583339387166990336/56iMGRnj_normal.png</v>
      </c>
      <c r="H150" s="93"/>
      <c r="I150" s="66"/>
      <c r="J150" s="67"/>
      <c r="K150" s="94"/>
      <c r="L150" s="66" t="s">
        <v>1971</v>
      </c>
      <c r="M150" s="95"/>
      <c r="N150" s="71">
        <v>2671.12158203125</v>
      </c>
      <c r="O150" s="71">
        <v>4931.3974609375</v>
      </c>
      <c r="P150" s="72"/>
      <c r="Q150" s="73"/>
      <c r="R150" s="73"/>
      <c r="S150" s="96"/>
      <c r="T150" s="45">
        <v>1</v>
      </c>
      <c r="U150" s="45">
        <v>2</v>
      </c>
      <c r="V150" s="46">
        <v>308</v>
      </c>
      <c r="W150" s="46">
        <v>0.41779</v>
      </c>
      <c r="X150" s="46">
        <v>0.066508</v>
      </c>
      <c r="Y150" s="46">
        <v>0.006446</v>
      </c>
      <c r="Z150" s="46">
        <v>0</v>
      </c>
      <c r="AA150" s="46">
        <v>0.5</v>
      </c>
      <c r="AB150" s="68">
        <v>150</v>
      </c>
      <c r="AC150" s="68"/>
      <c r="AD150" s="69"/>
      <c r="AE150" s="76" t="s">
        <v>1380</v>
      </c>
      <c r="AF150" s="80" t="s">
        <v>1223</v>
      </c>
      <c r="AG150" s="76">
        <v>3651</v>
      </c>
      <c r="AH150" s="76">
        <v>2975</v>
      </c>
      <c r="AI150" s="76">
        <v>9444</v>
      </c>
      <c r="AJ150" s="76">
        <v>531</v>
      </c>
      <c r="AK150" s="76">
        <v>3451</v>
      </c>
      <c r="AL150" s="76">
        <v>7553</v>
      </c>
      <c r="AM150" s="76" t="b">
        <v>0</v>
      </c>
      <c r="AN150" s="78">
        <v>42060.54614583333</v>
      </c>
      <c r="AO150" s="76"/>
      <c r="AP150" s="76" t="s">
        <v>1694</v>
      </c>
      <c r="AQ150" s="81" t="str">
        <f>HYPERLINK("https://t.co/xC82RGw0IS")</f>
        <v>https://t.co/xC82RGw0IS</v>
      </c>
      <c r="AR150" s="81" t="str">
        <f>HYPERLINK("https://www.webguruawards.com")</f>
        <v>https://www.webguruawards.com</v>
      </c>
      <c r="AS150" s="76" t="s">
        <v>890</v>
      </c>
      <c r="AT150" s="76"/>
      <c r="AU150" s="76"/>
      <c r="AV150" s="76"/>
      <c r="AW150" s="76"/>
      <c r="AX150" s="81" t="str">
        <f>HYPERLINK("https://t.co/xC82RGw0IS")</f>
        <v>https://t.co/xC82RGw0IS</v>
      </c>
      <c r="AY150" s="76" t="b">
        <v>0</v>
      </c>
      <c r="AZ150" s="76"/>
      <c r="BA150" s="76"/>
      <c r="BB150" s="76" t="b">
        <v>0</v>
      </c>
      <c r="BC150" s="76" t="b">
        <v>1</v>
      </c>
      <c r="BD150" s="76" t="b">
        <v>0</v>
      </c>
      <c r="BE150" s="76" t="b">
        <v>0</v>
      </c>
      <c r="BF150" s="76" t="b">
        <v>1</v>
      </c>
      <c r="BG150" s="76" t="b">
        <v>0</v>
      </c>
      <c r="BH150" s="76" t="b">
        <v>0</v>
      </c>
      <c r="BI150" s="81" t="str">
        <f>HYPERLINK("https://pbs.twimg.com/profile_banners/3041320412/1432574337")</f>
        <v>https://pbs.twimg.com/profile_banners/3041320412/1432574337</v>
      </c>
      <c r="BJ150" s="76"/>
      <c r="BK150" s="76" t="s">
        <v>330</v>
      </c>
      <c r="BL150" s="76" t="b">
        <v>0</v>
      </c>
      <c r="BM150" s="76"/>
      <c r="BN150" s="76" t="s">
        <v>66</v>
      </c>
      <c r="BO150" s="76" t="s">
        <v>332</v>
      </c>
      <c r="BP150" s="97" t="str">
        <f>HYPERLINK("https://twitter.com/webguruawards")</f>
        <v>https://twitter.com/webguruawards</v>
      </c>
      <c r="BQ150" s="45" t="s">
        <v>2009</v>
      </c>
      <c r="BR150" s="45" t="s">
        <v>2009</v>
      </c>
      <c r="BS150" s="45" t="s">
        <v>890</v>
      </c>
      <c r="BT150" s="45" t="s">
        <v>890</v>
      </c>
      <c r="BU150" s="45" t="s">
        <v>2039</v>
      </c>
      <c r="BV150" s="45" t="s">
        <v>2162</v>
      </c>
      <c r="BW150" s="90" t="s">
        <v>2224</v>
      </c>
      <c r="BX150" s="90" t="s">
        <v>2233</v>
      </c>
      <c r="BY150" s="90" t="s">
        <v>2296</v>
      </c>
      <c r="BZ150" s="90" t="s">
        <v>2296</v>
      </c>
      <c r="CA150" s="75" t="str">
        <f>REPLACE(INDEX(GroupVertices[Group],MATCH("~"&amp;Vertices[[#This Row],[Vertex]],GroupVertices[Vertex],0)),1,1,"")</f>
        <v>10</v>
      </c>
      <c r="CB150" s="2"/>
    </row>
    <row r="151" spans="1:80" ht="34.05" customHeight="1">
      <c r="A151" s="61" t="s">
        <v>729</v>
      </c>
      <c r="C151" s="62"/>
      <c r="D151" s="62"/>
      <c r="E151" s="63"/>
      <c r="F151" s="92"/>
      <c r="G151" s="86" t="str">
        <f>HYPERLINK("https://pbs.twimg.com/profile_images/1485551894722453505/rElhCnge_normal.jpg")</f>
        <v>https://pbs.twimg.com/profile_images/1485551894722453505/rElhCnge_normal.jpg</v>
      </c>
      <c r="H151" s="93"/>
      <c r="I151" s="66"/>
      <c r="J151" s="67"/>
      <c r="K151" s="94"/>
      <c r="L151" s="66" t="s">
        <v>1972</v>
      </c>
      <c r="M151" s="95"/>
      <c r="N151" s="71">
        <v>208.6753692626953</v>
      </c>
      <c r="O151" s="71">
        <v>6021.1171875</v>
      </c>
      <c r="P151" s="72"/>
      <c r="Q151" s="73"/>
      <c r="R151" s="73"/>
      <c r="S151" s="96"/>
      <c r="T151" s="45">
        <v>1</v>
      </c>
      <c r="U151" s="45">
        <v>0</v>
      </c>
      <c r="V151" s="46">
        <v>0</v>
      </c>
      <c r="W151" s="46">
        <v>0.295238</v>
      </c>
      <c r="X151" s="46">
        <v>0.006373</v>
      </c>
      <c r="Y151" s="46">
        <v>0.005932</v>
      </c>
      <c r="Z151" s="46">
        <v>0</v>
      </c>
      <c r="AA151" s="46">
        <v>0</v>
      </c>
      <c r="AB151" s="68">
        <v>151</v>
      </c>
      <c r="AC151" s="68"/>
      <c r="AD151" s="69"/>
      <c r="AE151" s="76" t="s">
        <v>1381</v>
      </c>
      <c r="AF151" s="80" t="s">
        <v>1498</v>
      </c>
      <c r="AG151" s="76">
        <v>425</v>
      </c>
      <c r="AH151" s="76">
        <v>39</v>
      </c>
      <c r="AI151" s="76">
        <v>1679</v>
      </c>
      <c r="AJ151" s="76">
        <v>7</v>
      </c>
      <c r="AK151" s="76">
        <v>433</v>
      </c>
      <c r="AL151" s="76">
        <v>125</v>
      </c>
      <c r="AM151" s="76" t="b">
        <v>0</v>
      </c>
      <c r="AN151" s="78">
        <v>42563.709016203706</v>
      </c>
      <c r="AO151" s="76" t="s">
        <v>315</v>
      </c>
      <c r="AP151" s="76" t="s">
        <v>1695</v>
      </c>
      <c r="AQ151" s="81" t="str">
        <f>HYPERLINK("https://t.co/zXlFfjAhT9")</f>
        <v>https://t.co/zXlFfjAhT9</v>
      </c>
      <c r="AR151" s="81" t="str">
        <f>HYPERLINK("http://virtuoso.qa")</f>
        <v>http://virtuoso.qa</v>
      </c>
      <c r="AS151" s="76" t="s">
        <v>1805</v>
      </c>
      <c r="AT151" s="76"/>
      <c r="AU151" s="76"/>
      <c r="AV151" s="76"/>
      <c r="AW151" s="76"/>
      <c r="AX151" s="81" t="str">
        <f>HYPERLINK("https://t.co/zXlFfjAhT9")</f>
        <v>https://t.co/zXlFfjAhT9</v>
      </c>
      <c r="AY151" s="76" t="b">
        <v>0</v>
      </c>
      <c r="AZ151" s="76"/>
      <c r="BA151" s="76"/>
      <c r="BB151" s="76" t="b">
        <v>1</v>
      </c>
      <c r="BC151" s="76" t="b">
        <v>1</v>
      </c>
      <c r="BD151" s="76" t="b">
        <v>0</v>
      </c>
      <c r="BE151" s="76" t="b">
        <v>0</v>
      </c>
      <c r="BF151" s="76" t="b">
        <v>0</v>
      </c>
      <c r="BG151" s="76" t="b">
        <v>0</v>
      </c>
      <c r="BH151" s="76" t="b">
        <v>0</v>
      </c>
      <c r="BI151" s="81" t="str">
        <f>HYPERLINK("https://pbs.twimg.com/profile_banners/752910638192660482/1644943703")</f>
        <v>https://pbs.twimg.com/profile_banners/752910638192660482/1644943703</v>
      </c>
      <c r="BJ151" s="76"/>
      <c r="BK151" s="76" t="s">
        <v>330</v>
      </c>
      <c r="BL151" s="76" t="b">
        <v>0</v>
      </c>
      <c r="BM151" s="76"/>
      <c r="BN151" s="76" t="s">
        <v>65</v>
      </c>
      <c r="BO151" s="76" t="s">
        <v>332</v>
      </c>
      <c r="BP151" s="97" t="str">
        <f>HYPERLINK("https://twitter.com/virtuoso_qa")</f>
        <v>https://twitter.com/virtuoso_qa</v>
      </c>
      <c r="BQ151" s="45"/>
      <c r="BR151" s="45"/>
      <c r="BS151" s="45"/>
      <c r="BT151" s="45"/>
      <c r="BU151" s="45"/>
      <c r="BV151" s="45"/>
      <c r="BW151" s="45"/>
      <c r="BX151" s="45"/>
      <c r="BY151" s="45"/>
      <c r="BZ151" s="45"/>
      <c r="CA151" s="75" t="str">
        <f>REPLACE(INDEX(GroupVertices[Group],MATCH("~"&amp;Vertices[[#This Row],[Vertex]],GroupVertices[Vertex],0)),1,1,"")</f>
        <v>10</v>
      </c>
      <c r="CB151" s="2"/>
    </row>
    <row r="152" spans="1:80" ht="34.05" customHeight="1">
      <c r="A152" s="61" t="s">
        <v>645</v>
      </c>
      <c r="C152" s="62"/>
      <c r="D152" s="62"/>
      <c r="E152" s="63"/>
      <c r="F152" s="92"/>
      <c r="G152" s="86" t="str">
        <f>HYPERLINK("https://pbs.twimg.com/profile_images/1127217665204838402/LBEFnmn5_normal.png")</f>
        <v>https://pbs.twimg.com/profile_images/1127217665204838402/LBEFnmn5_normal.png</v>
      </c>
      <c r="H152" s="93"/>
      <c r="I152" s="66"/>
      <c r="J152" s="67"/>
      <c r="K152" s="94"/>
      <c r="L152" s="66" t="s">
        <v>1973</v>
      </c>
      <c r="M152" s="95"/>
      <c r="N152" s="71">
        <v>2782.086181640625</v>
      </c>
      <c r="O152" s="71">
        <v>5499.4462890625</v>
      </c>
      <c r="P152" s="72"/>
      <c r="Q152" s="73"/>
      <c r="R152" s="73"/>
      <c r="S152" s="96"/>
      <c r="T152" s="45">
        <v>0</v>
      </c>
      <c r="U152" s="45">
        <v>2</v>
      </c>
      <c r="V152" s="46">
        <v>75.5</v>
      </c>
      <c r="W152" s="46">
        <v>0.41779</v>
      </c>
      <c r="X152" s="46">
        <v>0.06841</v>
      </c>
      <c r="Y152" s="46">
        <v>0.005826</v>
      </c>
      <c r="Z152" s="46">
        <v>0</v>
      </c>
      <c r="AA152" s="46">
        <v>0</v>
      </c>
      <c r="AB152" s="68">
        <v>152</v>
      </c>
      <c r="AC152" s="68"/>
      <c r="AD152" s="69"/>
      <c r="AE152" s="76" t="s">
        <v>1382</v>
      </c>
      <c r="AF152" s="80" t="s">
        <v>1499</v>
      </c>
      <c r="AG152" s="76">
        <v>2716</v>
      </c>
      <c r="AH152" s="76">
        <v>3034</v>
      </c>
      <c r="AI152" s="76">
        <v>22851</v>
      </c>
      <c r="AJ152" s="76">
        <v>572</v>
      </c>
      <c r="AK152" s="76">
        <v>7445</v>
      </c>
      <c r="AL152" s="76">
        <v>4558</v>
      </c>
      <c r="AM152" s="76" t="b">
        <v>0</v>
      </c>
      <c r="AN152" s="78">
        <v>41569.705671296295</v>
      </c>
      <c r="AO152" s="76" t="s">
        <v>291</v>
      </c>
      <c r="AP152" s="76" t="s">
        <v>1696</v>
      </c>
      <c r="AQ152" s="81" t="str">
        <f>HYPERLINK("https://t.co/xCbsd4ZPAR")</f>
        <v>https://t.co/xCbsd4ZPAR</v>
      </c>
      <c r="AR152" s="81" t="str">
        <f>HYPERLINK("https://www.deepanshugahlaut.com/")</f>
        <v>https://www.deepanshugahlaut.com/</v>
      </c>
      <c r="AS152" s="76" t="s">
        <v>1806</v>
      </c>
      <c r="AT152" s="81" t="str">
        <f>HYPERLINK("https://t.co/48eYQr2wZi")</f>
        <v>https://t.co/48eYQr2wZi</v>
      </c>
      <c r="AU152" s="81" t="str">
        <f>HYPERLINK("http://bit.ly/snk-yt")</f>
        <v>http://bit.ly/snk-yt</v>
      </c>
      <c r="AV152" s="76" t="s">
        <v>1825</v>
      </c>
      <c r="AW152" s="76">
        <v>9.30439023750819E+17</v>
      </c>
      <c r="AX152" s="81" t="str">
        <f>HYPERLINK("https://t.co/xCbsd4ZPAR")</f>
        <v>https://t.co/xCbsd4ZPAR</v>
      </c>
      <c r="AY152" s="76" t="b">
        <v>0</v>
      </c>
      <c r="AZ152" s="76"/>
      <c r="BA152" s="76"/>
      <c r="BB152" s="76" t="b">
        <v>0</v>
      </c>
      <c r="BC152" s="76" t="b">
        <v>1</v>
      </c>
      <c r="BD152" s="76" t="b">
        <v>0</v>
      </c>
      <c r="BE152" s="76" t="b">
        <v>0</v>
      </c>
      <c r="BF152" s="76" t="b">
        <v>0</v>
      </c>
      <c r="BG152" s="76" t="b">
        <v>0</v>
      </c>
      <c r="BH152" s="76" t="b">
        <v>0</v>
      </c>
      <c r="BI152" s="81" t="str">
        <f>HYPERLINK("https://pbs.twimg.com/profile_banners/2149377590/1460049622")</f>
        <v>https://pbs.twimg.com/profile_banners/2149377590/1460049622</v>
      </c>
      <c r="BJ152" s="76"/>
      <c r="BK152" s="76" t="s">
        <v>330</v>
      </c>
      <c r="BL152" s="76" t="b">
        <v>0</v>
      </c>
      <c r="BM152" s="76"/>
      <c r="BN152" s="76" t="s">
        <v>66</v>
      </c>
      <c r="BO152" s="76" t="s">
        <v>332</v>
      </c>
      <c r="BP152" s="97" t="str">
        <f>HYPERLINK("https://twitter.com/dpanshugahlaut")</f>
        <v>https://twitter.com/dpanshugahlaut</v>
      </c>
      <c r="BQ152" s="45" t="s">
        <v>1992</v>
      </c>
      <c r="BR152" s="45" t="s">
        <v>1992</v>
      </c>
      <c r="BS152" s="45" t="s">
        <v>871</v>
      </c>
      <c r="BT152" s="45" t="s">
        <v>871</v>
      </c>
      <c r="BU152" s="45" t="s">
        <v>856</v>
      </c>
      <c r="BV152" s="45" t="s">
        <v>856</v>
      </c>
      <c r="BW152" s="90" t="s">
        <v>2225</v>
      </c>
      <c r="BX152" s="90" t="s">
        <v>2225</v>
      </c>
      <c r="BY152" s="90" t="s">
        <v>2297</v>
      </c>
      <c r="BZ152" s="90" t="s">
        <v>2297</v>
      </c>
      <c r="CA152" s="75" t="str">
        <f>REPLACE(INDEX(GroupVertices[Group],MATCH("~"&amp;Vertices[[#This Row],[Vertex]],GroupVertices[Vertex],0)),1,1,"")</f>
        <v>1</v>
      </c>
      <c r="CB152" s="2"/>
    </row>
    <row r="153" spans="1:80" ht="34.05" customHeight="1">
      <c r="A153" s="61" t="s">
        <v>646</v>
      </c>
      <c r="C153" s="62"/>
      <c r="D153" s="62"/>
      <c r="E153" s="63"/>
      <c r="F153" s="92"/>
      <c r="G153" s="86" t="str">
        <f>HYPERLINK("https://pbs.twimg.com/profile_images/1473321911908122627/TL3cRWaX_normal.jpg")</f>
        <v>https://pbs.twimg.com/profile_images/1473321911908122627/TL3cRWaX_normal.jpg</v>
      </c>
      <c r="H153" s="93"/>
      <c r="I153" s="66"/>
      <c r="J153" s="67"/>
      <c r="K153" s="94"/>
      <c r="L153" s="66" t="s">
        <v>1974</v>
      </c>
      <c r="M153" s="95"/>
      <c r="N153" s="71">
        <v>3448.219970703125</v>
      </c>
      <c r="O153" s="71">
        <v>5895.36181640625</v>
      </c>
      <c r="P153" s="72"/>
      <c r="Q153" s="73"/>
      <c r="R153" s="73"/>
      <c r="S153" s="96"/>
      <c r="T153" s="45">
        <v>0</v>
      </c>
      <c r="U153" s="45">
        <v>1</v>
      </c>
      <c r="V153" s="46">
        <v>0</v>
      </c>
      <c r="W153" s="46">
        <v>0.41555</v>
      </c>
      <c r="X153" s="46">
        <v>0.065898</v>
      </c>
      <c r="Y153" s="46">
        <v>0.005556</v>
      </c>
      <c r="Z153" s="46">
        <v>0</v>
      </c>
      <c r="AA153" s="46">
        <v>0</v>
      </c>
      <c r="AB153" s="68">
        <v>153</v>
      </c>
      <c r="AC153" s="68"/>
      <c r="AD153" s="69"/>
      <c r="AE153" s="76" t="s">
        <v>1383</v>
      </c>
      <c r="AF153" s="80" t="s">
        <v>1500</v>
      </c>
      <c r="AG153" s="76">
        <v>697</v>
      </c>
      <c r="AH153" s="76">
        <v>1132</v>
      </c>
      <c r="AI153" s="76">
        <v>5012</v>
      </c>
      <c r="AJ153" s="76">
        <v>94</v>
      </c>
      <c r="AK153" s="76">
        <v>1551</v>
      </c>
      <c r="AL153" s="76">
        <v>310</v>
      </c>
      <c r="AM153" s="76" t="b">
        <v>0</v>
      </c>
      <c r="AN153" s="78">
        <v>41686.95445601852</v>
      </c>
      <c r="AO153" s="76" t="s">
        <v>321</v>
      </c>
      <c r="AP153" s="76" t="s">
        <v>1697</v>
      </c>
      <c r="AQ153" s="81" t="str">
        <f>HYPERLINK("https://t.co/ZmzIVWaYgq")</f>
        <v>https://t.co/ZmzIVWaYgq</v>
      </c>
      <c r="AR153" s="81" t="str">
        <f>HYPERLINK("http://twitch.tv/zerocoollatte")</f>
        <v>http://twitch.tv/zerocoollatte</v>
      </c>
      <c r="AS153" s="76" t="s">
        <v>1807</v>
      </c>
      <c r="AT153" s="76"/>
      <c r="AU153" s="76"/>
      <c r="AV153" s="76"/>
      <c r="AW153" s="76"/>
      <c r="AX153" s="81" t="str">
        <f>HYPERLINK("https://t.co/ZmzIVWaYgq")</f>
        <v>https://t.co/ZmzIVWaYgq</v>
      </c>
      <c r="AY153" s="76" t="b">
        <v>0</v>
      </c>
      <c r="AZ153" s="76"/>
      <c r="BA153" s="76"/>
      <c r="BB153" s="76" t="b">
        <v>0</v>
      </c>
      <c r="BC153" s="76" t="b">
        <v>1</v>
      </c>
      <c r="BD153" s="76" t="b">
        <v>0</v>
      </c>
      <c r="BE153" s="76" t="b">
        <v>0</v>
      </c>
      <c r="BF153" s="76" t="b">
        <v>0</v>
      </c>
      <c r="BG153" s="76" t="b">
        <v>0</v>
      </c>
      <c r="BH153" s="76" t="b">
        <v>0</v>
      </c>
      <c r="BI153" s="81" t="str">
        <f>HYPERLINK("https://pbs.twimg.com/profile_banners/2347548374/1609786928")</f>
        <v>https://pbs.twimg.com/profile_banners/2347548374/1609786928</v>
      </c>
      <c r="BJ153" s="76"/>
      <c r="BK153" s="76" t="s">
        <v>330</v>
      </c>
      <c r="BL153" s="76" t="b">
        <v>0</v>
      </c>
      <c r="BM153" s="76"/>
      <c r="BN153" s="76" t="s">
        <v>66</v>
      </c>
      <c r="BO153" s="76" t="s">
        <v>332</v>
      </c>
      <c r="BP153" s="97" t="str">
        <f>HYPERLINK("https://twitter.com/zerocoollatte")</f>
        <v>https://twitter.com/zerocoollatte</v>
      </c>
      <c r="BQ153" s="45" t="s">
        <v>1991</v>
      </c>
      <c r="BR153" s="45" t="s">
        <v>1991</v>
      </c>
      <c r="BS153" s="45" t="s">
        <v>874</v>
      </c>
      <c r="BT153" s="45" t="s">
        <v>874</v>
      </c>
      <c r="BU153" s="45"/>
      <c r="BV153" s="45"/>
      <c r="BW153" s="90" t="s">
        <v>2226</v>
      </c>
      <c r="BX153" s="90" t="s">
        <v>2226</v>
      </c>
      <c r="BY153" s="90" t="s">
        <v>2298</v>
      </c>
      <c r="BZ153" s="90" t="s">
        <v>2298</v>
      </c>
      <c r="CA153" s="75" t="str">
        <f>REPLACE(INDEX(GroupVertices[Group],MATCH("~"&amp;Vertices[[#This Row],[Vertex]],GroupVertices[Vertex],0)),1,1,"")</f>
        <v>1</v>
      </c>
      <c r="CB153" s="2"/>
    </row>
    <row r="154" spans="1:80" ht="34.05" customHeight="1">
      <c r="A154" s="61" t="s">
        <v>647</v>
      </c>
      <c r="C154" s="62"/>
      <c r="D154" s="62"/>
      <c r="E154" s="63"/>
      <c r="F154" s="92"/>
      <c r="G154" s="86" t="str">
        <f>HYPERLINK("https://pbs.twimg.com/profile_images/1084850042538610688/l6TwqMII_normal.jpg")</f>
        <v>https://pbs.twimg.com/profile_images/1084850042538610688/l6TwqMII_normal.jpg</v>
      </c>
      <c r="H154" s="93"/>
      <c r="I154" s="66"/>
      <c r="J154" s="67"/>
      <c r="K154" s="94"/>
      <c r="L154" s="66" t="s">
        <v>1975</v>
      </c>
      <c r="M154" s="95"/>
      <c r="N154" s="71">
        <v>3266.843994140625</v>
      </c>
      <c r="O154" s="71">
        <v>6803.9140625</v>
      </c>
      <c r="P154" s="72"/>
      <c r="Q154" s="73"/>
      <c r="R154" s="73"/>
      <c r="S154" s="96"/>
      <c r="T154" s="45">
        <v>0</v>
      </c>
      <c r="U154" s="45">
        <v>5</v>
      </c>
      <c r="V154" s="46">
        <v>1220</v>
      </c>
      <c r="W154" s="46">
        <v>0.424658</v>
      </c>
      <c r="X154" s="46">
        <v>0.06841</v>
      </c>
      <c r="Y154" s="46">
        <v>0.008988</v>
      </c>
      <c r="Z154" s="46">
        <v>0</v>
      </c>
      <c r="AA154" s="46">
        <v>0</v>
      </c>
      <c r="AB154" s="68">
        <v>154</v>
      </c>
      <c r="AC154" s="68"/>
      <c r="AD154" s="69"/>
      <c r="AE154" s="76" t="s">
        <v>1384</v>
      </c>
      <c r="AF154" s="80" t="s">
        <v>1238</v>
      </c>
      <c r="AG154" s="76">
        <v>6</v>
      </c>
      <c r="AH154" s="76">
        <v>0</v>
      </c>
      <c r="AI154" s="76">
        <v>6</v>
      </c>
      <c r="AJ154" s="76">
        <v>0</v>
      </c>
      <c r="AK154" s="76">
        <v>0</v>
      </c>
      <c r="AL154" s="76">
        <v>5</v>
      </c>
      <c r="AM154" s="76" t="b">
        <v>0</v>
      </c>
      <c r="AN154" s="78">
        <v>43479.68171296296</v>
      </c>
      <c r="AO154" s="76"/>
      <c r="AP154" s="76"/>
      <c r="AQ154" s="81" t="str">
        <f>HYPERLINK("https://t.co/IZkvUPgR2c")</f>
        <v>https://t.co/IZkvUPgR2c</v>
      </c>
      <c r="AR154" s="81" t="str">
        <f>HYPERLINK("http://dcevents.co/")</f>
        <v>http://dcevents.co/</v>
      </c>
      <c r="AS154" s="76" t="s">
        <v>1808</v>
      </c>
      <c r="AT154" s="76"/>
      <c r="AU154" s="76"/>
      <c r="AV154" s="76"/>
      <c r="AW154" s="76"/>
      <c r="AX154" s="81" t="str">
        <f>HYPERLINK("https://t.co/IZkvUPgR2c")</f>
        <v>https://t.co/IZkvUPgR2c</v>
      </c>
      <c r="AY154" s="76" t="b">
        <v>0</v>
      </c>
      <c r="AZ154" s="76"/>
      <c r="BA154" s="76"/>
      <c r="BB154" s="76" t="b">
        <v>1</v>
      </c>
      <c r="BC154" s="76" t="b">
        <v>1</v>
      </c>
      <c r="BD154" s="76" t="b">
        <v>0</v>
      </c>
      <c r="BE154" s="76" t="b">
        <v>0</v>
      </c>
      <c r="BF154" s="76" t="b">
        <v>0</v>
      </c>
      <c r="BG154" s="76" t="b">
        <v>0</v>
      </c>
      <c r="BH154" s="76" t="b">
        <v>0</v>
      </c>
      <c r="BI154" s="81" t="str">
        <f>HYPERLINK("https://pbs.twimg.com/profile_banners/1084848030837235712/1547483417")</f>
        <v>https://pbs.twimg.com/profile_banners/1084848030837235712/1547483417</v>
      </c>
      <c r="BJ154" s="76"/>
      <c r="BK154" s="76" t="s">
        <v>330</v>
      </c>
      <c r="BL154" s="76" t="b">
        <v>0</v>
      </c>
      <c r="BM154" s="76"/>
      <c r="BN154" s="76" t="s">
        <v>66</v>
      </c>
      <c r="BO154" s="76" t="s">
        <v>332</v>
      </c>
      <c r="BP154" s="97" t="str">
        <f>HYPERLINK("https://twitter.com/dc_dreamsevents")</f>
        <v>https://twitter.com/dc_dreamsevents</v>
      </c>
      <c r="BQ154" s="45" t="s">
        <v>1990</v>
      </c>
      <c r="BR154" s="45" t="s">
        <v>1990</v>
      </c>
      <c r="BS154" s="45" t="s">
        <v>891</v>
      </c>
      <c r="BT154" s="45" t="s">
        <v>891</v>
      </c>
      <c r="BU154" s="45" t="s">
        <v>857</v>
      </c>
      <c r="BV154" s="45" t="s">
        <v>2163</v>
      </c>
      <c r="BW154" s="90" t="s">
        <v>2227</v>
      </c>
      <c r="BX154" s="90" t="s">
        <v>2227</v>
      </c>
      <c r="BY154" s="90" t="s">
        <v>2299</v>
      </c>
      <c r="BZ154" s="90" t="s">
        <v>2299</v>
      </c>
      <c r="CA154" s="75" t="str">
        <f>REPLACE(INDEX(GroupVertices[Group],MATCH("~"&amp;Vertices[[#This Row],[Vertex]],GroupVertices[Vertex],0)),1,1,"")</f>
        <v>6</v>
      </c>
      <c r="CB154" s="2"/>
    </row>
    <row r="155" spans="1:80" ht="34.05" customHeight="1">
      <c r="A155" s="61" t="s">
        <v>391</v>
      </c>
      <c r="C155" s="62"/>
      <c r="D155" s="62"/>
      <c r="E155" s="63"/>
      <c r="F155" s="92"/>
      <c r="G155" s="86" t="str">
        <f>HYPERLINK("https://pbs.twimg.com/profile_images/1026797338923163649/yoaKnxQR_normal.jpg")</f>
        <v>https://pbs.twimg.com/profile_images/1026797338923163649/yoaKnxQR_normal.jpg</v>
      </c>
      <c r="H155" s="93"/>
      <c r="I155" s="66"/>
      <c r="J155" s="67"/>
      <c r="K155" s="94"/>
      <c r="L155" s="66" t="s">
        <v>1976</v>
      </c>
      <c r="M155" s="95"/>
      <c r="N155" s="71">
        <v>1443.474365234375</v>
      </c>
      <c r="O155" s="71">
        <v>8285.9912109375</v>
      </c>
      <c r="P155" s="72"/>
      <c r="Q155" s="73"/>
      <c r="R155" s="73"/>
      <c r="S155" s="96"/>
      <c r="T155" s="45">
        <v>1</v>
      </c>
      <c r="U155" s="45">
        <v>0</v>
      </c>
      <c r="V155" s="46">
        <v>0</v>
      </c>
      <c r="W155" s="46">
        <v>0.298651</v>
      </c>
      <c r="X155" s="46">
        <v>0.006555</v>
      </c>
      <c r="Y155" s="46">
        <v>0.005718</v>
      </c>
      <c r="Z155" s="46">
        <v>0</v>
      </c>
      <c r="AA155" s="46">
        <v>0</v>
      </c>
      <c r="AB155" s="68">
        <v>155</v>
      </c>
      <c r="AC155" s="68"/>
      <c r="AD155" s="69"/>
      <c r="AE155" s="76" t="s">
        <v>416</v>
      </c>
      <c r="AF155" s="80" t="s">
        <v>419</v>
      </c>
      <c r="AG155" s="76">
        <v>65971</v>
      </c>
      <c r="AH155" s="76">
        <v>170</v>
      </c>
      <c r="AI155" s="76">
        <v>46277</v>
      </c>
      <c r="AJ155" s="76">
        <v>236</v>
      </c>
      <c r="AK155" s="76">
        <v>251</v>
      </c>
      <c r="AL155" s="76">
        <v>6471</v>
      </c>
      <c r="AM155" s="76" t="b">
        <v>0</v>
      </c>
      <c r="AN155" s="78">
        <v>40861.18451388889</v>
      </c>
      <c r="AO155" s="76" t="s">
        <v>292</v>
      </c>
      <c r="AP155" s="76" t="s">
        <v>430</v>
      </c>
      <c r="AQ155" s="81" t="str">
        <f>HYPERLINK("https://t.co/ulhB2trywW")</f>
        <v>https://t.co/ulhB2trywW</v>
      </c>
      <c r="AR155" s="81" t="str">
        <f>HYPERLINK("https://www.thehindu.com/news/cities/Hyderabad/")</f>
        <v>https://www.thehindu.com/news/cities/Hyderabad/</v>
      </c>
      <c r="AS155" s="76" t="s">
        <v>435</v>
      </c>
      <c r="AT155" s="76"/>
      <c r="AU155" s="76"/>
      <c r="AV155" s="76"/>
      <c r="AW155" s="76"/>
      <c r="AX155" s="81" t="str">
        <f>HYPERLINK("https://t.co/ulhB2trywW")</f>
        <v>https://t.co/ulhB2trywW</v>
      </c>
      <c r="AY155" s="76" t="b">
        <v>0</v>
      </c>
      <c r="AZ155" s="76"/>
      <c r="BA155" s="76" t="b">
        <v>1</v>
      </c>
      <c r="BB155" s="76" t="b">
        <v>0</v>
      </c>
      <c r="BC155" s="76" t="b">
        <v>0</v>
      </c>
      <c r="BD155" s="76" t="b">
        <v>0</v>
      </c>
      <c r="BE155" s="76" t="b">
        <v>0</v>
      </c>
      <c r="BF155" s="76" t="b">
        <v>1</v>
      </c>
      <c r="BG155" s="76" t="b">
        <v>0</v>
      </c>
      <c r="BH155" s="76" t="b">
        <v>0</v>
      </c>
      <c r="BI155" s="81" t="str">
        <f>HYPERLINK("https://pbs.twimg.com/profile_banners/411999422/1589266437")</f>
        <v>https://pbs.twimg.com/profile_banners/411999422/1589266437</v>
      </c>
      <c r="BJ155" s="76"/>
      <c r="BK155" s="76" t="s">
        <v>330</v>
      </c>
      <c r="BL155" s="76" t="b">
        <v>1</v>
      </c>
      <c r="BM155" s="76"/>
      <c r="BN155" s="76" t="s">
        <v>65</v>
      </c>
      <c r="BO155" s="76" t="s">
        <v>332</v>
      </c>
      <c r="BP155" s="97" t="str">
        <f>HYPERLINK("https://twitter.com/thhyderabad")</f>
        <v>https://twitter.com/thhyderabad</v>
      </c>
      <c r="BQ155" s="45"/>
      <c r="BR155" s="45"/>
      <c r="BS155" s="45"/>
      <c r="BT155" s="45"/>
      <c r="BU155" s="45"/>
      <c r="BV155" s="45"/>
      <c r="BW155" s="45"/>
      <c r="BX155" s="45"/>
      <c r="BY155" s="45"/>
      <c r="BZ155" s="45"/>
      <c r="CA155" s="75" t="str">
        <f>REPLACE(INDEX(GroupVertices[Group],MATCH("~"&amp;Vertices[[#This Row],[Vertex]],GroupVertices[Vertex],0)),1,1,"")</f>
        <v>6</v>
      </c>
      <c r="CB155" s="2"/>
    </row>
    <row r="156" spans="1:80" ht="34.05" customHeight="1">
      <c r="A156" s="61" t="s">
        <v>730</v>
      </c>
      <c r="C156" s="62"/>
      <c r="D156" s="62"/>
      <c r="E156" s="63"/>
      <c r="F156" s="92"/>
      <c r="G156" s="86" t="str">
        <f>HYPERLINK("https://pbs.twimg.com/profile_images/1542915485515366400/HfZ0K2rr_normal.jpg")</f>
        <v>https://pbs.twimg.com/profile_images/1542915485515366400/HfZ0K2rr_normal.jpg</v>
      </c>
      <c r="H156" s="93"/>
      <c r="I156" s="66"/>
      <c r="J156" s="67"/>
      <c r="K156" s="94"/>
      <c r="L156" s="66" t="s">
        <v>1977</v>
      </c>
      <c r="M156" s="95"/>
      <c r="N156" s="71">
        <v>3992.430419921875</v>
      </c>
      <c r="O156" s="71">
        <v>9711.23046875</v>
      </c>
      <c r="P156" s="72"/>
      <c r="Q156" s="73"/>
      <c r="R156" s="73"/>
      <c r="S156" s="96"/>
      <c r="T156" s="45">
        <v>1</v>
      </c>
      <c r="U156" s="45">
        <v>0</v>
      </c>
      <c r="V156" s="46">
        <v>0</v>
      </c>
      <c r="W156" s="46">
        <v>0.298651</v>
      </c>
      <c r="X156" s="46">
        <v>0.006555</v>
      </c>
      <c r="Y156" s="46">
        <v>0.005718</v>
      </c>
      <c r="Z156" s="46">
        <v>0</v>
      </c>
      <c r="AA156" s="46">
        <v>0</v>
      </c>
      <c r="AB156" s="68">
        <v>156</v>
      </c>
      <c r="AC156" s="68"/>
      <c r="AD156" s="69"/>
      <c r="AE156" s="76" t="s">
        <v>1385</v>
      </c>
      <c r="AF156" s="80" t="s">
        <v>1501</v>
      </c>
      <c r="AG156" s="76">
        <v>16</v>
      </c>
      <c r="AH156" s="76">
        <v>136</v>
      </c>
      <c r="AI156" s="76">
        <v>38</v>
      </c>
      <c r="AJ156" s="76">
        <v>0</v>
      </c>
      <c r="AK156" s="76">
        <v>4</v>
      </c>
      <c r="AL156" s="76">
        <v>33</v>
      </c>
      <c r="AM156" s="76" t="b">
        <v>0</v>
      </c>
      <c r="AN156" s="78">
        <v>43069.608981481484</v>
      </c>
      <c r="AO156" s="76" t="s">
        <v>1563</v>
      </c>
      <c r="AP156" s="76" t="s">
        <v>1698</v>
      </c>
      <c r="AQ156" s="81" t="str">
        <f>HYPERLINK("https://t.co/DhI0MztDUA")</f>
        <v>https://t.co/DhI0MztDUA</v>
      </c>
      <c r="AR156" s="81" t="str">
        <f>HYPERLINK("http://www.rsmgears.com")</f>
        <v>http://www.rsmgears.com</v>
      </c>
      <c r="AS156" s="76" t="s">
        <v>1809</v>
      </c>
      <c r="AT156" s="76"/>
      <c r="AU156" s="76"/>
      <c r="AV156" s="76"/>
      <c r="AW156" s="76"/>
      <c r="AX156" s="81" t="str">
        <f>HYPERLINK("https://t.co/DhI0MztDUA")</f>
        <v>https://t.co/DhI0MztDUA</v>
      </c>
      <c r="AY156" s="76" t="b">
        <v>0</v>
      </c>
      <c r="AZ156" s="76"/>
      <c r="BA156" s="76"/>
      <c r="BB156" s="76" t="b">
        <v>0</v>
      </c>
      <c r="BC156" s="76" t="b">
        <v>1</v>
      </c>
      <c r="BD156" s="76" t="b">
        <v>0</v>
      </c>
      <c r="BE156" s="76" t="b">
        <v>0</v>
      </c>
      <c r="BF156" s="76" t="b">
        <v>0</v>
      </c>
      <c r="BG156" s="76" t="b">
        <v>0</v>
      </c>
      <c r="BH156" s="76" t="b">
        <v>0</v>
      </c>
      <c r="BI156" s="81" t="str">
        <f>HYPERLINK("https://pbs.twimg.com/profile_banners/936242646779138048/1656694692")</f>
        <v>https://pbs.twimg.com/profile_banners/936242646779138048/1656694692</v>
      </c>
      <c r="BJ156" s="76"/>
      <c r="BK156" s="76" t="s">
        <v>330</v>
      </c>
      <c r="BL156" s="76" t="b">
        <v>0</v>
      </c>
      <c r="BM156" s="76"/>
      <c r="BN156" s="76" t="s">
        <v>65</v>
      </c>
      <c r="BO156" s="76" t="s">
        <v>332</v>
      </c>
      <c r="BP156" s="97" t="str">
        <f>HYPERLINK("https://twitter.com/rsmgears")</f>
        <v>https://twitter.com/rsmgears</v>
      </c>
      <c r="BQ156" s="45"/>
      <c r="BR156" s="45"/>
      <c r="BS156" s="45"/>
      <c r="BT156" s="45"/>
      <c r="BU156" s="45"/>
      <c r="BV156" s="45"/>
      <c r="BW156" s="45"/>
      <c r="BX156" s="45"/>
      <c r="BY156" s="45"/>
      <c r="BZ156" s="45"/>
      <c r="CA156" s="75" t="str">
        <f>REPLACE(INDEX(GroupVertices[Group],MATCH("~"&amp;Vertices[[#This Row],[Vertex]],GroupVertices[Vertex],0)),1,1,"")</f>
        <v>6</v>
      </c>
      <c r="CB156" s="2"/>
    </row>
    <row r="157" spans="1:80" ht="34.05" customHeight="1">
      <c r="A157" s="61" t="s">
        <v>731</v>
      </c>
      <c r="C157" s="62"/>
      <c r="D157" s="62"/>
      <c r="E157" s="63"/>
      <c r="F157" s="92"/>
      <c r="G157" s="86" t="str">
        <f>HYPERLINK("https://pbs.twimg.com/profile_images/1087963834550272000/i2zGp60N_normal.jpg")</f>
        <v>https://pbs.twimg.com/profile_images/1087963834550272000/i2zGp60N_normal.jpg</v>
      </c>
      <c r="H157" s="93"/>
      <c r="I157" s="66"/>
      <c r="J157" s="67"/>
      <c r="K157" s="94"/>
      <c r="L157" s="66" t="s">
        <v>1978</v>
      </c>
      <c r="M157" s="95"/>
      <c r="N157" s="71">
        <v>1095.5040283203125</v>
      </c>
      <c r="O157" s="71">
        <v>7860.55419921875</v>
      </c>
      <c r="P157" s="72"/>
      <c r="Q157" s="73"/>
      <c r="R157" s="73"/>
      <c r="S157" s="96"/>
      <c r="T157" s="45">
        <v>1</v>
      </c>
      <c r="U157" s="45">
        <v>0</v>
      </c>
      <c r="V157" s="46">
        <v>0</v>
      </c>
      <c r="W157" s="46">
        <v>0.298651</v>
      </c>
      <c r="X157" s="46">
        <v>0.006555</v>
      </c>
      <c r="Y157" s="46">
        <v>0.005718</v>
      </c>
      <c r="Z157" s="46">
        <v>0</v>
      </c>
      <c r="AA157" s="46">
        <v>0</v>
      </c>
      <c r="AB157" s="68">
        <v>157</v>
      </c>
      <c r="AC157" s="68"/>
      <c r="AD157" s="69"/>
      <c r="AE157" s="76" t="s">
        <v>1386</v>
      </c>
      <c r="AF157" s="80" t="s">
        <v>1502</v>
      </c>
      <c r="AG157" s="76">
        <v>2415</v>
      </c>
      <c r="AH157" s="76">
        <v>158</v>
      </c>
      <c r="AI157" s="76">
        <v>6446</v>
      </c>
      <c r="AJ157" s="76">
        <v>4</v>
      </c>
      <c r="AK157" s="76">
        <v>611</v>
      </c>
      <c r="AL157" s="76">
        <v>6016</v>
      </c>
      <c r="AM157" s="76" t="b">
        <v>0</v>
      </c>
      <c r="AN157" s="78">
        <v>40606.21502314815</v>
      </c>
      <c r="AO157" s="76"/>
      <c r="AP157" s="76" t="s">
        <v>1699</v>
      </c>
      <c r="AQ157" s="81" t="str">
        <f>HYPERLINK("https://t.co/LuIqer1wQG")</f>
        <v>https://t.co/LuIqer1wQG</v>
      </c>
      <c r="AR157" s="81" t="str">
        <f>HYPERLINK("http://cricclubs.com")</f>
        <v>http://cricclubs.com</v>
      </c>
      <c r="AS157" s="76" t="s">
        <v>1810</v>
      </c>
      <c r="AT157" s="81" t="str">
        <f>HYPERLINK("https://t.co/WL0QSvCol3")</f>
        <v>https://t.co/WL0QSvCol3</v>
      </c>
      <c r="AU157" s="81" t="str">
        <f>HYPERLINK("http://onelink.to/cricclubs")</f>
        <v>http://onelink.to/cricclubs</v>
      </c>
      <c r="AV157" s="76" t="s">
        <v>1826</v>
      </c>
      <c r="AW157" s="76"/>
      <c r="AX157" s="81" t="str">
        <f>HYPERLINK("https://t.co/LuIqer1wQG")</f>
        <v>https://t.co/LuIqer1wQG</v>
      </c>
      <c r="AY157" s="76" t="b">
        <v>0</v>
      </c>
      <c r="AZ157" s="76"/>
      <c r="BA157" s="76"/>
      <c r="BB157" s="76" t="b">
        <v>1</v>
      </c>
      <c r="BC157" s="76" t="b">
        <v>1</v>
      </c>
      <c r="BD157" s="76" t="b">
        <v>0</v>
      </c>
      <c r="BE157" s="76" t="b">
        <v>0</v>
      </c>
      <c r="BF157" s="76" t="b">
        <v>0</v>
      </c>
      <c r="BG157" s="76" t="b">
        <v>0</v>
      </c>
      <c r="BH157" s="76" t="b">
        <v>0</v>
      </c>
      <c r="BI157" s="81" t="str">
        <f>HYPERLINK("https://pbs.twimg.com/profile_banners/260591278/1629252499")</f>
        <v>https://pbs.twimg.com/profile_banners/260591278/1629252499</v>
      </c>
      <c r="BJ157" s="76"/>
      <c r="BK157" s="76" t="s">
        <v>330</v>
      </c>
      <c r="BL157" s="76" t="b">
        <v>0</v>
      </c>
      <c r="BM157" s="76"/>
      <c r="BN157" s="76" t="s">
        <v>65</v>
      </c>
      <c r="BO157" s="76" t="s">
        <v>332</v>
      </c>
      <c r="BP157" s="97" t="str">
        <f>HYPERLINK("https://twitter.com/cricclubs")</f>
        <v>https://twitter.com/cricclubs</v>
      </c>
      <c r="BQ157" s="45"/>
      <c r="BR157" s="45"/>
      <c r="BS157" s="45"/>
      <c r="BT157" s="45"/>
      <c r="BU157" s="45"/>
      <c r="BV157" s="45"/>
      <c r="BW157" s="45"/>
      <c r="BX157" s="45"/>
      <c r="BY157" s="45"/>
      <c r="BZ157" s="45"/>
      <c r="CA157" s="75" t="str">
        <f>REPLACE(INDEX(GroupVertices[Group],MATCH("~"&amp;Vertices[[#This Row],[Vertex]],GroupVertices[Vertex],0)),1,1,"")</f>
        <v>6</v>
      </c>
      <c r="CB157" s="2"/>
    </row>
    <row r="158" spans="1:80" ht="34.05" customHeight="1">
      <c r="A158" s="61" t="s">
        <v>732</v>
      </c>
      <c r="C158" s="62"/>
      <c r="D158" s="62"/>
      <c r="E158" s="63"/>
      <c r="F158" s="92"/>
      <c r="G158" s="86" t="str">
        <f>HYPERLINK("https://pbs.twimg.com/profile_images/938730661506031616/tUNgV_wC_normal.jpg")</f>
        <v>https://pbs.twimg.com/profile_images/938730661506031616/tUNgV_wC_normal.jpg</v>
      </c>
      <c r="H158" s="93"/>
      <c r="I158" s="66"/>
      <c r="J158" s="67"/>
      <c r="K158" s="94"/>
      <c r="L158" s="66" t="s">
        <v>1979</v>
      </c>
      <c r="M158" s="95"/>
      <c r="N158" s="71">
        <v>832.4276733398438</v>
      </c>
      <c r="O158" s="71">
        <v>7482.01416015625</v>
      </c>
      <c r="P158" s="72"/>
      <c r="Q158" s="73"/>
      <c r="R158" s="73"/>
      <c r="S158" s="96"/>
      <c r="T158" s="45">
        <v>1</v>
      </c>
      <c r="U158" s="45">
        <v>0</v>
      </c>
      <c r="V158" s="46">
        <v>0</v>
      </c>
      <c r="W158" s="46">
        <v>0.298651</v>
      </c>
      <c r="X158" s="46">
        <v>0.006555</v>
      </c>
      <c r="Y158" s="46">
        <v>0.005718</v>
      </c>
      <c r="Z158" s="46">
        <v>0</v>
      </c>
      <c r="AA158" s="46">
        <v>0</v>
      </c>
      <c r="AB158" s="68">
        <v>158</v>
      </c>
      <c r="AC158" s="68"/>
      <c r="AD158" s="69"/>
      <c r="AE158" s="76" t="s">
        <v>1387</v>
      </c>
      <c r="AF158" s="80" t="s">
        <v>1503</v>
      </c>
      <c r="AG158" s="76">
        <v>31</v>
      </c>
      <c r="AH158" s="76">
        <v>6</v>
      </c>
      <c r="AI158" s="76">
        <v>20</v>
      </c>
      <c r="AJ158" s="76">
        <v>0</v>
      </c>
      <c r="AK158" s="76">
        <v>2</v>
      </c>
      <c r="AL158" s="76">
        <v>17</v>
      </c>
      <c r="AM158" s="76" t="b">
        <v>0</v>
      </c>
      <c r="AN158" s="78">
        <v>43076.4662962963</v>
      </c>
      <c r="AO158" s="76" t="s">
        <v>319</v>
      </c>
      <c r="AP158" s="76" t="s">
        <v>1700</v>
      </c>
      <c r="AQ158" s="76"/>
      <c r="AR158" s="76"/>
      <c r="AS158" s="76"/>
      <c r="AT158" s="76"/>
      <c r="AU158" s="76"/>
      <c r="AV158" s="76"/>
      <c r="AW158" s="76"/>
      <c r="AX158" s="76"/>
      <c r="AY158" s="76" t="b">
        <v>0</v>
      </c>
      <c r="AZ158" s="76"/>
      <c r="BA158" s="76"/>
      <c r="BB158" s="76" t="b">
        <v>0</v>
      </c>
      <c r="BC158" s="76" t="b">
        <v>1</v>
      </c>
      <c r="BD158" s="76" t="b">
        <v>1</v>
      </c>
      <c r="BE158" s="76" t="b">
        <v>0</v>
      </c>
      <c r="BF158" s="76" t="b">
        <v>0</v>
      </c>
      <c r="BG158" s="76" t="b">
        <v>0</v>
      </c>
      <c r="BH158" s="76" t="b">
        <v>0</v>
      </c>
      <c r="BI158" s="81" t="str">
        <f>HYPERLINK("https://pbs.twimg.com/profile_banners/938727653422505984/1519034376")</f>
        <v>https://pbs.twimg.com/profile_banners/938727653422505984/1519034376</v>
      </c>
      <c r="BJ158" s="76"/>
      <c r="BK158" s="76" t="s">
        <v>330</v>
      </c>
      <c r="BL158" s="76" t="b">
        <v>0</v>
      </c>
      <c r="BM158" s="76"/>
      <c r="BN158" s="76" t="s">
        <v>65</v>
      </c>
      <c r="BO158" s="76" t="s">
        <v>332</v>
      </c>
      <c r="BP158" s="97" t="str">
        <f>HYPERLINK("https://twitter.com/nandi_tyres")</f>
        <v>https://twitter.com/nandi_tyres</v>
      </c>
      <c r="BQ158" s="45"/>
      <c r="BR158" s="45"/>
      <c r="BS158" s="45"/>
      <c r="BT158" s="45"/>
      <c r="BU158" s="45"/>
      <c r="BV158" s="45"/>
      <c r="BW158" s="45"/>
      <c r="BX158" s="45"/>
      <c r="BY158" s="45"/>
      <c r="BZ158" s="45"/>
      <c r="CA158" s="75" t="str">
        <f>REPLACE(INDEX(GroupVertices[Group],MATCH("~"&amp;Vertices[[#This Row],[Vertex]],GroupVertices[Vertex],0)),1,1,"")</f>
        <v>6</v>
      </c>
      <c r="CB158" s="2"/>
    </row>
    <row r="159" spans="1:79" ht="15">
      <c r="A159"/>
      <c r="AC159"/>
      <c r="AD159"/>
      <c r="CA159" s="2"/>
    </row>
    <row r="160" spans="1:79" ht="15">
      <c r="A160"/>
      <c r="AC160"/>
      <c r="AD160"/>
      <c r="CA160" s="2"/>
    </row>
    <row r="161" spans="1:79" ht="15">
      <c r="A161"/>
      <c r="AC161"/>
      <c r="AD161"/>
      <c r="CA161" s="2"/>
    </row>
    <row r="162" spans="1:79" ht="15">
      <c r="A162"/>
      <c r="AC162"/>
      <c r="AD162"/>
      <c r="CA162" s="2"/>
    </row>
    <row r="163" spans="1:79" ht="15">
      <c r="A163"/>
      <c r="AC163"/>
      <c r="AD163"/>
      <c r="CA163" s="2"/>
    </row>
    <row r="164" spans="1:79" ht="15">
      <c r="A164"/>
      <c r="AC164"/>
      <c r="AD164"/>
      <c r="CA164" s="2"/>
    </row>
    <row r="165" spans="1:79" ht="15">
      <c r="A165"/>
      <c r="AC165"/>
      <c r="AD165"/>
      <c r="CA165" s="2"/>
    </row>
    <row r="166" spans="1:79" ht="15">
      <c r="A166"/>
      <c r="AC166"/>
      <c r="AD166"/>
      <c r="CA166" s="2"/>
    </row>
    <row r="167" spans="1:79" ht="15">
      <c r="A167"/>
      <c r="AC167"/>
      <c r="AD167"/>
      <c r="CA167" s="2"/>
    </row>
    <row r="168" spans="1:79" ht="15">
      <c r="A168"/>
      <c r="AC168"/>
      <c r="AD168"/>
      <c r="CA168" s="2"/>
    </row>
    <row r="169" spans="1:79" ht="15">
      <c r="A169"/>
      <c r="AC169"/>
      <c r="AD169"/>
      <c r="CA169" s="2"/>
    </row>
    <row r="170" spans="1:79" ht="15">
      <c r="A170"/>
      <c r="AC170"/>
      <c r="AD170"/>
      <c r="CA170" s="2"/>
    </row>
    <row r="171" spans="1:79" ht="15">
      <c r="A171"/>
      <c r="AC171"/>
      <c r="AD171"/>
      <c r="CA171" s="2"/>
    </row>
    <row r="172" spans="1:79" ht="15">
      <c r="A172"/>
      <c r="AC172"/>
      <c r="AD172"/>
      <c r="CA172" s="2"/>
    </row>
    <row r="173" spans="1:79" ht="15">
      <c r="A173"/>
      <c r="AC173"/>
      <c r="AD173"/>
      <c r="CA173" s="2"/>
    </row>
    <row r="174" spans="1:79" ht="15">
      <c r="A174"/>
      <c r="AC174"/>
      <c r="AD174"/>
      <c r="CA174" s="2"/>
    </row>
    <row r="175" spans="1:79" ht="15">
      <c r="A175"/>
      <c r="AC175"/>
      <c r="AD175"/>
      <c r="CA175" s="2"/>
    </row>
    <row r="176" spans="1:79" ht="15">
      <c r="A176"/>
      <c r="AC176"/>
      <c r="AD176"/>
      <c r="CA176" s="2"/>
    </row>
    <row r="177" spans="1:79" ht="15">
      <c r="A177"/>
      <c r="AC177"/>
      <c r="AD177"/>
      <c r="CA177" s="2"/>
    </row>
    <row r="178" spans="1:79" ht="15">
      <c r="A178"/>
      <c r="AC178"/>
      <c r="AD178"/>
      <c r="CA178" s="2"/>
    </row>
    <row r="179" spans="1:79" ht="15">
      <c r="A179"/>
      <c r="AC179"/>
      <c r="AD179"/>
      <c r="CA179" s="2"/>
    </row>
    <row r="180" spans="1:79" ht="15">
      <c r="A180"/>
      <c r="AC180"/>
      <c r="AD180"/>
      <c r="CA180" s="2"/>
    </row>
    <row r="181" spans="1:79" ht="15">
      <c r="A181"/>
      <c r="AC181"/>
      <c r="AD181"/>
      <c r="CA181" s="2"/>
    </row>
    <row r="182" spans="1:79" ht="15">
      <c r="A182"/>
      <c r="AC182"/>
      <c r="AD182"/>
      <c r="CA182" s="2"/>
    </row>
    <row r="183" spans="1:79" ht="15">
      <c r="A183"/>
      <c r="AC183"/>
      <c r="AD183"/>
      <c r="CA183" s="2"/>
    </row>
    <row r="184" spans="1:79" ht="15">
      <c r="A184"/>
      <c r="AC184"/>
      <c r="AD184"/>
      <c r="CA184" s="2"/>
    </row>
    <row r="185" spans="1:79" ht="15">
      <c r="A185"/>
      <c r="AC185"/>
      <c r="AD185"/>
      <c r="CA185" s="2"/>
    </row>
    <row r="186" spans="1:79" ht="15">
      <c r="A186"/>
      <c r="AC186"/>
      <c r="AD186"/>
      <c r="CA186" s="2"/>
    </row>
    <row r="187" spans="1:79" ht="15">
      <c r="A187"/>
      <c r="AC187"/>
      <c r="AD187"/>
      <c r="CA187" s="2"/>
    </row>
    <row r="188" spans="1:79" ht="15">
      <c r="A188"/>
      <c r="AC188"/>
      <c r="AD188"/>
      <c r="CA188" s="2"/>
    </row>
    <row r="189" spans="1:79" ht="15">
      <c r="A189"/>
      <c r="AC189"/>
      <c r="AD189"/>
      <c r="CA189" s="2"/>
    </row>
    <row r="190" spans="1:79" ht="15">
      <c r="A190"/>
      <c r="AC190"/>
      <c r="AD190"/>
      <c r="CA190" s="2"/>
    </row>
    <row r="191" spans="1:79" ht="15">
      <c r="A191"/>
      <c r="AC191"/>
      <c r="AD191"/>
      <c r="CA191" s="2"/>
    </row>
    <row r="192" spans="1:79" ht="15">
      <c r="A192"/>
      <c r="AC192"/>
      <c r="AD192"/>
      <c r="CA192" s="2"/>
    </row>
    <row r="193" spans="1:79" ht="15">
      <c r="A193"/>
      <c r="AC193"/>
      <c r="AD193"/>
      <c r="CA193" s="2"/>
    </row>
    <row r="194" spans="1:79" ht="15">
      <c r="A194"/>
      <c r="AC194"/>
      <c r="AD194"/>
      <c r="CA194" s="2"/>
    </row>
    <row r="195" spans="1:79" ht="15">
      <c r="A195"/>
      <c r="AC195"/>
      <c r="AD195"/>
      <c r="CA195" s="2"/>
    </row>
    <row r="196" spans="1:79" ht="15">
      <c r="A196"/>
      <c r="AC196"/>
      <c r="AD196"/>
      <c r="CA196" s="2"/>
    </row>
    <row r="197" spans="1:79" ht="15">
      <c r="A197"/>
      <c r="AC197"/>
      <c r="AD197"/>
      <c r="CA197" s="2"/>
    </row>
    <row r="198" spans="1:79" ht="15">
      <c r="A198"/>
      <c r="AC198"/>
      <c r="AD198"/>
      <c r="CA198" s="2"/>
    </row>
    <row r="199" spans="1:79" ht="15">
      <c r="A199"/>
      <c r="AC199"/>
      <c r="AD199"/>
      <c r="CA199" s="2"/>
    </row>
    <row r="200" spans="1:79" ht="15">
      <c r="A200"/>
      <c r="AC200"/>
      <c r="AD200"/>
      <c r="CA200" s="2"/>
    </row>
    <row r="201" spans="1:79" ht="15">
      <c r="A201"/>
      <c r="AC201"/>
      <c r="AD201"/>
      <c r="CA201" s="2"/>
    </row>
    <row r="202" spans="1:79" ht="15">
      <c r="A202"/>
      <c r="AC202"/>
      <c r="AD202"/>
      <c r="CA202" s="2"/>
    </row>
    <row r="203" spans="1:79" ht="15">
      <c r="A203"/>
      <c r="AC203"/>
      <c r="AD203"/>
      <c r="CA203" s="2"/>
    </row>
    <row r="204" spans="1:79" ht="15">
      <c r="A204"/>
      <c r="AC204"/>
      <c r="AD204"/>
      <c r="CA204" s="2"/>
    </row>
    <row r="205" spans="1:79" ht="15">
      <c r="A205"/>
      <c r="AC205"/>
      <c r="AD205"/>
      <c r="CA205" s="2"/>
    </row>
    <row r="206" spans="1:79" ht="15">
      <c r="A206"/>
      <c r="AC206"/>
      <c r="AD206"/>
      <c r="CA206" s="2"/>
    </row>
    <row r="207" spans="1:79" ht="15">
      <c r="A207"/>
      <c r="AC207"/>
      <c r="AD207"/>
      <c r="CA207" s="2"/>
    </row>
    <row r="208" spans="1:79" ht="15">
      <c r="A208"/>
      <c r="AC208"/>
      <c r="AD208"/>
      <c r="CA208" s="2"/>
    </row>
    <row r="209" spans="1:79" ht="15">
      <c r="A209"/>
      <c r="AC209"/>
      <c r="AD209"/>
      <c r="CA209" s="2"/>
    </row>
    <row r="210" spans="1:79" ht="15">
      <c r="A210"/>
      <c r="AC210"/>
      <c r="AD210"/>
      <c r="CA210" s="2"/>
    </row>
    <row r="211" spans="1:79" ht="15">
      <c r="A211"/>
      <c r="AC211"/>
      <c r="AD211"/>
      <c r="CA211" s="2"/>
    </row>
    <row r="212" spans="1:79" ht="15">
      <c r="A212"/>
      <c r="AC212"/>
      <c r="AD212"/>
      <c r="CA212" s="2"/>
    </row>
    <row r="213" spans="1:79" ht="15">
      <c r="A213"/>
      <c r="AC213"/>
      <c r="AD213"/>
      <c r="CA213" s="2"/>
    </row>
    <row r="214" spans="1:79" ht="15">
      <c r="A214"/>
      <c r="AC214"/>
      <c r="AD214"/>
      <c r="CA214" s="2"/>
    </row>
    <row r="215" spans="1:79" ht="15">
      <c r="A215"/>
      <c r="AC215"/>
      <c r="AD215"/>
      <c r="CA215" s="2"/>
    </row>
    <row r="216" spans="1:79" ht="15">
      <c r="A216"/>
      <c r="AC216"/>
      <c r="AD216"/>
      <c r="CA216" s="2"/>
    </row>
    <row r="217" spans="1:79" ht="15">
      <c r="A217"/>
      <c r="AC217"/>
      <c r="AD217"/>
      <c r="CA217" s="2"/>
    </row>
    <row r="218" spans="1:79" ht="15">
      <c r="A218"/>
      <c r="AC218"/>
      <c r="AD218"/>
      <c r="CA218" s="2"/>
    </row>
    <row r="219" spans="1:79" ht="15">
      <c r="A219"/>
      <c r="AC219"/>
      <c r="AD219"/>
      <c r="CA219" s="2"/>
    </row>
    <row r="220" spans="1:79" ht="15">
      <c r="A220"/>
      <c r="AC220"/>
      <c r="AD220"/>
      <c r="CA220" s="2"/>
    </row>
    <row r="221" spans="1:79" ht="15">
      <c r="A221"/>
      <c r="AC221"/>
      <c r="AD221"/>
      <c r="CA221" s="2"/>
    </row>
    <row r="222" spans="1:79" ht="15">
      <c r="A222"/>
      <c r="AC222"/>
      <c r="AD222"/>
      <c r="CA222" s="2"/>
    </row>
    <row r="223" spans="1:79" ht="15">
      <c r="A223"/>
      <c r="AC223"/>
      <c r="AD223"/>
      <c r="CA223" s="2"/>
    </row>
    <row r="224" spans="1:79" ht="15">
      <c r="A224"/>
      <c r="AC224"/>
      <c r="AD224"/>
      <c r="CA224" s="2"/>
    </row>
    <row r="225" spans="1:79" ht="15">
      <c r="A225"/>
      <c r="AC225"/>
      <c r="AD225"/>
      <c r="CA225" s="2"/>
    </row>
    <row r="226" spans="1:79" ht="15">
      <c r="A226"/>
      <c r="AC226"/>
      <c r="AD226"/>
      <c r="CA226" s="2"/>
    </row>
    <row r="227" spans="1:79" ht="15">
      <c r="A227"/>
      <c r="AC227"/>
      <c r="AD227"/>
      <c r="CA227" s="2"/>
    </row>
    <row r="228" spans="1:79" ht="15">
      <c r="A228"/>
      <c r="AC228"/>
      <c r="AD228"/>
      <c r="CA228" s="2"/>
    </row>
    <row r="229" spans="1:79" ht="15">
      <c r="A229"/>
      <c r="AC229"/>
      <c r="AD229"/>
      <c r="CA229" s="2"/>
    </row>
    <row r="230" spans="1:79" ht="15">
      <c r="A230"/>
      <c r="AC230"/>
      <c r="AD230"/>
      <c r="CA230" s="2"/>
    </row>
    <row r="231" spans="1:79" ht="15">
      <c r="A231"/>
      <c r="AC231"/>
      <c r="AD231"/>
      <c r="CA231" s="2"/>
    </row>
    <row r="232" spans="1:79" ht="15">
      <c r="A232"/>
      <c r="AC232"/>
      <c r="AD232"/>
      <c r="CA232" s="2"/>
    </row>
    <row r="233" spans="1:79" ht="15">
      <c r="A233"/>
      <c r="AC233"/>
      <c r="AD233"/>
      <c r="CA233" s="2"/>
    </row>
    <row r="234" spans="1:79" ht="15">
      <c r="A234"/>
      <c r="AC234"/>
      <c r="AD234"/>
      <c r="CA234" s="2"/>
    </row>
    <row r="235" spans="1:79" ht="15">
      <c r="A235"/>
      <c r="AC235"/>
      <c r="AD235"/>
      <c r="CA235" s="2"/>
    </row>
    <row r="236" spans="1:79" ht="15">
      <c r="A236"/>
      <c r="AC236"/>
      <c r="AD236"/>
      <c r="CA236" s="2"/>
    </row>
    <row r="237" spans="1:79" ht="15">
      <c r="A237"/>
      <c r="AC237"/>
      <c r="AD237"/>
      <c r="CA237" s="2"/>
    </row>
    <row r="238" spans="1:79" ht="15">
      <c r="A238"/>
      <c r="AC238"/>
      <c r="AD238"/>
      <c r="CA238" s="2"/>
    </row>
    <row r="239" spans="1:79" ht="15">
      <c r="A239"/>
      <c r="AC239"/>
      <c r="AD239"/>
      <c r="CA239" s="2"/>
    </row>
    <row r="240" spans="1:79" ht="15">
      <c r="A240"/>
      <c r="AC240"/>
      <c r="AD240"/>
      <c r="CA240" s="2"/>
    </row>
    <row r="241" spans="1:79" ht="15">
      <c r="A241"/>
      <c r="AC241"/>
      <c r="AD241"/>
      <c r="CA241" s="2"/>
    </row>
    <row r="242" spans="1:79" ht="15">
      <c r="A242"/>
      <c r="AC242"/>
      <c r="AD242"/>
      <c r="CA242" s="2"/>
    </row>
    <row r="243" spans="1:79" ht="15">
      <c r="A243"/>
      <c r="AC243"/>
      <c r="AD243"/>
      <c r="CA243" s="2"/>
    </row>
    <row r="244" spans="1:79" ht="15">
      <c r="A244"/>
      <c r="AC244"/>
      <c r="AD244"/>
      <c r="CA244" s="2"/>
    </row>
    <row r="245" spans="1:79" ht="15">
      <c r="A245"/>
      <c r="AC245"/>
      <c r="AD245"/>
      <c r="CA245" s="2"/>
    </row>
    <row r="246" spans="1:79" ht="15">
      <c r="A246"/>
      <c r="AC246"/>
      <c r="AD246"/>
      <c r="CA246" s="2"/>
    </row>
    <row r="247" spans="1:79" ht="15">
      <c r="A247"/>
      <c r="AC247"/>
      <c r="AD247"/>
      <c r="CA247" s="2"/>
    </row>
    <row r="248" spans="1:79" ht="15">
      <c r="A248"/>
      <c r="AC248"/>
      <c r="AD248"/>
      <c r="CA248" s="2"/>
    </row>
    <row r="249" spans="1:79" ht="15">
      <c r="A249"/>
      <c r="AC249"/>
      <c r="AD249"/>
      <c r="CA249" s="2"/>
    </row>
    <row r="250" spans="1:79" ht="15">
      <c r="A250"/>
      <c r="AC250"/>
      <c r="AD250"/>
      <c r="CA250" s="2"/>
    </row>
    <row r="251" spans="1:79" ht="15">
      <c r="A251"/>
      <c r="AC251"/>
      <c r="AD251"/>
      <c r="CA251" s="2"/>
    </row>
    <row r="252" spans="1:79" ht="15">
      <c r="A252"/>
      <c r="AC252"/>
      <c r="AD252"/>
      <c r="CA252" s="2"/>
    </row>
    <row r="253" spans="1:79" ht="15">
      <c r="A253"/>
      <c r="AC253"/>
      <c r="AD253"/>
      <c r="CA253" s="2"/>
    </row>
    <row r="254" spans="1:79" ht="15">
      <c r="A254"/>
      <c r="AC254"/>
      <c r="AD254"/>
      <c r="CA254" s="2"/>
    </row>
    <row r="255" spans="1:79" ht="15">
      <c r="A255"/>
      <c r="AC255"/>
      <c r="AD255"/>
      <c r="CA255" s="2"/>
    </row>
    <row r="256" spans="1:79" ht="15">
      <c r="A256"/>
      <c r="AC256"/>
      <c r="AD256"/>
      <c r="CA256" s="2"/>
    </row>
    <row r="257" spans="1:79" ht="15">
      <c r="A257"/>
      <c r="AC257"/>
      <c r="AD257"/>
      <c r="CA257" s="2"/>
    </row>
    <row r="258" spans="1:79" ht="15">
      <c r="A258"/>
      <c r="AC258"/>
      <c r="AD258"/>
      <c r="CA258" s="2"/>
    </row>
    <row r="259" spans="1:79" ht="15">
      <c r="A259"/>
      <c r="AC259"/>
      <c r="AD259"/>
      <c r="CA259" s="2"/>
    </row>
    <row r="260" spans="1:79" ht="15">
      <c r="A260"/>
      <c r="AC260"/>
      <c r="AD260"/>
      <c r="CA260" s="2"/>
    </row>
    <row r="261" spans="1:79" ht="15">
      <c r="A261"/>
      <c r="AC261"/>
      <c r="AD261"/>
      <c r="CA261" s="2"/>
    </row>
    <row r="262" spans="1:79" ht="15">
      <c r="A262"/>
      <c r="AC262"/>
      <c r="AD262"/>
      <c r="CA262" s="2"/>
    </row>
    <row r="263" spans="1:79" ht="15">
      <c r="A263"/>
      <c r="AC263"/>
      <c r="AD263"/>
      <c r="CA263" s="2"/>
    </row>
    <row r="264" spans="1:79" ht="15">
      <c r="A264"/>
      <c r="AC264"/>
      <c r="AD264"/>
      <c r="CA264" s="2"/>
    </row>
    <row r="265" spans="1:79" ht="15">
      <c r="A265"/>
      <c r="AC265"/>
      <c r="AD265"/>
      <c r="CA265" s="2"/>
    </row>
    <row r="266" spans="1:79" ht="15">
      <c r="A266"/>
      <c r="AC266"/>
      <c r="AD266"/>
      <c r="CA266" s="2"/>
    </row>
    <row r="267" spans="1:79" ht="15">
      <c r="A267"/>
      <c r="AC267"/>
      <c r="AD267"/>
      <c r="CA267" s="2"/>
    </row>
    <row r="268" spans="1:79" ht="15">
      <c r="A268"/>
      <c r="AC268"/>
      <c r="AD268"/>
      <c r="CA268" s="2"/>
    </row>
    <row r="269" spans="1:79" ht="15">
      <c r="A269"/>
      <c r="AC269"/>
      <c r="AD269"/>
      <c r="CA269" s="2"/>
    </row>
    <row r="270" spans="1:79" ht="15">
      <c r="A270"/>
      <c r="AC270"/>
      <c r="AD270"/>
      <c r="CA270" s="2"/>
    </row>
    <row r="271" spans="1:79" ht="15">
      <c r="A271"/>
      <c r="AC271"/>
      <c r="AD271"/>
      <c r="CA271" s="2"/>
    </row>
    <row r="272" spans="1:79" ht="15">
      <c r="A272"/>
      <c r="AC272"/>
      <c r="AD272"/>
      <c r="CA272" s="2"/>
    </row>
    <row r="273" spans="1:79" ht="15">
      <c r="A273"/>
      <c r="AC273"/>
      <c r="AD273"/>
      <c r="CA273" s="2"/>
    </row>
    <row r="274" spans="1:79" ht="15">
      <c r="A274"/>
      <c r="AC274"/>
      <c r="AD274"/>
      <c r="CA274" s="2"/>
    </row>
    <row r="275" spans="1:79" ht="15">
      <c r="A275"/>
      <c r="AC275"/>
      <c r="AD275"/>
      <c r="CA275" s="2"/>
    </row>
    <row r="276" spans="1:79" ht="15">
      <c r="A276"/>
      <c r="AC276"/>
      <c r="AD276"/>
      <c r="CA276" s="2"/>
    </row>
    <row r="277" spans="1:79" ht="15">
      <c r="A277"/>
      <c r="AC277"/>
      <c r="AD277"/>
      <c r="CA277" s="2"/>
    </row>
    <row r="278" spans="1:79" ht="15">
      <c r="A278"/>
      <c r="AC278"/>
      <c r="AD278"/>
      <c r="CA278" s="2"/>
    </row>
    <row r="279" spans="1:79" ht="15">
      <c r="A279"/>
      <c r="AC279"/>
      <c r="AD279"/>
      <c r="CA279" s="2"/>
    </row>
    <row r="280" spans="1:79" ht="15">
      <c r="A280"/>
      <c r="AC280"/>
      <c r="AD280"/>
      <c r="CA280" s="2"/>
    </row>
    <row r="281" spans="1:79" ht="15">
      <c r="A281"/>
      <c r="AC281"/>
      <c r="AD281"/>
      <c r="CA281" s="2"/>
    </row>
    <row r="282" spans="1:79" ht="15">
      <c r="A282"/>
      <c r="AC282"/>
      <c r="AD282"/>
      <c r="CA282" s="2"/>
    </row>
    <row r="283" spans="1:79" ht="15">
      <c r="A283"/>
      <c r="AC283"/>
      <c r="AD283"/>
      <c r="CA283" s="2"/>
    </row>
    <row r="284" spans="1:79" ht="15">
      <c r="A284"/>
      <c r="AC284"/>
      <c r="AD284"/>
      <c r="CA284" s="2"/>
    </row>
    <row r="285" spans="1:79" ht="15">
      <c r="A285"/>
      <c r="AC285"/>
      <c r="AD285"/>
      <c r="CA285" s="2"/>
    </row>
    <row r="286" spans="1:79" ht="15">
      <c r="A286"/>
      <c r="AC286"/>
      <c r="AD286"/>
      <c r="CA286" s="2"/>
    </row>
    <row r="287" spans="1:79" ht="15">
      <c r="A287"/>
      <c r="AC287"/>
      <c r="AD287"/>
      <c r="CA287" s="2"/>
    </row>
    <row r="288" spans="1:79" ht="15">
      <c r="A288"/>
      <c r="AC288"/>
      <c r="AD288"/>
      <c r="CA288" s="2"/>
    </row>
    <row r="289" spans="1:79" ht="15">
      <c r="A289"/>
      <c r="AC289"/>
      <c r="AD289"/>
      <c r="CA289" s="2"/>
    </row>
    <row r="290" spans="1:79" ht="15">
      <c r="A290"/>
      <c r="AC290"/>
      <c r="AD290"/>
      <c r="CA290" s="2"/>
    </row>
    <row r="291" spans="1:79" ht="15">
      <c r="A291"/>
      <c r="AC291"/>
      <c r="AD291"/>
      <c r="CA291" s="2"/>
    </row>
    <row r="292" spans="1:79" ht="15">
      <c r="A292"/>
      <c r="AC292"/>
      <c r="AD292"/>
      <c r="CA292" s="2"/>
    </row>
    <row r="293" spans="1:79" ht="15">
      <c r="A293"/>
      <c r="AC293"/>
      <c r="AD293"/>
      <c r="CA293" s="2"/>
    </row>
    <row r="294" spans="1:79" ht="15">
      <c r="A294"/>
      <c r="AC294"/>
      <c r="AD294"/>
      <c r="CA294" s="2"/>
    </row>
    <row r="295" spans="1:79" ht="15">
      <c r="A295"/>
      <c r="AC295"/>
      <c r="AD295"/>
      <c r="CA295" s="2"/>
    </row>
    <row r="296" spans="1:79" ht="15">
      <c r="A296"/>
      <c r="AC296"/>
      <c r="AD296"/>
      <c r="CA296" s="2"/>
    </row>
    <row r="297" spans="1:79" ht="15">
      <c r="A297"/>
      <c r="AC297"/>
      <c r="AD297"/>
      <c r="CA297" s="2"/>
    </row>
    <row r="298" spans="1:79" ht="15">
      <c r="A298"/>
      <c r="AC298"/>
      <c r="AD298"/>
      <c r="CA298" s="2"/>
    </row>
    <row r="299" spans="1:79" ht="15">
      <c r="A299"/>
      <c r="AC299"/>
      <c r="AD299"/>
      <c r="CA299" s="2"/>
    </row>
    <row r="300" spans="1:79" ht="15">
      <c r="A300"/>
      <c r="AC300"/>
      <c r="AD300"/>
      <c r="CA300" s="2"/>
    </row>
    <row r="301" spans="1:79" ht="15">
      <c r="A301"/>
      <c r="AC301"/>
      <c r="AD301"/>
      <c r="CA301" s="2"/>
    </row>
    <row r="302" spans="1:79" ht="15">
      <c r="A302"/>
      <c r="AC302"/>
      <c r="AD302"/>
      <c r="CA302" s="2"/>
    </row>
    <row r="303" spans="1:79" ht="15">
      <c r="A303"/>
      <c r="AC303"/>
      <c r="AD303"/>
      <c r="CA303" s="2"/>
    </row>
    <row r="304" spans="1:79" ht="15">
      <c r="A304"/>
      <c r="AC304"/>
      <c r="AD304"/>
      <c r="CA304" s="2"/>
    </row>
    <row r="305" spans="1:79" ht="15">
      <c r="A305"/>
      <c r="AC305"/>
      <c r="AD305"/>
      <c r="CA305" s="2"/>
    </row>
    <row r="306" spans="1:79" ht="15">
      <c r="A306"/>
      <c r="AC306"/>
      <c r="AD306"/>
      <c r="CA306" s="2"/>
    </row>
    <row r="307" spans="1:79" ht="15">
      <c r="A307"/>
      <c r="AC307"/>
      <c r="AD307"/>
      <c r="CA307" s="2"/>
    </row>
    <row r="308" spans="1:79" ht="15">
      <c r="A308"/>
      <c r="AC308"/>
      <c r="AD308"/>
      <c r="CA308" s="2"/>
    </row>
    <row r="309" spans="1:79" ht="15">
      <c r="A309"/>
      <c r="AC309"/>
      <c r="AD309"/>
      <c r="CA309" s="2"/>
    </row>
    <row r="310" spans="1:79" ht="15">
      <c r="A310"/>
      <c r="AC310"/>
      <c r="AD310"/>
      <c r="CA310" s="2"/>
    </row>
    <row r="311" spans="1:79" ht="15">
      <c r="A311"/>
      <c r="AC311"/>
      <c r="AD311"/>
      <c r="CA311" s="2"/>
    </row>
    <row r="312" spans="1:79" ht="15">
      <c r="A312"/>
      <c r="AC312"/>
      <c r="AD312"/>
      <c r="CA312" s="2"/>
    </row>
    <row r="313" spans="1:79" ht="15">
      <c r="A313"/>
      <c r="AC313"/>
      <c r="AD313"/>
      <c r="CA313" s="2"/>
    </row>
    <row r="314" spans="1:79" ht="15">
      <c r="A314"/>
      <c r="AC314"/>
      <c r="AD314"/>
      <c r="CA314" s="2"/>
    </row>
    <row r="315" spans="1:79" ht="15">
      <c r="A315"/>
      <c r="AC315"/>
      <c r="AD315"/>
      <c r="CA315" s="2"/>
    </row>
    <row r="316" spans="1:79" ht="15">
      <c r="A316"/>
      <c r="AC316"/>
      <c r="AD316"/>
      <c r="CA316" s="2"/>
    </row>
    <row r="317" spans="1:79" ht="15">
      <c r="A317"/>
      <c r="AC317"/>
      <c r="AD317"/>
      <c r="CA317" s="2"/>
    </row>
    <row r="318" spans="1:79" ht="15">
      <c r="A318"/>
      <c r="AC318"/>
      <c r="AD318"/>
      <c r="CA318" s="2"/>
    </row>
    <row r="319" spans="1:79" ht="15">
      <c r="A319"/>
      <c r="AC319"/>
      <c r="AD319"/>
      <c r="CA319" s="2"/>
    </row>
    <row r="320" spans="1:79" ht="15">
      <c r="A320"/>
      <c r="AC320"/>
      <c r="AD320"/>
      <c r="CA320" s="2"/>
    </row>
    <row r="321" spans="1:79" ht="15">
      <c r="A321"/>
      <c r="AC321"/>
      <c r="AD321"/>
      <c r="CA321" s="2"/>
    </row>
    <row r="322" spans="1:79" ht="15">
      <c r="A322"/>
      <c r="AC322"/>
      <c r="AD322"/>
      <c r="CA322" s="2"/>
    </row>
    <row r="323" spans="1:79" ht="15">
      <c r="A323"/>
      <c r="AC323"/>
      <c r="AD323"/>
      <c r="CA323" s="2"/>
    </row>
    <row r="324" spans="1:79" ht="15">
      <c r="A324"/>
      <c r="AC324"/>
      <c r="AD324"/>
      <c r="CA324" s="2"/>
    </row>
    <row r="325" spans="1:79" ht="15">
      <c r="A325"/>
      <c r="AC325"/>
      <c r="AD325"/>
      <c r="CA325" s="2"/>
    </row>
    <row r="326" spans="1:79" ht="15">
      <c r="A326"/>
      <c r="AC326"/>
      <c r="AD326"/>
      <c r="CA326" s="2"/>
    </row>
    <row r="327" spans="1:79" ht="15">
      <c r="A327"/>
      <c r="AC327"/>
      <c r="AD327"/>
      <c r="CA327" s="2"/>
    </row>
    <row r="328" spans="1:79" ht="15">
      <c r="A328"/>
      <c r="AC328"/>
      <c r="AD328"/>
      <c r="CA328" s="2"/>
    </row>
    <row r="329" spans="1:79" ht="15">
      <c r="A329"/>
      <c r="AC329"/>
      <c r="AD329"/>
      <c r="CA329" s="2"/>
    </row>
    <row r="330" spans="1:79" ht="15">
      <c r="A330"/>
      <c r="AC330"/>
      <c r="AD330"/>
      <c r="CA330" s="2"/>
    </row>
    <row r="331" spans="1:79" ht="15">
      <c r="A331"/>
      <c r="AC331"/>
      <c r="AD331"/>
      <c r="CA331" s="2"/>
    </row>
    <row r="332" spans="1:79" ht="15">
      <c r="A332"/>
      <c r="AC332"/>
      <c r="AD332"/>
      <c r="CA332" s="2"/>
    </row>
    <row r="333" spans="1:79" ht="15">
      <c r="A333"/>
      <c r="AC333"/>
      <c r="AD333"/>
      <c r="CA333" s="2"/>
    </row>
    <row r="334" spans="1:79" ht="15">
      <c r="A334"/>
      <c r="AC334"/>
      <c r="AD334"/>
      <c r="CA334" s="2"/>
    </row>
    <row r="335" spans="1:79" ht="15">
      <c r="A335"/>
      <c r="AC335"/>
      <c r="AD335"/>
      <c r="CA335" s="2"/>
    </row>
    <row r="336" spans="1:79" ht="15">
      <c r="A336"/>
      <c r="AC336"/>
      <c r="AD336"/>
      <c r="CA336" s="2"/>
    </row>
    <row r="337" spans="1:79" ht="15">
      <c r="A337"/>
      <c r="AC337"/>
      <c r="AD337"/>
      <c r="CA337" s="2"/>
    </row>
    <row r="338" spans="1:79" ht="15">
      <c r="A338"/>
      <c r="AC338"/>
      <c r="AD338"/>
      <c r="CA338" s="2"/>
    </row>
    <row r="339" spans="1:79" ht="15">
      <c r="A339"/>
      <c r="AC339"/>
      <c r="AD339"/>
      <c r="CA339" s="2"/>
    </row>
    <row r="340" spans="1:79" ht="15">
      <c r="A340"/>
      <c r="AC340"/>
      <c r="AD340"/>
      <c r="CA340" s="2"/>
    </row>
    <row r="341" spans="1:79" ht="15">
      <c r="A341"/>
      <c r="AC341"/>
      <c r="AD341"/>
      <c r="CA341" s="2"/>
    </row>
    <row r="342" spans="1:79" ht="15">
      <c r="A342"/>
      <c r="AC342"/>
      <c r="AD342"/>
      <c r="CA342" s="2"/>
    </row>
    <row r="343" spans="1:79" ht="15">
      <c r="A343"/>
      <c r="AC343"/>
      <c r="AD343"/>
      <c r="CA343" s="2"/>
    </row>
    <row r="344" spans="1:79" ht="15">
      <c r="A344"/>
      <c r="AC344"/>
      <c r="AD344"/>
      <c r="CA344" s="2"/>
    </row>
    <row r="345" spans="1:79" ht="15">
      <c r="A345"/>
      <c r="AC345"/>
      <c r="AD345"/>
      <c r="CA345" s="2"/>
    </row>
    <row r="346" spans="1:79" ht="15">
      <c r="A346"/>
      <c r="AC346"/>
      <c r="AD346"/>
      <c r="CA346" s="2"/>
    </row>
    <row r="347" spans="1:79" ht="15">
      <c r="A347"/>
      <c r="AC347"/>
      <c r="AD347"/>
      <c r="CA347" s="2"/>
    </row>
    <row r="348" spans="1:79" ht="15">
      <c r="A348"/>
      <c r="AC348"/>
      <c r="AD348"/>
      <c r="CA348" s="2"/>
    </row>
    <row r="349" spans="1:79" ht="15">
      <c r="A349"/>
      <c r="AC349"/>
      <c r="AD349"/>
      <c r="CA349" s="2"/>
    </row>
    <row r="350" spans="1:79" ht="15">
      <c r="A350"/>
      <c r="AC350"/>
      <c r="AD350"/>
      <c r="CA350" s="2"/>
    </row>
    <row r="351" spans="1:79" ht="15">
      <c r="A351"/>
      <c r="AC351"/>
      <c r="AD351"/>
      <c r="CA351" s="2"/>
    </row>
    <row r="352" spans="1:79" ht="15">
      <c r="A352"/>
      <c r="AC352"/>
      <c r="AD352"/>
      <c r="CA352" s="2"/>
    </row>
    <row r="353" spans="1:79" ht="15">
      <c r="A353"/>
      <c r="AC353"/>
      <c r="AD353"/>
      <c r="CA353" s="2"/>
    </row>
    <row r="354" spans="1:79" ht="15">
      <c r="A354"/>
      <c r="AC354"/>
      <c r="AD354"/>
      <c r="CA354" s="2"/>
    </row>
    <row r="355" spans="1:79" ht="15">
      <c r="A355"/>
      <c r="AC355"/>
      <c r="AD355"/>
      <c r="CA355" s="2"/>
    </row>
    <row r="356" spans="1:79" ht="15">
      <c r="A356"/>
      <c r="AC356"/>
      <c r="AD356"/>
      <c r="CA356" s="2"/>
    </row>
    <row r="357" spans="1:79" ht="15">
      <c r="A357"/>
      <c r="AC357"/>
      <c r="AD357"/>
      <c r="CA357" s="2"/>
    </row>
    <row r="358" spans="1:79" ht="15">
      <c r="A358"/>
      <c r="AC358"/>
      <c r="AD358"/>
      <c r="CA358" s="2"/>
    </row>
    <row r="359" spans="1:79" ht="15">
      <c r="A359"/>
      <c r="AC359"/>
      <c r="AD359"/>
      <c r="CA359" s="2"/>
    </row>
    <row r="360" spans="1:79" ht="15">
      <c r="A360"/>
      <c r="AC360"/>
      <c r="AD360"/>
      <c r="CA360" s="2"/>
    </row>
    <row r="361" spans="1:79" ht="15">
      <c r="A361"/>
      <c r="AC361"/>
      <c r="AD361"/>
      <c r="CA361" s="2"/>
    </row>
    <row r="362" spans="1:79" ht="15">
      <c r="A362"/>
      <c r="AC362"/>
      <c r="AD362"/>
      <c r="CA362" s="2"/>
    </row>
    <row r="363" spans="1:79" ht="15">
      <c r="A363"/>
      <c r="AC363"/>
      <c r="AD363"/>
      <c r="CA363" s="2"/>
    </row>
    <row r="364" spans="1:79" ht="15">
      <c r="A364"/>
      <c r="AC364"/>
      <c r="AD364"/>
      <c r="CA364" s="2"/>
    </row>
    <row r="365" spans="1:79" ht="15">
      <c r="A365"/>
      <c r="AC365"/>
      <c r="AD365"/>
      <c r="CA365" s="2"/>
    </row>
    <row r="366" spans="1:79" ht="15">
      <c r="A366"/>
      <c r="AC366"/>
      <c r="AD366"/>
      <c r="CA366" s="2"/>
    </row>
    <row r="367" spans="1:79" ht="15">
      <c r="A367"/>
      <c r="AC367"/>
      <c r="AD367"/>
      <c r="CA367" s="2"/>
    </row>
    <row r="368" spans="1:79" ht="15">
      <c r="A368"/>
      <c r="AC368"/>
      <c r="AD368"/>
      <c r="CA368" s="2"/>
    </row>
    <row r="369" spans="1:79" ht="15">
      <c r="A369"/>
      <c r="AC369"/>
      <c r="AD369"/>
      <c r="CA369" s="2"/>
    </row>
    <row r="370" spans="1:79" ht="15">
      <c r="A370"/>
      <c r="AC370"/>
      <c r="AD370"/>
      <c r="CA370" s="2"/>
    </row>
    <row r="371" spans="1:79" ht="15">
      <c r="A371"/>
      <c r="AC371"/>
      <c r="AD371"/>
      <c r="CA371" s="2"/>
    </row>
    <row r="372" spans="1:79" ht="15">
      <c r="A372"/>
      <c r="AC372"/>
      <c r="AD372"/>
      <c r="CA372" s="2"/>
    </row>
    <row r="373" spans="1:79" ht="15">
      <c r="A373"/>
      <c r="AC373"/>
      <c r="AD373"/>
      <c r="CA373" s="2"/>
    </row>
    <row r="374" spans="1:79" ht="15">
      <c r="A374"/>
      <c r="AC374"/>
      <c r="AD374"/>
      <c r="CA374" s="2"/>
    </row>
    <row r="375" spans="1:79" ht="15">
      <c r="A375"/>
      <c r="AC375"/>
      <c r="AD375"/>
      <c r="CA375" s="2"/>
    </row>
    <row r="376" spans="1:79" ht="15">
      <c r="A376"/>
      <c r="AC376"/>
      <c r="AD376"/>
      <c r="CA376" s="2"/>
    </row>
    <row r="377" spans="1:79" ht="15">
      <c r="A377"/>
      <c r="AC377"/>
      <c r="AD377"/>
      <c r="CA377" s="2"/>
    </row>
    <row r="378" spans="1:79" ht="15">
      <c r="A378"/>
      <c r="AC378"/>
      <c r="AD378"/>
      <c r="CA378" s="2"/>
    </row>
    <row r="379" spans="1:79" ht="15">
      <c r="A379"/>
      <c r="AC379"/>
      <c r="AD379"/>
      <c r="CA379" s="2"/>
    </row>
    <row r="380" spans="1:79" ht="15">
      <c r="A380"/>
      <c r="AC380"/>
      <c r="AD380"/>
      <c r="CA380" s="2"/>
    </row>
    <row r="381" spans="1:79" ht="15">
      <c r="A381"/>
      <c r="AC381"/>
      <c r="AD381"/>
      <c r="CA381" s="2"/>
    </row>
    <row r="382" spans="1:79" ht="15">
      <c r="A382"/>
      <c r="AC382"/>
      <c r="AD382"/>
      <c r="CA382" s="2"/>
    </row>
    <row r="383" spans="1:79" ht="15">
      <c r="A383"/>
      <c r="AC383"/>
      <c r="AD383"/>
      <c r="CA383" s="2"/>
    </row>
    <row r="384" spans="1:79" ht="15">
      <c r="A384"/>
      <c r="AC384"/>
      <c r="AD384"/>
      <c r="CA384" s="2"/>
    </row>
    <row r="385" spans="1:79" ht="15">
      <c r="A385"/>
      <c r="AC385"/>
      <c r="AD385"/>
      <c r="CA385" s="2"/>
    </row>
    <row r="386" spans="1:79" ht="15">
      <c r="A386"/>
      <c r="AC386"/>
      <c r="AD386"/>
      <c r="CA386" s="2"/>
    </row>
    <row r="387" spans="1:79" ht="15">
      <c r="A387"/>
      <c r="AC387"/>
      <c r="AD387"/>
      <c r="CA387" s="2"/>
    </row>
    <row r="388" spans="1:79" ht="15">
      <c r="A388"/>
      <c r="AC388"/>
      <c r="AD388"/>
      <c r="CA388" s="2"/>
    </row>
    <row r="389" spans="1:79" ht="15">
      <c r="A389"/>
      <c r="AC389"/>
      <c r="AD389"/>
      <c r="CA389" s="2"/>
    </row>
    <row r="390" spans="1:79" ht="15">
      <c r="A390"/>
      <c r="AC390"/>
      <c r="AD390"/>
      <c r="CA390" s="2"/>
    </row>
    <row r="391" spans="1:79" ht="15">
      <c r="A391"/>
      <c r="AC391"/>
      <c r="AD391"/>
      <c r="CA391" s="2"/>
    </row>
    <row r="392" spans="1:79" ht="15">
      <c r="A392"/>
      <c r="AC392"/>
      <c r="AD392"/>
      <c r="CA392" s="2"/>
    </row>
    <row r="393" spans="1:79" ht="15">
      <c r="A393"/>
      <c r="AC393"/>
      <c r="AD393"/>
      <c r="CA393" s="2"/>
    </row>
    <row r="394" spans="1:79" ht="15">
      <c r="A394"/>
      <c r="AC394"/>
      <c r="AD394"/>
      <c r="CA394" s="2"/>
    </row>
    <row r="395" spans="1:79" ht="15">
      <c r="A395"/>
      <c r="AC395"/>
      <c r="AD395"/>
      <c r="CA395" s="2"/>
    </row>
    <row r="396" spans="1:79" ht="15">
      <c r="A396"/>
      <c r="AC396"/>
      <c r="AD396"/>
      <c r="CA396" s="2"/>
    </row>
    <row r="397" spans="1:79" ht="15">
      <c r="A397"/>
      <c r="AC397"/>
      <c r="AD397"/>
      <c r="CA397" s="2"/>
    </row>
    <row r="398" spans="1:79" ht="15">
      <c r="A398"/>
      <c r="AC398"/>
      <c r="AD398"/>
      <c r="CA398" s="2"/>
    </row>
    <row r="399" spans="1:79" ht="15">
      <c r="A399"/>
      <c r="AC399"/>
      <c r="AD399"/>
      <c r="CA399" s="2"/>
    </row>
    <row r="400" spans="1:79" ht="15">
      <c r="A400"/>
      <c r="AC400"/>
      <c r="AD400"/>
      <c r="CA400" s="2"/>
    </row>
    <row r="401" spans="1:79" ht="15">
      <c r="A401"/>
      <c r="AC401"/>
      <c r="AD401"/>
      <c r="CA401" s="2"/>
    </row>
    <row r="402" spans="1:79" ht="15">
      <c r="A402"/>
      <c r="AC402"/>
      <c r="AD402"/>
      <c r="CA402" s="2"/>
    </row>
    <row r="403" spans="1:79" ht="15">
      <c r="A403"/>
      <c r="AC403"/>
      <c r="AD403"/>
      <c r="CA403" s="2"/>
    </row>
    <row r="404" spans="1:79" ht="15">
      <c r="A404"/>
      <c r="AC404"/>
      <c r="AD404"/>
      <c r="CA404" s="2"/>
    </row>
    <row r="405" spans="1:79" ht="15">
      <c r="A405"/>
      <c r="AC405"/>
      <c r="AD405"/>
      <c r="CA405" s="2"/>
    </row>
    <row r="406" spans="1:79" ht="15">
      <c r="A406"/>
      <c r="AC406"/>
      <c r="AD406"/>
      <c r="CA406" s="2"/>
    </row>
    <row r="407" spans="1:79" ht="15">
      <c r="A407"/>
      <c r="AC407"/>
      <c r="AD407"/>
      <c r="CA407" s="2"/>
    </row>
    <row r="408" spans="1:79" ht="15">
      <c r="A408"/>
      <c r="AC408"/>
      <c r="AD408"/>
      <c r="CA408" s="2"/>
    </row>
    <row r="409" spans="1:79" ht="15">
      <c r="A409"/>
      <c r="AC409"/>
      <c r="AD409"/>
      <c r="CA409" s="2"/>
    </row>
    <row r="410" spans="1:79" ht="15">
      <c r="A410"/>
      <c r="AC410"/>
      <c r="AD410"/>
      <c r="CA410" s="2"/>
    </row>
    <row r="411" spans="1:79" ht="15">
      <c r="A411"/>
      <c r="AC411"/>
      <c r="AD411"/>
      <c r="CA411" s="2"/>
    </row>
    <row r="412" spans="1:79" ht="15">
      <c r="A412"/>
      <c r="AC412"/>
      <c r="AD412"/>
      <c r="CA412" s="2"/>
    </row>
    <row r="413" spans="1:79" ht="15">
      <c r="A413"/>
      <c r="AC413"/>
      <c r="AD413"/>
      <c r="CA413" s="2"/>
    </row>
    <row r="414" spans="1:79" ht="15">
      <c r="A414"/>
      <c r="AC414"/>
      <c r="AD414"/>
      <c r="CA414" s="2"/>
    </row>
    <row r="415" spans="1:79" ht="15">
      <c r="A415"/>
      <c r="AC415"/>
      <c r="AD415"/>
      <c r="CA415" s="2"/>
    </row>
    <row r="416" spans="1:79" ht="15">
      <c r="A416"/>
      <c r="AC416"/>
      <c r="AD416"/>
      <c r="CA416" s="2"/>
    </row>
    <row r="417" spans="1:79" ht="15">
      <c r="A417"/>
      <c r="AC417"/>
      <c r="AD417"/>
      <c r="CA417" s="2"/>
    </row>
    <row r="418" spans="1:79" ht="15">
      <c r="A418"/>
      <c r="AC418"/>
      <c r="AD418"/>
      <c r="CA418" s="2"/>
    </row>
    <row r="419" spans="1:79" ht="15">
      <c r="A419"/>
      <c r="AC419"/>
      <c r="AD419"/>
      <c r="CA419" s="2"/>
    </row>
    <row r="420" spans="1:79" ht="15">
      <c r="A420"/>
      <c r="AC420"/>
      <c r="AD420"/>
      <c r="CA420" s="2"/>
    </row>
    <row r="421" spans="1:79" ht="15">
      <c r="A421"/>
      <c r="AC421"/>
      <c r="AD421"/>
      <c r="CA421" s="2"/>
    </row>
    <row r="422" spans="1:79" ht="15">
      <c r="A422"/>
      <c r="AC422"/>
      <c r="AD422"/>
      <c r="CA422" s="2"/>
    </row>
    <row r="423" spans="1:79" ht="15">
      <c r="A423"/>
      <c r="AC423"/>
      <c r="AD423"/>
      <c r="CA423" s="2"/>
    </row>
    <row r="424" spans="1:79" ht="15">
      <c r="A424"/>
      <c r="AC424"/>
      <c r="AD424"/>
      <c r="CA424" s="2"/>
    </row>
    <row r="425" spans="1:79" ht="15">
      <c r="A425"/>
      <c r="AC425"/>
      <c r="AD425"/>
      <c r="CA425" s="2"/>
    </row>
    <row r="426" spans="1:79" ht="15">
      <c r="A426"/>
      <c r="AC426"/>
      <c r="AD426"/>
      <c r="CA426" s="2"/>
    </row>
    <row r="427" spans="1:79" ht="15">
      <c r="A427"/>
      <c r="AC427"/>
      <c r="AD427"/>
      <c r="CA427" s="2"/>
    </row>
    <row r="428" spans="1:79" ht="15">
      <c r="A428"/>
      <c r="AC428"/>
      <c r="AD428"/>
      <c r="CA428" s="2"/>
    </row>
    <row r="429" spans="1:79" ht="15">
      <c r="A429"/>
      <c r="AC429"/>
      <c r="AD429"/>
      <c r="CA429" s="2"/>
    </row>
    <row r="430" spans="1:79" ht="15">
      <c r="A430"/>
      <c r="AC430"/>
      <c r="AD430"/>
      <c r="CA430" s="2"/>
    </row>
    <row r="431" spans="1:79" ht="15">
      <c r="A431"/>
      <c r="AC431"/>
      <c r="AD431"/>
      <c r="CA431" s="2"/>
    </row>
    <row r="432" spans="1:79" ht="15">
      <c r="A432"/>
      <c r="AC432"/>
      <c r="AD432"/>
      <c r="CA432" s="2"/>
    </row>
    <row r="433" spans="1:79" ht="15">
      <c r="A433"/>
      <c r="AC433"/>
      <c r="AD433"/>
      <c r="CA433" s="2"/>
    </row>
    <row r="434" spans="1:79" ht="15">
      <c r="A434"/>
      <c r="AC434"/>
      <c r="AD434"/>
      <c r="CA434" s="2"/>
    </row>
    <row r="435" spans="1:79" ht="15">
      <c r="A435"/>
      <c r="AC435"/>
      <c r="AD435"/>
      <c r="CA435" s="2"/>
    </row>
    <row r="436" spans="1:79" ht="15">
      <c r="A436"/>
      <c r="AC436"/>
      <c r="AD436"/>
      <c r="CA436" s="2"/>
    </row>
    <row r="437" spans="1:79" ht="15">
      <c r="A437"/>
      <c r="AC437"/>
      <c r="AD437"/>
      <c r="CA437" s="2"/>
    </row>
    <row r="438" spans="1:79" ht="15">
      <c r="A438"/>
      <c r="AC438"/>
      <c r="AD438"/>
      <c r="CA438" s="2"/>
    </row>
    <row r="439" spans="1:79" ht="15">
      <c r="A439"/>
      <c r="AC439"/>
      <c r="AD439"/>
      <c r="CA439" s="2"/>
    </row>
    <row r="440" spans="1:79" ht="15">
      <c r="A440"/>
      <c r="AC440"/>
      <c r="AD440"/>
      <c r="CA440" s="2"/>
    </row>
    <row r="441" spans="1:79" ht="15">
      <c r="A441"/>
      <c r="AC441"/>
      <c r="AD441"/>
      <c r="CA441" s="2"/>
    </row>
    <row r="442" spans="1:79" ht="15">
      <c r="A442"/>
      <c r="AC442"/>
      <c r="AD442"/>
      <c r="CA442" s="2"/>
    </row>
    <row r="443" spans="1:79" ht="15">
      <c r="A443"/>
      <c r="AC443"/>
      <c r="AD443"/>
      <c r="CA443" s="2"/>
    </row>
    <row r="444" spans="1:79" ht="15">
      <c r="A444"/>
      <c r="AC444"/>
      <c r="AD444"/>
      <c r="CA444" s="2"/>
    </row>
    <row r="445" spans="1:79" ht="15">
      <c r="A445"/>
      <c r="AC445"/>
      <c r="AD445"/>
      <c r="CA445" s="2"/>
    </row>
    <row r="446" spans="1:79" ht="15">
      <c r="A446"/>
      <c r="AC446"/>
      <c r="AD446"/>
      <c r="CA446" s="2"/>
    </row>
    <row r="447" spans="1:79" ht="15">
      <c r="A447"/>
      <c r="AC447"/>
      <c r="AD447"/>
      <c r="CA447" s="2"/>
    </row>
    <row r="448" spans="1:79" ht="15">
      <c r="A448"/>
      <c r="AC448"/>
      <c r="AD448"/>
      <c r="CA448" s="2"/>
    </row>
    <row r="449" spans="1:79" ht="15">
      <c r="A449"/>
      <c r="AC449"/>
      <c r="AD449"/>
      <c r="CA449" s="2"/>
    </row>
    <row r="450" spans="1:79" ht="15">
      <c r="A450"/>
      <c r="AC450"/>
      <c r="AD450"/>
      <c r="CA450" s="2"/>
    </row>
    <row r="451" spans="1:79" ht="15">
      <c r="A451"/>
      <c r="AC451"/>
      <c r="AD451"/>
      <c r="CA451" s="2"/>
    </row>
    <row r="452" spans="1:79" ht="15">
      <c r="A452"/>
      <c r="AC452"/>
      <c r="AD452"/>
      <c r="CA452" s="2"/>
    </row>
    <row r="453" spans="1:79" ht="15">
      <c r="A453"/>
      <c r="AC453"/>
      <c r="AD453"/>
      <c r="CA453" s="2"/>
    </row>
    <row r="454" spans="1:79" ht="15">
      <c r="A454"/>
      <c r="AC454"/>
      <c r="AD454"/>
      <c r="CA454" s="2"/>
    </row>
    <row r="455" spans="1:79" ht="15">
      <c r="A455"/>
      <c r="AC455"/>
      <c r="AD455"/>
      <c r="CA455" s="2"/>
    </row>
    <row r="456" spans="1:79" ht="15">
      <c r="A456"/>
      <c r="AC456"/>
      <c r="AD456"/>
      <c r="CA456" s="2"/>
    </row>
    <row r="457" spans="1:79" ht="15">
      <c r="A457"/>
      <c r="AC457"/>
      <c r="AD457"/>
      <c r="CA457" s="2"/>
    </row>
    <row r="458" spans="1:79" ht="15">
      <c r="A458"/>
      <c r="AC458"/>
      <c r="AD458"/>
      <c r="CA458" s="2"/>
    </row>
    <row r="459" spans="1:79" ht="15">
      <c r="A459"/>
      <c r="AC459"/>
      <c r="AD459"/>
      <c r="CA459" s="2"/>
    </row>
    <row r="460" spans="1:79" ht="15">
      <c r="A460"/>
      <c r="AC460"/>
      <c r="AD460"/>
      <c r="CA460" s="2"/>
    </row>
    <row r="461" spans="1:79" ht="15">
      <c r="A461"/>
      <c r="AC461"/>
      <c r="AD461"/>
      <c r="CA461" s="2"/>
    </row>
    <row r="462" spans="1:79" ht="15">
      <c r="A462"/>
      <c r="AC462"/>
      <c r="AD462"/>
      <c r="CA462" s="2"/>
    </row>
    <row r="463" spans="1:79" ht="15">
      <c r="A463"/>
      <c r="AC463"/>
      <c r="AD463"/>
      <c r="CA463" s="2"/>
    </row>
    <row r="464" spans="1:79" ht="15">
      <c r="A464"/>
      <c r="AC464"/>
      <c r="AD464"/>
      <c r="CA464" s="2"/>
    </row>
    <row r="465" spans="1:79" ht="15">
      <c r="A465"/>
      <c r="AC465"/>
      <c r="AD465"/>
      <c r="CA465" s="2"/>
    </row>
    <row r="466" spans="1:79" ht="15">
      <c r="A466"/>
      <c r="AC466"/>
      <c r="AD466"/>
      <c r="CA466" s="2"/>
    </row>
    <row r="467" spans="1:79" ht="15">
      <c r="A467"/>
      <c r="AC467"/>
      <c r="AD467"/>
      <c r="CA467" s="2"/>
    </row>
    <row r="468" spans="1:79" ht="15">
      <c r="A468"/>
      <c r="AC468"/>
      <c r="AD468"/>
      <c r="CA468" s="2"/>
    </row>
    <row r="469" spans="1:79" ht="15">
      <c r="A469"/>
      <c r="AC469"/>
      <c r="AD469"/>
      <c r="CA469" s="2"/>
    </row>
    <row r="470" spans="1:79" ht="15">
      <c r="A470"/>
      <c r="AC470"/>
      <c r="AD470"/>
      <c r="CA470" s="2"/>
    </row>
    <row r="471" spans="1:79" ht="15">
      <c r="A471"/>
      <c r="AC471"/>
      <c r="AD471"/>
      <c r="CA471" s="2"/>
    </row>
    <row r="472" spans="1:79" ht="15">
      <c r="A472"/>
      <c r="AC472"/>
      <c r="AD472"/>
      <c r="CA472" s="2"/>
    </row>
    <row r="473" spans="1:79" ht="15">
      <c r="A473"/>
      <c r="AC473"/>
      <c r="AD473"/>
      <c r="CA473" s="2"/>
    </row>
    <row r="474" spans="1:79" ht="15">
      <c r="A474"/>
      <c r="AC474"/>
      <c r="AD474"/>
      <c r="CA474" s="2"/>
    </row>
    <row r="475" spans="1:79" ht="15">
      <c r="A475"/>
      <c r="AC475"/>
      <c r="AD475"/>
      <c r="CA475" s="2"/>
    </row>
    <row r="476" spans="1:79" ht="15">
      <c r="A476"/>
      <c r="AC476"/>
      <c r="AD476"/>
      <c r="CA476" s="2"/>
    </row>
    <row r="477" spans="1:79" ht="15">
      <c r="A477"/>
      <c r="AC477"/>
      <c r="AD477"/>
      <c r="CA477" s="2"/>
    </row>
    <row r="478" spans="1:79" ht="15">
      <c r="A478"/>
      <c r="AC478"/>
      <c r="AD478"/>
      <c r="CA478" s="2"/>
    </row>
    <row r="479" spans="1:79" ht="15">
      <c r="A479"/>
      <c r="AC479"/>
      <c r="AD479"/>
      <c r="CA479" s="2"/>
    </row>
    <row r="480" spans="1:79" ht="15">
      <c r="A480"/>
      <c r="AC480"/>
      <c r="AD480"/>
      <c r="CA480" s="2"/>
    </row>
    <row r="481" spans="1:79" ht="15">
      <c r="A481"/>
      <c r="AC481"/>
      <c r="AD481"/>
      <c r="CA481" s="2"/>
    </row>
    <row r="482" spans="1:79" ht="15">
      <c r="A482"/>
      <c r="AC482"/>
      <c r="AD482"/>
      <c r="CA482" s="2"/>
    </row>
    <row r="483" spans="1:79" ht="15">
      <c r="A483"/>
      <c r="AC483"/>
      <c r="AD483"/>
      <c r="CA483" s="2"/>
    </row>
    <row r="484" spans="1:79" ht="15">
      <c r="A484"/>
      <c r="AC484"/>
      <c r="AD484"/>
      <c r="CA484" s="2"/>
    </row>
    <row r="485" spans="1:79" ht="15">
      <c r="A485"/>
      <c r="AC485"/>
      <c r="AD485"/>
      <c r="CA485" s="2"/>
    </row>
    <row r="486" spans="1:79" ht="15">
      <c r="A486"/>
      <c r="AC486"/>
      <c r="AD486"/>
      <c r="CA486" s="2"/>
    </row>
    <row r="487" spans="1:79" ht="15">
      <c r="A487"/>
      <c r="AC487"/>
      <c r="AD487"/>
      <c r="CA487" s="2"/>
    </row>
    <row r="488" spans="1:79" ht="15">
      <c r="A488"/>
      <c r="AC488"/>
      <c r="AD488"/>
      <c r="CA488" s="2"/>
    </row>
    <row r="489" spans="1:79" ht="15">
      <c r="A489"/>
      <c r="AC489"/>
      <c r="AD489"/>
      <c r="CA489" s="2"/>
    </row>
    <row r="490" spans="1:79" ht="15">
      <c r="A490"/>
      <c r="AC490"/>
      <c r="AD490"/>
      <c r="CA490" s="2"/>
    </row>
    <row r="491" spans="1:79" ht="15">
      <c r="A491"/>
      <c r="AC491"/>
      <c r="AD491"/>
      <c r="CA491" s="2"/>
    </row>
    <row r="492" spans="1:79" ht="15">
      <c r="A492"/>
      <c r="AC492"/>
      <c r="AD492"/>
      <c r="CA492" s="2"/>
    </row>
    <row r="493" spans="1:79" ht="15">
      <c r="A493"/>
      <c r="AC493"/>
      <c r="AD493"/>
      <c r="CA493" s="2"/>
    </row>
    <row r="494" spans="1:79" ht="15">
      <c r="A494"/>
      <c r="AC494"/>
      <c r="AD494"/>
      <c r="CA494" s="2"/>
    </row>
    <row r="495" spans="1:79" ht="15">
      <c r="A495"/>
      <c r="AC495"/>
      <c r="AD495"/>
      <c r="CA495" s="2"/>
    </row>
    <row r="496" spans="1:79" ht="15">
      <c r="A496"/>
      <c r="AC496"/>
      <c r="AD496"/>
      <c r="CA496" s="2"/>
    </row>
    <row r="497" spans="1:79" ht="15">
      <c r="A497"/>
      <c r="AC497"/>
      <c r="AD497"/>
      <c r="CA497" s="2"/>
    </row>
    <row r="498" spans="1:79" ht="15">
      <c r="A498"/>
      <c r="AC498"/>
      <c r="AD498"/>
      <c r="CA498" s="2"/>
    </row>
    <row r="499" spans="1:79" ht="15">
      <c r="A499"/>
      <c r="AC499"/>
      <c r="AD499"/>
      <c r="CA499" s="2"/>
    </row>
    <row r="500" spans="1:79" ht="15">
      <c r="A500"/>
      <c r="AC500"/>
      <c r="AD500"/>
      <c r="CA500" s="2"/>
    </row>
    <row r="501" spans="1:79" ht="15">
      <c r="A501"/>
      <c r="AC501"/>
      <c r="AD501"/>
      <c r="CA501" s="2"/>
    </row>
    <row r="502" spans="1:79" ht="15">
      <c r="A502"/>
      <c r="AC502"/>
      <c r="AD502"/>
      <c r="CA502" s="2"/>
    </row>
    <row r="503" spans="1:79" ht="15">
      <c r="A503"/>
      <c r="AC503"/>
      <c r="AD503"/>
      <c r="CA503" s="2"/>
    </row>
    <row r="504" spans="1:79" ht="15">
      <c r="A504"/>
      <c r="AC504"/>
      <c r="AD504"/>
      <c r="CA504" s="2"/>
    </row>
    <row r="505" spans="1:79" ht="15">
      <c r="A505"/>
      <c r="AC505"/>
      <c r="AD505"/>
      <c r="CA505" s="2"/>
    </row>
    <row r="506" spans="1:79" ht="15">
      <c r="A506"/>
      <c r="AC506"/>
      <c r="AD506"/>
      <c r="CA506" s="2"/>
    </row>
    <row r="507" spans="1:79" ht="15">
      <c r="A507"/>
      <c r="AC507"/>
      <c r="AD507"/>
      <c r="CA507" s="2"/>
    </row>
    <row r="508" spans="1:79" ht="15">
      <c r="A508"/>
      <c r="AC508"/>
      <c r="AD508"/>
      <c r="CA508" s="2"/>
    </row>
    <row r="509" spans="1:79" ht="15">
      <c r="A509"/>
      <c r="AC509"/>
      <c r="AD509"/>
      <c r="CA509" s="2"/>
    </row>
    <row r="510" spans="1:79" ht="15">
      <c r="A510"/>
      <c r="AC510"/>
      <c r="AD510"/>
      <c r="CA510" s="2"/>
    </row>
    <row r="511" spans="1:79" ht="15">
      <c r="A511"/>
      <c r="AC511"/>
      <c r="AD511"/>
      <c r="CA511" s="2"/>
    </row>
    <row r="512" spans="1:79" ht="15">
      <c r="A512"/>
      <c r="AC512"/>
      <c r="AD512"/>
      <c r="CA512" s="2"/>
    </row>
    <row r="513" spans="1:79" ht="15">
      <c r="A513"/>
      <c r="AC513"/>
      <c r="AD513"/>
      <c r="CA513" s="2"/>
    </row>
    <row r="514" spans="1:79" ht="15">
      <c r="A514"/>
      <c r="AC514"/>
      <c r="AD514"/>
      <c r="CA514" s="2"/>
    </row>
    <row r="515" spans="1:79" ht="15">
      <c r="A515"/>
      <c r="AC515"/>
      <c r="AD515"/>
      <c r="CA515" s="2"/>
    </row>
    <row r="516" spans="1:79" ht="15">
      <c r="A516"/>
      <c r="AC516"/>
      <c r="AD516"/>
      <c r="CA516" s="2"/>
    </row>
    <row r="517" spans="1:79" ht="15">
      <c r="A517"/>
      <c r="AC517"/>
      <c r="AD517"/>
      <c r="CA517" s="2"/>
    </row>
    <row r="518" spans="1:79" ht="15">
      <c r="A518"/>
      <c r="AC518"/>
      <c r="AD518"/>
      <c r="CA518" s="2"/>
    </row>
    <row r="519" spans="1:79" ht="15">
      <c r="A519"/>
      <c r="AC519"/>
      <c r="AD519"/>
      <c r="CA519" s="2"/>
    </row>
    <row r="520" spans="1:79" ht="15">
      <c r="A520"/>
      <c r="AC520"/>
      <c r="AD520"/>
      <c r="CA520" s="2"/>
    </row>
    <row r="521" spans="1:79" ht="15">
      <c r="A521"/>
      <c r="AC521"/>
      <c r="AD521"/>
      <c r="CA521" s="2"/>
    </row>
    <row r="522" spans="1:79" ht="15">
      <c r="A522"/>
      <c r="AC522"/>
      <c r="AD522"/>
      <c r="CA522" s="2"/>
    </row>
    <row r="523" spans="1:79" ht="15">
      <c r="A523"/>
      <c r="AC523"/>
      <c r="AD523"/>
      <c r="CA523" s="2"/>
    </row>
    <row r="524" spans="1:79" ht="15">
      <c r="A524"/>
      <c r="AC524"/>
      <c r="AD524"/>
      <c r="CA524" s="2"/>
    </row>
    <row r="525" spans="1:79" ht="15">
      <c r="A525"/>
      <c r="AC525"/>
      <c r="AD525"/>
      <c r="CA525" s="2"/>
    </row>
    <row r="526" spans="1:79" ht="15">
      <c r="A526"/>
      <c r="AC526"/>
      <c r="AD526"/>
      <c r="CA526" s="2"/>
    </row>
    <row r="527" spans="1:79" ht="15">
      <c r="A527"/>
      <c r="AC527"/>
      <c r="AD527"/>
      <c r="CA527" s="2"/>
    </row>
    <row r="528" spans="1:79" ht="15">
      <c r="A528"/>
      <c r="AC528"/>
      <c r="AD528"/>
      <c r="CA528" s="2"/>
    </row>
    <row r="529" spans="1:79" ht="15">
      <c r="A529"/>
      <c r="AC529"/>
      <c r="AD529"/>
      <c r="CA529" s="2"/>
    </row>
    <row r="530" spans="1:79" ht="15">
      <c r="A530"/>
      <c r="AC530"/>
      <c r="AD530"/>
      <c r="CA530" s="2"/>
    </row>
    <row r="531" spans="1:79" ht="15">
      <c r="A531"/>
      <c r="AC531"/>
      <c r="AD531"/>
      <c r="CA531" s="2"/>
    </row>
    <row r="532" spans="1:79" ht="15">
      <c r="A532"/>
      <c r="AC532"/>
      <c r="AD532"/>
      <c r="CA532" s="2"/>
    </row>
    <row r="533" spans="1:79" ht="15">
      <c r="A533"/>
      <c r="AC533"/>
      <c r="AD533"/>
      <c r="CA533" s="2"/>
    </row>
    <row r="534" spans="1:79" ht="15">
      <c r="A534"/>
      <c r="AC534"/>
      <c r="AD534"/>
      <c r="CA534" s="2"/>
    </row>
    <row r="535" spans="1:79" ht="15">
      <c r="A535"/>
      <c r="AC535"/>
      <c r="AD535"/>
      <c r="CA535" s="2"/>
    </row>
    <row r="536" spans="1:79" ht="15">
      <c r="A536"/>
      <c r="AC536"/>
      <c r="AD536"/>
      <c r="CA536" s="2"/>
    </row>
    <row r="537" spans="1:79" ht="15">
      <c r="A537"/>
      <c r="AC537"/>
      <c r="AD537"/>
      <c r="CA537" s="2"/>
    </row>
    <row r="538" spans="1:79" ht="15">
      <c r="A538"/>
      <c r="AC538"/>
      <c r="AD538"/>
      <c r="CA538" s="2"/>
    </row>
    <row r="539" spans="1:79" ht="15">
      <c r="A539"/>
      <c r="AC539"/>
      <c r="AD539"/>
      <c r="CA539" s="2"/>
    </row>
    <row r="540" spans="1:79" ht="15">
      <c r="A540"/>
      <c r="AC540"/>
      <c r="AD540"/>
      <c r="CA540" s="2"/>
    </row>
    <row r="541" spans="1:79" ht="15">
      <c r="A541"/>
      <c r="AC541"/>
      <c r="AD541"/>
      <c r="CA541" s="2"/>
    </row>
    <row r="542" spans="1:79" ht="15">
      <c r="A542"/>
      <c r="AC542"/>
      <c r="AD542"/>
      <c r="CA542" s="2"/>
    </row>
    <row r="543" spans="1:79" ht="15">
      <c r="A543"/>
      <c r="AC543"/>
      <c r="AD543"/>
      <c r="CA543" s="2"/>
    </row>
    <row r="544" spans="1:79" ht="15">
      <c r="A544"/>
      <c r="AC544"/>
      <c r="AD544"/>
      <c r="CA544" s="2"/>
    </row>
    <row r="545" spans="1:79" ht="15">
      <c r="A545"/>
      <c r="AC545"/>
      <c r="AD545"/>
      <c r="CA545" s="2"/>
    </row>
    <row r="546" spans="1:79" ht="15">
      <c r="A546"/>
      <c r="AC546"/>
      <c r="AD546"/>
      <c r="CA546" s="2"/>
    </row>
    <row r="547" spans="1:79" ht="15">
      <c r="A547"/>
      <c r="AC547"/>
      <c r="AD547"/>
      <c r="CA547" s="2"/>
    </row>
    <row r="548" spans="1:79" ht="15">
      <c r="A548"/>
      <c r="AC548"/>
      <c r="AD548"/>
      <c r="CA548" s="2"/>
    </row>
    <row r="549" spans="1:79" ht="15">
      <c r="A549"/>
      <c r="AC549"/>
      <c r="AD549"/>
      <c r="CA549" s="2"/>
    </row>
    <row r="550" spans="1:79" ht="15">
      <c r="A550"/>
      <c r="AC550"/>
      <c r="AD550"/>
      <c r="CA550" s="2"/>
    </row>
    <row r="551" spans="1:79" ht="15">
      <c r="A551"/>
      <c r="AC551"/>
      <c r="AD551"/>
      <c r="CA551" s="2"/>
    </row>
    <row r="552" spans="1:79" ht="15">
      <c r="A552"/>
      <c r="AC552"/>
      <c r="AD552"/>
      <c r="CA552" s="2"/>
    </row>
    <row r="553" spans="1:79" ht="15">
      <c r="A553"/>
      <c r="AC553"/>
      <c r="AD553"/>
      <c r="CA553" s="2"/>
    </row>
    <row r="554" spans="1:79" ht="15">
      <c r="A554"/>
      <c r="AC554"/>
      <c r="AD554"/>
      <c r="CA554" s="2"/>
    </row>
    <row r="555" spans="1:79" ht="15">
      <c r="A555"/>
      <c r="AC555"/>
      <c r="AD555"/>
      <c r="CA555" s="2"/>
    </row>
    <row r="556" spans="1:79" ht="15">
      <c r="A556"/>
      <c r="AC556"/>
      <c r="AD556"/>
      <c r="CA556" s="2"/>
    </row>
    <row r="557" spans="1:79" ht="15">
      <c r="A557"/>
      <c r="AC557"/>
      <c r="AD557"/>
      <c r="CA557" s="2"/>
    </row>
    <row r="558" spans="1:79" ht="15">
      <c r="A558"/>
      <c r="AC558"/>
      <c r="AD558"/>
      <c r="CA558" s="2"/>
    </row>
    <row r="559" spans="1:79" ht="15">
      <c r="A559"/>
      <c r="AC559"/>
      <c r="AD559"/>
      <c r="CA559" s="2"/>
    </row>
    <row r="560" spans="1:79" ht="15">
      <c r="A560"/>
      <c r="AC560"/>
      <c r="AD560"/>
      <c r="CA560" s="2"/>
    </row>
    <row r="561" spans="1:79" ht="15">
      <c r="A561"/>
      <c r="AC561"/>
      <c r="AD561"/>
      <c r="CA561" s="2"/>
    </row>
    <row r="562" spans="1:79" ht="15">
      <c r="A562"/>
      <c r="AC562"/>
      <c r="AD562"/>
      <c r="CA562" s="2"/>
    </row>
    <row r="563" spans="1:79" ht="15">
      <c r="A563"/>
      <c r="AC563"/>
      <c r="AD563"/>
      <c r="CA563" s="2"/>
    </row>
    <row r="564" spans="1:79" ht="15">
      <c r="A564"/>
      <c r="AC564"/>
      <c r="AD564"/>
      <c r="CA564" s="2"/>
    </row>
    <row r="565" spans="1:79" ht="15">
      <c r="A565"/>
      <c r="AC565"/>
      <c r="AD565"/>
      <c r="CA565" s="2"/>
    </row>
    <row r="566" spans="1:79" ht="15">
      <c r="A566"/>
      <c r="AC566"/>
      <c r="AD566"/>
      <c r="CA566" s="2"/>
    </row>
    <row r="567" spans="1:79" ht="15">
      <c r="A567"/>
      <c r="AC567"/>
      <c r="AD567"/>
      <c r="CA567" s="2"/>
    </row>
    <row r="568" spans="1:79" ht="15">
      <c r="A568"/>
      <c r="AC568"/>
      <c r="AD568"/>
      <c r="CA568" s="2"/>
    </row>
    <row r="569" spans="1:79" ht="15">
      <c r="A569"/>
      <c r="AC569"/>
      <c r="AD569"/>
      <c r="CA569" s="2"/>
    </row>
    <row r="570" spans="1:79" ht="15">
      <c r="A570"/>
      <c r="AC570"/>
      <c r="AD570"/>
      <c r="CA570" s="2"/>
    </row>
    <row r="571" spans="1:79" ht="15">
      <c r="A571"/>
      <c r="AC571"/>
      <c r="AD571"/>
      <c r="CA571" s="2"/>
    </row>
    <row r="572" spans="1:79" ht="15">
      <c r="A572"/>
      <c r="AC572"/>
      <c r="AD572"/>
      <c r="CA572" s="2"/>
    </row>
    <row r="573" spans="1:79" ht="15">
      <c r="A573"/>
      <c r="AC573"/>
      <c r="AD573"/>
      <c r="CA573" s="2"/>
    </row>
    <row r="574" spans="1:79" ht="15">
      <c r="A574"/>
      <c r="AC574"/>
      <c r="AD574"/>
      <c r="CA574" s="2"/>
    </row>
    <row r="575" spans="1:79" ht="15">
      <c r="A575"/>
      <c r="AC575"/>
      <c r="AD575"/>
      <c r="CA575" s="2"/>
    </row>
    <row r="576" spans="1:79" ht="15">
      <c r="A576"/>
      <c r="AC576"/>
      <c r="AD576"/>
      <c r="CA576" s="2"/>
    </row>
    <row r="577" spans="1:79" ht="15">
      <c r="A577"/>
      <c r="AC577"/>
      <c r="AD577"/>
      <c r="CA577" s="2"/>
    </row>
    <row r="578" spans="1:79" ht="15">
      <c r="A578"/>
      <c r="AC578"/>
      <c r="AD578"/>
      <c r="CA578" s="2"/>
    </row>
    <row r="579" spans="1:79" ht="15">
      <c r="A579"/>
      <c r="AC579"/>
      <c r="AD579"/>
      <c r="CA579" s="2"/>
    </row>
    <row r="580" spans="1:79" ht="15">
      <c r="A580"/>
      <c r="AC580"/>
      <c r="AD580"/>
      <c r="CA580" s="2"/>
    </row>
    <row r="581" spans="1:79" ht="15">
      <c r="A581"/>
      <c r="AC581"/>
      <c r="AD581"/>
      <c r="CA581" s="2"/>
    </row>
    <row r="582" spans="1:79" ht="15">
      <c r="A582"/>
      <c r="AC582"/>
      <c r="AD582"/>
      <c r="CA582" s="2"/>
    </row>
    <row r="583" spans="1:79" ht="15">
      <c r="A583"/>
      <c r="AC583"/>
      <c r="AD583"/>
      <c r="CA583" s="2"/>
    </row>
    <row r="584" spans="1:79" ht="15">
      <c r="A584"/>
      <c r="AC584"/>
      <c r="AD584"/>
      <c r="CA584" s="2"/>
    </row>
    <row r="585" spans="1:79" ht="15">
      <c r="A585"/>
      <c r="AC585"/>
      <c r="AD585"/>
      <c r="CA585" s="2"/>
    </row>
    <row r="586" spans="1:79" ht="15">
      <c r="A586"/>
      <c r="AC586"/>
      <c r="AD586"/>
      <c r="CA586" s="2"/>
    </row>
    <row r="587" spans="1:79" ht="15">
      <c r="A587"/>
      <c r="AC587"/>
      <c r="AD587"/>
      <c r="CA587" s="2"/>
    </row>
    <row r="588" spans="1:79" ht="15">
      <c r="A588"/>
      <c r="AC588"/>
      <c r="AD588"/>
      <c r="CA588" s="2"/>
    </row>
    <row r="589" spans="1:79" ht="15">
      <c r="A589"/>
      <c r="AC589"/>
      <c r="AD589"/>
      <c r="CA589" s="2"/>
    </row>
    <row r="590" spans="1:79" ht="15">
      <c r="A590"/>
      <c r="AC590"/>
      <c r="AD590"/>
      <c r="CA590" s="2"/>
    </row>
    <row r="591" spans="1:79" ht="15">
      <c r="A591"/>
      <c r="AC591"/>
      <c r="AD591"/>
      <c r="CA591" s="2"/>
    </row>
    <row r="592" spans="1:79" ht="15">
      <c r="A592"/>
      <c r="AC592"/>
      <c r="AD592"/>
      <c r="CA592" s="2"/>
    </row>
    <row r="593" spans="1:79" ht="15">
      <c r="A593"/>
      <c r="AC593"/>
      <c r="AD593"/>
      <c r="CA593" s="2"/>
    </row>
    <row r="594" spans="1:79" ht="15">
      <c r="A594"/>
      <c r="AC594"/>
      <c r="AD594"/>
      <c r="CA594" s="2"/>
    </row>
    <row r="595" spans="1:79" ht="15">
      <c r="A595"/>
      <c r="AC595"/>
      <c r="AD595"/>
      <c r="CA595" s="2"/>
    </row>
    <row r="596" spans="1:79" ht="15">
      <c r="A596"/>
      <c r="AC596"/>
      <c r="AD596"/>
      <c r="CA596" s="2"/>
    </row>
    <row r="597" spans="1:79" ht="15">
      <c r="A597"/>
      <c r="AC597"/>
      <c r="AD597"/>
      <c r="CA597" s="2"/>
    </row>
    <row r="598" spans="1:79" ht="15">
      <c r="A598"/>
      <c r="AC598"/>
      <c r="AD598"/>
      <c r="CA598" s="2"/>
    </row>
    <row r="599" spans="1:79" ht="15">
      <c r="A599"/>
      <c r="AC599"/>
      <c r="AD599"/>
      <c r="CA599" s="2"/>
    </row>
    <row r="600" spans="1:79" ht="15">
      <c r="A600"/>
      <c r="AC600"/>
      <c r="AD600"/>
      <c r="CA600" s="2"/>
    </row>
    <row r="601" spans="1:79" ht="15">
      <c r="A601"/>
      <c r="AC601"/>
      <c r="AD601"/>
      <c r="CA601" s="2"/>
    </row>
    <row r="602" spans="1:79" ht="15">
      <c r="A602"/>
      <c r="AC602"/>
      <c r="AD602"/>
      <c r="CA602" s="2"/>
    </row>
    <row r="603" spans="1:79" ht="15">
      <c r="A603"/>
      <c r="AC603"/>
      <c r="AD603"/>
      <c r="CA603" s="2"/>
    </row>
    <row r="604" spans="1:79" ht="15">
      <c r="A604"/>
      <c r="AC604"/>
      <c r="AD604"/>
      <c r="CA604" s="2"/>
    </row>
    <row r="605" spans="1:79" ht="15">
      <c r="A605"/>
      <c r="AC605"/>
      <c r="AD605"/>
      <c r="CA605" s="2"/>
    </row>
    <row r="606" spans="1:79" ht="15">
      <c r="A606"/>
      <c r="AC606"/>
      <c r="AD606"/>
      <c r="CA606" s="2"/>
    </row>
    <row r="607" spans="1:79" ht="15">
      <c r="A607"/>
      <c r="AC607"/>
      <c r="AD607"/>
      <c r="CA607" s="2"/>
    </row>
    <row r="608" spans="1:79" ht="15">
      <c r="A608"/>
      <c r="AC608"/>
      <c r="AD608"/>
      <c r="CA608" s="2"/>
    </row>
    <row r="609" spans="1:79" ht="15">
      <c r="A609"/>
      <c r="AC609"/>
      <c r="AD609"/>
      <c r="CA609" s="2"/>
    </row>
    <row r="610" spans="1:79" ht="15">
      <c r="A610"/>
      <c r="AC610"/>
      <c r="AD610"/>
      <c r="CA610" s="2"/>
    </row>
    <row r="611" spans="1:79" ht="15">
      <c r="A611"/>
      <c r="AC611"/>
      <c r="AD611"/>
      <c r="CA611" s="2"/>
    </row>
    <row r="612" spans="1:79" ht="15">
      <c r="A612"/>
      <c r="AC612"/>
      <c r="AD612"/>
      <c r="CA612" s="2"/>
    </row>
    <row r="613" spans="1:79" ht="15">
      <c r="A613"/>
      <c r="AC613"/>
      <c r="AD613"/>
      <c r="CA613" s="2"/>
    </row>
    <row r="614" spans="1:79" ht="15">
      <c r="A614"/>
      <c r="AC614"/>
      <c r="AD614"/>
      <c r="CA614" s="2"/>
    </row>
    <row r="615" spans="1:79" ht="15">
      <c r="A615"/>
      <c r="AC615"/>
      <c r="AD615"/>
      <c r="CA615" s="2"/>
    </row>
    <row r="616" spans="1:79" ht="15">
      <c r="A616"/>
      <c r="AC616"/>
      <c r="AD616"/>
      <c r="CA616" s="2"/>
    </row>
    <row r="617" spans="1:79" ht="15">
      <c r="A617"/>
      <c r="AC617"/>
      <c r="AD617"/>
      <c r="CA617" s="2"/>
    </row>
    <row r="618" spans="1:79" ht="15">
      <c r="A618"/>
      <c r="AC618"/>
      <c r="AD618"/>
      <c r="CA618" s="2"/>
    </row>
    <row r="619" spans="1:79" ht="15">
      <c r="A619"/>
      <c r="AC619"/>
      <c r="AD619"/>
      <c r="CA619" s="2"/>
    </row>
    <row r="620" spans="1:79" ht="15">
      <c r="A620"/>
      <c r="AC620"/>
      <c r="AD620"/>
      <c r="CA620" s="2"/>
    </row>
    <row r="621" spans="1:79" ht="15">
      <c r="A621"/>
      <c r="AC621"/>
      <c r="AD621"/>
      <c r="CA621" s="2"/>
    </row>
    <row r="622" spans="1:79" ht="15">
      <c r="A622"/>
      <c r="AC622"/>
      <c r="AD622"/>
      <c r="CA622" s="2"/>
    </row>
    <row r="623" spans="1:79" ht="15">
      <c r="A623"/>
      <c r="AC623"/>
      <c r="AD623"/>
      <c r="CA623" s="2"/>
    </row>
    <row r="624" spans="1:79" ht="15">
      <c r="A624"/>
      <c r="AC624"/>
      <c r="AD624"/>
      <c r="CA624" s="2"/>
    </row>
    <row r="625" spans="1:79" ht="15">
      <c r="A625"/>
      <c r="AC625"/>
      <c r="AD625"/>
      <c r="CA625" s="2"/>
    </row>
    <row r="626" spans="1:79" ht="15">
      <c r="A626"/>
      <c r="AC626"/>
      <c r="AD626"/>
      <c r="CA626" s="2"/>
    </row>
    <row r="627" spans="1:79" ht="15">
      <c r="A627"/>
      <c r="AC627"/>
      <c r="AD627"/>
      <c r="CA627" s="2"/>
    </row>
    <row r="628" spans="1:79" ht="15">
      <c r="A628"/>
      <c r="AC628"/>
      <c r="AD628"/>
      <c r="CA628" s="2"/>
    </row>
    <row r="629" spans="1:79" ht="15">
      <c r="A629"/>
      <c r="AC629"/>
      <c r="AD629"/>
      <c r="CA629" s="2"/>
    </row>
    <row r="630" spans="1:79" ht="15">
      <c r="A630"/>
      <c r="AC630"/>
      <c r="AD630"/>
      <c r="CA630" s="2"/>
    </row>
    <row r="631" spans="1:79" ht="15">
      <c r="A631"/>
      <c r="AC631"/>
      <c r="AD631"/>
      <c r="CA631" s="2"/>
    </row>
    <row r="632" spans="1:79" ht="15">
      <c r="A632"/>
      <c r="AC632"/>
      <c r="AD632"/>
      <c r="CA632" s="2"/>
    </row>
    <row r="633" spans="1:79" ht="15">
      <c r="A633"/>
      <c r="AC633"/>
      <c r="AD633"/>
      <c r="CA633" s="2"/>
    </row>
    <row r="634" spans="1:79" ht="15">
      <c r="A634"/>
      <c r="AC634"/>
      <c r="AD634"/>
      <c r="CA634" s="2"/>
    </row>
    <row r="635" spans="1:79" ht="15">
      <c r="A635"/>
      <c r="AC635"/>
      <c r="AD635"/>
      <c r="CA635" s="2"/>
    </row>
    <row r="636" spans="1:79" ht="15">
      <c r="A636"/>
      <c r="AC636"/>
      <c r="AD636"/>
      <c r="CA636" s="2"/>
    </row>
    <row r="637" spans="1:79" ht="15">
      <c r="A637"/>
      <c r="AC637"/>
      <c r="AD637"/>
      <c r="CA637" s="2"/>
    </row>
    <row r="638" spans="1:79" ht="15">
      <c r="A638"/>
      <c r="AC638"/>
      <c r="AD638"/>
      <c r="CA638" s="2"/>
    </row>
    <row r="639" spans="1:79" ht="15">
      <c r="A639"/>
      <c r="AC639"/>
      <c r="AD639"/>
      <c r="CA639" s="2"/>
    </row>
    <row r="640" spans="1:79" ht="15">
      <c r="A640"/>
      <c r="AC640"/>
      <c r="AD640"/>
      <c r="CA640" s="2"/>
    </row>
    <row r="641" spans="1:79" ht="15">
      <c r="A641"/>
      <c r="AC641"/>
      <c r="AD641"/>
      <c r="CA641" s="2"/>
    </row>
    <row r="642" spans="1:79" ht="15">
      <c r="A642"/>
      <c r="AC642"/>
      <c r="AD642"/>
      <c r="CA642" s="2"/>
    </row>
    <row r="643" spans="1:79" ht="15">
      <c r="A643"/>
      <c r="AC643"/>
      <c r="AD643"/>
      <c r="CA643" s="2"/>
    </row>
    <row r="644" spans="1:79" ht="15">
      <c r="A644"/>
      <c r="AC644"/>
      <c r="AD644"/>
      <c r="CA644" s="2"/>
    </row>
    <row r="645" spans="1:79" ht="15">
      <c r="A645"/>
      <c r="AC645"/>
      <c r="AD645"/>
      <c r="CA645" s="2"/>
    </row>
    <row r="646" spans="1:79" ht="15">
      <c r="A646"/>
      <c r="AC646"/>
      <c r="AD646"/>
      <c r="CA646" s="2"/>
    </row>
    <row r="647" spans="1:79" ht="15">
      <c r="A647"/>
      <c r="AC647"/>
      <c r="AD647"/>
      <c r="CA647" s="2"/>
    </row>
    <row r="648" spans="1:79" ht="15">
      <c r="A648"/>
      <c r="AC648"/>
      <c r="AD648"/>
      <c r="CA648" s="2"/>
    </row>
    <row r="649" spans="1:79" ht="15">
      <c r="A649"/>
      <c r="AC649"/>
      <c r="AD649"/>
      <c r="CA649" s="2"/>
    </row>
    <row r="650" spans="1:79" ht="15">
      <c r="A650"/>
      <c r="AC650"/>
      <c r="AD650"/>
      <c r="CA650" s="2"/>
    </row>
    <row r="651" spans="1:79" ht="15">
      <c r="A651"/>
      <c r="AC651"/>
      <c r="AD651"/>
      <c r="CA651" s="2"/>
    </row>
    <row r="652" spans="1:79" ht="15">
      <c r="A652"/>
      <c r="AC652"/>
      <c r="AD652"/>
      <c r="CA652" s="2"/>
    </row>
    <row r="653" spans="1:79" ht="15">
      <c r="A653"/>
      <c r="AC653"/>
      <c r="AD653"/>
      <c r="CA653" s="2"/>
    </row>
    <row r="654" spans="1:79" ht="15">
      <c r="A654"/>
      <c r="AC654"/>
      <c r="AD654"/>
      <c r="CA654" s="2"/>
    </row>
    <row r="655" spans="1:79" ht="15">
      <c r="A655"/>
      <c r="AC655"/>
      <c r="AD655"/>
      <c r="CA655" s="2"/>
    </row>
    <row r="656" spans="1:79" ht="15">
      <c r="A656"/>
      <c r="AC656"/>
      <c r="AD656"/>
      <c r="CA656" s="2"/>
    </row>
    <row r="657" spans="1:79" ht="15">
      <c r="A657"/>
      <c r="AC657"/>
      <c r="AD657"/>
      <c r="CA657" s="2"/>
    </row>
    <row r="658" spans="1:79" ht="15">
      <c r="A658"/>
      <c r="AC658"/>
      <c r="AD658"/>
      <c r="CA658" s="2"/>
    </row>
    <row r="659" spans="1:79" ht="15">
      <c r="A659"/>
      <c r="AC659"/>
      <c r="AD659"/>
      <c r="CA659" s="2"/>
    </row>
    <row r="660" spans="1:79" ht="15">
      <c r="A660"/>
      <c r="AC660"/>
      <c r="AD660"/>
      <c r="CA660" s="2"/>
    </row>
    <row r="661" spans="1:79" ht="15">
      <c r="A661"/>
      <c r="AC661"/>
      <c r="AD661"/>
      <c r="CA661" s="2"/>
    </row>
    <row r="662" spans="1:79" ht="15">
      <c r="A662"/>
      <c r="AC662"/>
      <c r="AD662"/>
      <c r="CA662" s="2"/>
    </row>
    <row r="663" spans="1:79" ht="15">
      <c r="A663"/>
      <c r="AC663"/>
      <c r="AD663"/>
      <c r="CA663" s="2"/>
    </row>
    <row r="664" spans="1:79" ht="15">
      <c r="A664"/>
      <c r="AC664"/>
      <c r="AD664"/>
      <c r="CA664" s="2"/>
    </row>
    <row r="665" spans="1:79" ht="15">
      <c r="A665"/>
      <c r="AC665"/>
      <c r="AD665"/>
      <c r="CA665" s="2"/>
    </row>
    <row r="666" spans="1:79" ht="15">
      <c r="A666"/>
      <c r="AC666"/>
      <c r="AD666"/>
      <c r="CA666" s="2"/>
    </row>
    <row r="667" spans="1:79" ht="15">
      <c r="A667"/>
      <c r="AC667"/>
      <c r="AD667"/>
      <c r="CA667" s="2"/>
    </row>
    <row r="668" spans="1:79" ht="15">
      <c r="A668"/>
      <c r="AC668"/>
      <c r="AD668"/>
      <c r="CA668" s="2"/>
    </row>
    <row r="669" spans="1:79" ht="15">
      <c r="A669"/>
      <c r="AC669"/>
      <c r="AD669"/>
      <c r="CA669" s="2"/>
    </row>
    <row r="670" spans="1:79" ht="15">
      <c r="A670"/>
      <c r="AC670"/>
      <c r="AD670"/>
      <c r="CA670" s="2"/>
    </row>
    <row r="671" spans="1:79" ht="15">
      <c r="A671"/>
      <c r="AC671"/>
      <c r="AD671"/>
      <c r="CA671" s="2"/>
    </row>
    <row r="672" spans="1:79" ht="15">
      <c r="A672"/>
      <c r="AC672"/>
      <c r="AD672"/>
      <c r="CA672" s="2"/>
    </row>
    <row r="673" spans="1:79" ht="15">
      <c r="A673"/>
      <c r="AC673"/>
      <c r="AD673"/>
      <c r="CA673" s="2"/>
    </row>
    <row r="674" spans="1:79" ht="15">
      <c r="A674"/>
      <c r="AC674"/>
      <c r="AD674"/>
      <c r="CA674" s="2"/>
    </row>
    <row r="675" spans="1:79" ht="15">
      <c r="A675"/>
      <c r="AC675"/>
      <c r="AD675"/>
      <c r="CA675" s="2"/>
    </row>
    <row r="676" spans="1:79" ht="15">
      <c r="A676"/>
      <c r="AC676"/>
      <c r="AD676"/>
      <c r="CA676" s="2"/>
    </row>
    <row r="677" spans="1:79" ht="15">
      <c r="A677"/>
      <c r="AC677"/>
      <c r="AD677"/>
      <c r="CA677" s="2"/>
    </row>
    <row r="678" spans="1:79" ht="15">
      <c r="A678"/>
      <c r="AC678"/>
      <c r="AD678"/>
      <c r="CA678" s="2"/>
    </row>
    <row r="679" spans="1:79" ht="15">
      <c r="A679"/>
      <c r="AC679"/>
      <c r="AD679"/>
      <c r="CA679" s="2"/>
    </row>
    <row r="680" spans="1:79" ht="15">
      <c r="A680"/>
      <c r="AC680"/>
      <c r="AD680"/>
      <c r="CA680" s="2"/>
    </row>
    <row r="681" spans="1:79" ht="15">
      <c r="A681"/>
      <c r="AC681"/>
      <c r="AD681"/>
      <c r="CA681" s="2"/>
    </row>
    <row r="682" spans="1:79" ht="15">
      <c r="A682"/>
      <c r="AC682"/>
      <c r="AD682"/>
      <c r="CA682" s="2"/>
    </row>
    <row r="683" spans="1:79" ht="15">
      <c r="A683"/>
      <c r="AC683"/>
      <c r="AD683"/>
      <c r="CA683" s="2"/>
    </row>
    <row r="684" spans="1:79" ht="15">
      <c r="A684"/>
      <c r="AC684"/>
      <c r="AD684"/>
      <c r="CA684" s="2"/>
    </row>
    <row r="685" spans="1:79" ht="15">
      <c r="A685"/>
      <c r="AC685"/>
      <c r="AD685"/>
      <c r="CA685" s="2"/>
    </row>
    <row r="686" spans="1:79" ht="15">
      <c r="A686"/>
      <c r="AC686"/>
      <c r="AD686"/>
      <c r="CA686" s="2"/>
    </row>
    <row r="687" spans="1:79" ht="15">
      <c r="A687"/>
      <c r="AC687"/>
      <c r="AD687"/>
      <c r="CA687" s="2"/>
    </row>
    <row r="688" spans="1:79" ht="15">
      <c r="A688"/>
      <c r="AC688"/>
      <c r="AD688"/>
      <c r="CA688" s="2"/>
    </row>
    <row r="689" spans="1:79" ht="15">
      <c r="A689"/>
      <c r="AC689"/>
      <c r="AD689"/>
      <c r="CA689" s="2"/>
    </row>
    <row r="690" spans="1:79" ht="15">
      <c r="A690"/>
      <c r="AC690"/>
      <c r="AD690"/>
      <c r="CA690" s="2"/>
    </row>
    <row r="691" spans="1:79" ht="15">
      <c r="A691"/>
      <c r="AC691"/>
      <c r="AD691"/>
      <c r="CA691" s="2"/>
    </row>
    <row r="692" spans="1:79" ht="15">
      <c r="A692"/>
      <c r="AC692"/>
      <c r="AD692"/>
      <c r="CA692" s="2"/>
    </row>
    <row r="693" spans="1:79" ht="15">
      <c r="A693"/>
      <c r="AC693"/>
      <c r="AD693"/>
      <c r="CA693" s="2"/>
    </row>
    <row r="694" spans="1:79" ht="15">
      <c r="A694"/>
      <c r="AC694"/>
      <c r="AD694"/>
      <c r="CA694" s="2"/>
    </row>
    <row r="695" spans="1:79" ht="15">
      <c r="A695"/>
      <c r="AC695"/>
      <c r="AD695"/>
      <c r="CA695" s="2"/>
    </row>
    <row r="696" spans="1:79" ht="15">
      <c r="A696"/>
      <c r="AC696"/>
      <c r="AD696"/>
      <c r="CA696" s="2"/>
    </row>
    <row r="697" spans="1:79" ht="15">
      <c r="A697"/>
      <c r="AC697"/>
      <c r="AD697"/>
      <c r="CA697" s="2"/>
    </row>
    <row r="698" spans="1:79" ht="15">
      <c r="A698"/>
      <c r="AC698"/>
      <c r="AD698"/>
      <c r="CA698" s="2"/>
    </row>
    <row r="699" spans="1:79" ht="15">
      <c r="A699"/>
      <c r="AC699"/>
      <c r="AD699"/>
      <c r="CA699" s="2"/>
    </row>
    <row r="700" spans="1:79" ht="15">
      <c r="A700"/>
      <c r="AC700"/>
      <c r="AD700"/>
      <c r="CA700" s="2"/>
    </row>
    <row r="701" spans="1:79" ht="15">
      <c r="A701"/>
      <c r="AC701"/>
      <c r="AD701"/>
      <c r="CA701" s="2"/>
    </row>
    <row r="702" spans="1:79" ht="15">
      <c r="A702"/>
      <c r="AC702"/>
      <c r="AD702"/>
      <c r="CA702" s="2"/>
    </row>
    <row r="703" spans="1:79" ht="15">
      <c r="A703"/>
      <c r="AC703"/>
      <c r="AD703"/>
      <c r="CA703" s="2"/>
    </row>
    <row r="704" spans="1:79" ht="15">
      <c r="A704"/>
      <c r="AC704"/>
      <c r="AD704"/>
      <c r="CA704" s="2"/>
    </row>
    <row r="705" spans="1:79" ht="15">
      <c r="A705"/>
      <c r="AC705"/>
      <c r="AD705"/>
      <c r="CA705" s="2"/>
    </row>
    <row r="706" spans="1:79" ht="15">
      <c r="A706"/>
      <c r="AC706"/>
      <c r="AD706"/>
      <c r="CA706" s="2"/>
    </row>
    <row r="707" spans="1:79" ht="15">
      <c r="A707"/>
      <c r="AC707"/>
      <c r="AD707"/>
      <c r="CA707" s="2"/>
    </row>
    <row r="708" spans="1:79" ht="15">
      <c r="A708"/>
      <c r="AC708"/>
      <c r="AD708"/>
      <c r="CA708" s="2"/>
    </row>
    <row r="709" spans="1:79" ht="15">
      <c r="A709"/>
      <c r="AC709"/>
      <c r="AD709"/>
      <c r="CA709" s="2"/>
    </row>
    <row r="710" spans="1:79" ht="15">
      <c r="A710"/>
      <c r="AC710"/>
      <c r="AD710"/>
      <c r="CA710" s="2"/>
    </row>
    <row r="711" spans="1:79" ht="15">
      <c r="A711"/>
      <c r="AC711"/>
      <c r="AD711"/>
      <c r="CA711" s="2"/>
    </row>
    <row r="712" spans="1:79" ht="15">
      <c r="A712"/>
      <c r="AC712"/>
      <c r="AD712"/>
      <c r="CA712" s="2"/>
    </row>
    <row r="713" spans="1:79" ht="15">
      <c r="A713"/>
      <c r="AC713"/>
      <c r="AD713"/>
      <c r="CA713" s="2"/>
    </row>
    <row r="714" spans="1:79" ht="15">
      <c r="A714"/>
      <c r="AC714"/>
      <c r="AD714"/>
      <c r="CA714" s="2"/>
    </row>
    <row r="715" spans="1:79" ht="15">
      <c r="A715"/>
      <c r="AC715"/>
      <c r="AD715"/>
      <c r="CA715" s="2"/>
    </row>
    <row r="716" spans="1:79" ht="15">
      <c r="A716"/>
      <c r="AC716"/>
      <c r="AD716"/>
      <c r="CA716" s="2"/>
    </row>
    <row r="717" spans="1:79" ht="15">
      <c r="A717"/>
      <c r="AC717"/>
      <c r="AD717"/>
      <c r="CA717" s="2"/>
    </row>
    <row r="718" spans="1:79" ht="15">
      <c r="A718"/>
      <c r="AC718"/>
      <c r="AD718"/>
      <c r="CA718" s="2"/>
    </row>
    <row r="719" spans="1:79" ht="15">
      <c r="A719"/>
      <c r="AC719"/>
      <c r="AD719"/>
      <c r="CA719" s="2"/>
    </row>
    <row r="720" spans="1:79" ht="15">
      <c r="A720"/>
      <c r="AC720"/>
      <c r="AD720"/>
      <c r="CA720" s="2"/>
    </row>
    <row r="721" spans="1:79" ht="15">
      <c r="A721"/>
      <c r="AC721"/>
      <c r="AD721"/>
      <c r="CA721" s="2"/>
    </row>
    <row r="722" spans="1:79" ht="15">
      <c r="A722"/>
      <c r="AC722"/>
      <c r="AD722"/>
      <c r="CA722" s="2"/>
    </row>
    <row r="723" spans="1:79" ht="15">
      <c r="A723"/>
      <c r="AC723"/>
      <c r="AD723"/>
      <c r="CA723" s="2"/>
    </row>
    <row r="724" spans="1:79" ht="15">
      <c r="A724"/>
      <c r="AC724"/>
      <c r="AD724"/>
      <c r="CA724" s="2"/>
    </row>
    <row r="725" spans="1:79" ht="15">
      <c r="A725"/>
      <c r="AC725"/>
      <c r="AD725"/>
      <c r="CA725" s="2"/>
    </row>
    <row r="726" spans="1:79" ht="15">
      <c r="A726"/>
      <c r="AC726"/>
      <c r="AD726"/>
      <c r="CA726" s="2"/>
    </row>
    <row r="727" spans="1:79" ht="15">
      <c r="A727"/>
      <c r="AC727"/>
      <c r="AD727"/>
      <c r="CA727" s="2"/>
    </row>
    <row r="728" spans="1:79" ht="15">
      <c r="A728"/>
      <c r="AC728"/>
      <c r="AD728"/>
      <c r="CA728" s="2"/>
    </row>
    <row r="729" spans="1:79" ht="15">
      <c r="A729"/>
      <c r="AC729"/>
      <c r="AD729"/>
      <c r="CA729" s="2"/>
    </row>
    <row r="730" spans="1:79" ht="15">
      <c r="A730"/>
      <c r="AC730"/>
      <c r="AD730"/>
      <c r="CA730" s="2"/>
    </row>
    <row r="731" spans="1:79" ht="15">
      <c r="A731"/>
      <c r="AC731"/>
      <c r="AD731"/>
      <c r="CA731" s="2"/>
    </row>
    <row r="732" spans="1:79" ht="15">
      <c r="A732"/>
      <c r="AC732"/>
      <c r="AD732"/>
      <c r="CA732" s="2"/>
    </row>
    <row r="733" spans="1:79" ht="15">
      <c r="A733"/>
      <c r="AC733"/>
      <c r="AD733"/>
      <c r="CA733" s="2"/>
    </row>
    <row r="734" spans="1:79" ht="15">
      <c r="A734"/>
      <c r="AC734"/>
      <c r="AD734"/>
      <c r="CA734" s="2"/>
    </row>
    <row r="735" spans="1:79" ht="15">
      <c r="A735"/>
      <c r="AC735"/>
      <c r="AD735"/>
      <c r="CA735" s="2"/>
    </row>
    <row r="736" spans="1:79" ht="15">
      <c r="A736"/>
      <c r="AC736"/>
      <c r="AD736"/>
      <c r="CA736" s="2"/>
    </row>
    <row r="737" spans="1:79" ht="15">
      <c r="A737"/>
      <c r="AC737"/>
      <c r="AD737"/>
      <c r="CA737" s="2"/>
    </row>
    <row r="738" spans="1:79" ht="15">
      <c r="A738"/>
      <c r="AC738"/>
      <c r="AD738"/>
      <c r="CA738" s="2"/>
    </row>
    <row r="739" spans="1:79" ht="15">
      <c r="A739"/>
      <c r="AC739"/>
      <c r="AD739"/>
      <c r="CA739" s="2"/>
    </row>
    <row r="740" spans="1:79" ht="15">
      <c r="A740"/>
      <c r="AC740"/>
      <c r="AD740"/>
      <c r="CA740" s="2"/>
    </row>
    <row r="741" spans="1:79" ht="15">
      <c r="A741"/>
      <c r="AC741"/>
      <c r="AD741"/>
      <c r="CA741" s="2"/>
    </row>
    <row r="742" spans="1:79" ht="15">
      <c r="A742"/>
      <c r="AC742"/>
      <c r="AD742"/>
      <c r="CA742" s="2"/>
    </row>
    <row r="743" spans="1:79" ht="15">
      <c r="A743"/>
      <c r="AC743"/>
      <c r="AD743"/>
      <c r="CA743" s="2"/>
    </row>
    <row r="744" spans="1:79" ht="15">
      <c r="A744"/>
      <c r="AC744"/>
      <c r="AD744"/>
      <c r="CA744" s="2"/>
    </row>
    <row r="745" spans="1:79" ht="15">
      <c r="A745"/>
      <c r="AC745"/>
      <c r="AD745"/>
      <c r="CA745" s="2"/>
    </row>
    <row r="746" spans="1:79" ht="15">
      <c r="A746"/>
      <c r="AC746"/>
      <c r="AD746"/>
      <c r="CA746" s="2"/>
    </row>
    <row r="747" spans="1:79" ht="15">
      <c r="A747"/>
      <c r="AC747"/>
      <c r="AD747"/>
      <c r="CA747" s="2"/>
    </row>
    <row r="748" spans="1:79" ht="15">
      <c r="A748"/>
      <c r="AC748"/>
      <c r="AD748"/>
      <c r="CA748" s="2"/>
    </row>
    <row r="749" spans="1:79" ht="15">
      <c r="A749"/>
      <c r="AC749"/>
      <c r="AD749"/>
      <c r="CA749" s="2"/>
    </row>
    <row r="750" spans="1:79" ht="15">
      <c r="A750"/>
      <c r="AC750"/>
      <c r="AD750"/>
      <c r="CA750" s="2"/>
    </row>
    <row r="751" spans="1:79" ht="15">
      <c r="A751"/>
      <c r="AC751"/>
      <c r="AD751"/>
      <c r="CA751" s="2"/>
    </row>
    <row r="752" spans="1:79" ht="15">
      <c r="A752"/>
      <c r="AC752"/>
      <c r="AD752"/>
      <c r="CA752" s="2"/>
    </row>
    <row r="753" spans="1:79" ht="15">
      <c r="A753"/>
      <c r="AC753"/>
      <c r="AD753"/>
      <c r="CA753" s="2"/>
    </row>
    <row r="754" spans="1:79" ht="15">
      <c r="A754"/>
      <c r="AC754"/>
      <c r="AD754"/>
      <c r="CA754" s="2"/>
    </row>
    <row r="755" spans="1:79" ht="15">
      <c r="A755"/>
      <c r="AC755"/>
      <c r="AD755"/>
      <c r="CA755" s="2"/>
    </row>
    <row r="756" spans="1:79" ht="15">
      <c r="A756"/>
      <c r="AC756"/>
      <c r="AD756"/>
      <c r="CA756" s="2"/>
    </row>
    <row r="757" spans="1:79" ht="15">
      <c r="A757"/>
      <c r="AC757"/>
      <c r="AD757"/>
      <c r="CA757" s="2"/>
    </row>
    <row r="758" spans="1:79" ht="15">
      <c r="A758"/>
      <c r="AC758"/>
      <c r="AD758"/>
      <c r="CA758" s="2"/>
    </row>
    <row r="759" spans="1:79" ht="15">
      <c r="A759"/>
      <c r="AC759"/>
      <c r="AD759"/>
      <c r="CA759" s="2"/>
    </row>
    <row r="760" spans="1:79" ht="15">
      <c r="A760"/>
      <c r="AC760"/>
      <c r="AD760"/>
      <c r="CA760" s="2"/>
    </row>
    <row r="761" spans="1:79" ht="15">
      <c r="A761"/>
      <c r="AC761"/>
      <c r="AD761"/>
      <c r="CA761" s="2"/>
    </row>
    <row r="762" spans="1:79" ht="15">
      <c r="A762"/>
      <c r="AC762"/>
      <c r="AD762"/>
      <c r="CA762" s="2"/>
    </row>
    <row r="763" spans="1:79" ht="15">
      <c r="A763"/>
      <c r="AC763"/>
      <c r="AD763"/>
      <c r="CA763" s="2"/>
    </row>
    <row r="764" spans="1:79" ht="15">
      <c r="A764"/>
      <c r="AC764"/>
      <c r="AD764"/>
      <c r="CA764" s="2"/>
    </row>
    <row r="765" spans="1:79" ht="15">
      <c r="A765"/>
      <c r="AC765"/>
      <c r="AD765"/>
      <c r="CA765" s="2"/>
    </row>
    <row r="766" spans="1:79" ht="15">
      <c r="A766"/>
      <c r="AC766"/>
      <c r="AD766"/>
      <c r="CA766" s="2"/>
    </row>
    <row r="767" spans="1:79" ht="15">
      <c r="A767"/>
      <c r="AC767"/>
      <c r="AD767"/>
      <c r="CA767" s="2"/>
    </row>
    <row r="768" spans="1:79" ht="15">
      <c r="A768"/>
      <c r="AC768"/>
      <c r="AD768"/>
      <c r="CA768" s="2"/>
    </row>
    <row r="769" spans="1:79" ht="15">
      <c r="A769"/>
      <c r="AC769"/>
      <c r="AD769"/>
      <c r="CA769" s="2"/>
    </row>
    <row r="770" spans="1:79" ht="15">
      <c r="A770"/>
      <c r="AC770"/>
      <c r="AD770"/>
      <c r="CA770" s="2"/>
    </row>
    <row r="771" spans="1:79" ht="15">
      <c r="A771"/>
      <c r="AC771"/>
      <c r="AD771"/>
      <c r="CA771" s="2"/>
    </row>
    <row r="772" spans="1:79" ht="15">
      <c r="A772"/>
      <c r="AC772"/>
      <c r="AD772"/>
      <c r="CA772" s="2"/>
    </row>
    <row r="773" spans="1:79" ht="15">
      <c r="A773"/>
      <c r="AC773"/>
      <c r="AD773"/>
      <c r="CA773" s="2"/>
    </row>
    <row r="774" spans="1:79" ht="15">
      <c r="A774"/>
      <c r="AC774"/>
      <c r="AD774"/>
      <c r="CA774" s="2"/>
    </row>
    <row r="775" spans="1:79" ht="15">
      <c r="A775"/>
      <c r="AC775"/>
      <c r="AD775"/>
      <c r="CA775" s="2"/>
    </row>
    <row r="776" spans="1:79" ht="15">
      <c r="A776"/>
      <c r="AC776"/>
      <c r="AD776"/>
      <c r="CA776" s="2"/>
    </row>
    <row r="777" spans="1:79" ht="15">
      <c r="A777"/>
      <c r="AC777"/>
      <c r="AD777"/>
      <c r="CA777" s="2"/>
    </row>
    <row r="778" spans="1:79" ht="15">
      <c r="A778"/>
      <c r="AC778"/>
      <c r="AD778"/>
      <c r="CA778" s="2"/>
    </row>
    <row r="779" spans="1:79" ht="15">
      <c r="A779"/>
      <c r="AC779"/>
      <c r="AD779"/>
      <c r="CA779" s="2"/>
    </row>
    <row r="780" spans="1:79" ht="15">
      <c r="A780"/>
      <c r="AC780"/>
      <c r="AD780"/>
      <c r="CA780" s="2"/>
    </row>
    <row r="781" spans="1:79" ht="15">
      <c r="A781"/>
      <c r="AC781"/>
      <c r="AD781"/>
      <c r="CA781" s="2"/>
    </row>
    <row r="782" spans="1:79" ht="15">
      <c r="A782"/>
      <c r="AC782"/>
      <c r="AD782"/>
      <c r="CA782" s="2"/>
    </row>
    <row r="783" spans="1:79" ht="15">
      <c r="A783"/>
      <c r="AC783"/>
      <c r="AD783"/>
      <c r="CA783" s="2"/>
    </row>
    <row r="784" spans="1:79" ht="15">
      <c r="A784"/>
      <c r="AC784"/>
      <c r="AD784"/>
      <c r="CA784" s="2"/>
    </row>
    <row r="785" spans="1:79" ht="15">
      <c r="A785"/>
      <c r="AC785"/>
      <c r="AD785"/>
      <c r="CA785" s="2"/>
    </row>
    <row r="786" spans="1:79" ht="15">
      <c r="A786"/>
      <c r="AC786"/>
      <c r="AD786"/>
      <c r="CA786" s="2"/>
    </row>
    <row r="787" spans="1:79" ht="15">
      <c r="A787"/>
      <c r="AC787"/>
      <c r="AD787"/>
      <c r="CA787" s="2"/>
    </row>
    <row r="788" spans="1:79" ht="15">
      <c r="A788"/>
      <c r="AC788"/>
      <c r="AD788"/>
      <c r="CA788" s="2"/>
    </row>
    <row r="789" spans="1:79" ht="15">
      <c r="A789"/>
      <c r="AC789"/>
      <c r="AD789"/>
      <c r="CA789" s="2"/>
    </row>
    <row r="790" spans="1:79" ht="15">
      <c r="A790"/>
      <c r="AC790"/>
      <c r="AD790"/>
      <c r="CA790" s="2"/>
    </row>
    <row r="791" spans="1:79" ht="15">
      <c r="A791"/>
      <c r="AC791"/>
      <c r="AD791"/>
      <c r="CA791" s="2"/>
    </row>
    <row r="792" spans="1:79" ht="15">
      <c r="A792"/>
      <c r="AC792"/>
      <c r="AD792"/>
      <c r="CA792" s="2"/>
    </row>
    <row r="793" spans="1:79" ht="15">
      <c r="A793"/>
      <c r="AC793"/>
      <c r="AD793"/>
      <c r="CA793" s="2"/>
    </row>
    <row r="794" spans="1:79" ht="15">
      <c r="A794"/>
      <c r="AC794"/>
      <c r="AD794"/>
      <c r="CA794" s="2"/>
    </row>
    <row r="795" spans="1:79" ht="15">
      <c r="A795"/>
      <c r="AC795"/>
      <c r="AD795"/>
      <c r="CA795" s="2"/>
    </row>
    <row r="796" spans="1:79" ht="15">
      <c r="A796"/>
      <c r="AC796"/>
      <c r="AD796"/>
      <c r="CA796" s="2"/>
    </row>
    <row r="797" spans="1:79" ht="15">
      <c r="A797"/>
      <c r="AC797"/>
      <c r="AD797"/>
      <c r="CA797" s="2"/>
    </row>
    <row r="798" spans="1:79" ht="15">
      <c r="A798"/>
      <c r="AC798"/>
      <c r="AD798"/>
      <c r="CA798" s="2"/>
    </row>
    <row r="799" spans="1:79" ht="15">
      <c r="A799"/>
      <c r="AC799"/>
      <c r="AD799"/>
      <c r="CA799" s="2"/>
    </row>
    <row r="800" spans="1:79" ht="15">
      <c r="A800"/>
      <c r="AC800"/>
      <c r="AD800"/>
      <c r="CA800" s="2"/>
    </row>
    <row r="801" spans="1:79" ht="15">
      <c r="A801"/>
      <c r="AC801"/>
      <c r="AD801"/>
      <c r="CA801" s="2"/>
    </row>
    <row r="802" spans="1:79" ht="15">
      <c r="A802"/>
      <c r="AC802"/>
      <c r="AD802"/>
      <c r="CA802" s="2"/>
    </row>
    <row r="803" spans="1:79" ht="15">
      <c r="A803"/>
      <c r="AC803"/>
      <c r="AD803"/>
      <c r="CA803" s="2"/>
    </row>
    <row r="804" spans="1:79" ht="15">
      <c r="A804"/>
      <c r="AC804"/>
      <c r="AD804"/>
      <c r="CA804" s="2"/>
    </row>
    <row r="805" spans="1:79" ht="15">
      <c r="A805"/>
      <c r="AC805"/>
      <c r="AD805"/>
      <c r="CA805" s="2"/>
    </row>
    <row r="806" spans="1:79" ht="15">
      <c r="A806"/>
      <c r="AC806"/>
      <c r="AD806"/>
      <c r="CA806" s="2"/>
    </row>
    <row r="807" spans="1:79" ht="15">
      <c r="A807"/>
      <c r="AC807"/>
      <c r="AD807"/>
      <c r="CA807" s="2"/>
    </row>
    <row r="808" spans="1:79" ht="15">
      <c r="A808"/>
      <c r="AC808"/>
      <c r="AD808"/>
      <c r="CA808" s="2"/>
    </row>
    <row r="809" spans="1:79" ht="15">
      <c r="A809"/>
      <c r="AC809"/>
      <c r="AD809"/>
      <c r="CA809" s="2"/>
    </row>
    <row r="810" spans="1:79" ht="15">
      <c r="A810"/>
      <c r="AC810"/>
      <c r="AD810"/>
      <c r="CA810" s="2"/>
    </row>
    <row r="811" spans="1:79" ht="15">
      <c r="A811"/>
      <c r="AC811"/>
      <c r="AD811"/>
      <c r="CA811" s="2"/>
    </row>
    <row r="812" spans="1:79" ht="15">
      <c r="A812"/>
      <c r="AC812"/>
      <c r="AD812"/>
      <c r="CA812" s="2"/>
    </row>
    <row r="813" spans="1:79" ht="15">
      <c r="A813"/>
      <c r="AC813"/>
      <c r="AD813"/>
      <c r="CA813" s="2"/>
    </row>
    <row r="814" spans="1:79" ht="15">
      <c r="A814"/>
      <c r="AC814"/>
      <c r="AD814"/>
      <c r="CA814" s="2"/>
    </row>
    <row r="815" spans="1:79" ht="15">
      <c r="A815"/>
      <c r="AC815"/>
      <c r="AD815"/>
      <c r="CA815" s="2"/>
    </row>
    <row r="816" spans="1:79" ht="15">
      <c r="A816"/>
      <c r="AC816"/>
      <c r="AD816"/>
      <c r="CA816" s="2"/>
    </row>
    <row r="817" spans="1:79" ht="15">
      <c r="A817"/>
      <c r="AC817"/>
      <c r="AD817"/>
      <c r="CA817" s="2"/>
    </row>
    <row r="818" spans="1:79" ht="15">
      <c r="A818"/>
      <c r="AC818"/>
      <c r="AD818"/>
      <c r="CA818" s="2"/>
    </row>
    <row r="819" spans="1:79" ht="15">
      <c r="A819"/>
      <c r="AC819"/>
      <c r="AD819"/>
      <c r="CA819" s="2"/>
    </row>
    <row r="820" spans="1:79" ht="15">
      <c r="A820"/>
      <c r="AC820"/>
      <c r="AD820"/>
      <c r="CA820" s="2"/>
    </row>
    <row r="821" spans="1:79" ht="15">
      <c r="A821"/>
      <c r="AC821"/>
      <c r="AD821"/>
      <c r="CA821" s="2"/>
    </row>
    <row r="822" spans="1:79" ht="15">
      <c r="A822"/>
      <c r="AC822"/>
      <c r="AD822"/>
      <c r="CA822" s="2"/>
    </row>
    <row r="823" spans="1:79" ht="15">
      <c r="A823"/>
      <c r="AC823"/>
      <c r="AD823"/>
      <c r="CA823" s="2"/>
    </row>
    <row r="824" spans="1:79" ht="15">
      <c r="A824"/>
      <c r="AC824"/>
      <c r="AD824"/>
      <c r="CA824" s="2"/>
    </row>
    <row r="825" spans="1:79" ht="15">
      <c r="A825"/>
      <c r="AC825"/>
      <c r="AD825"/>
      <c r="CA825" s="2"/>
    </row>
    <row r="826" spans="1:79" ht="15">
      <c r="A826"/>
      <c r="AC826"/>
      <c r="AD826"/>
      <c r="CA826" s="2"/>
    </row>
    <row r="827" spans="1:79" ht="15">
      <c r="A827"/>
      <c r="AC827"/>
      <c r="AD827"/>
      <c r="CA827" s="2"/>
    </row>
    <row r="828" spans="1:79" ht="15">
      <c r="A828"/>
      <c r="AC828"/>
      <c r="AD828"/>
      <c r="CA828" s="2"/>
    </row>
    <row r="829" spans="1:79" ht="15">
      <c r="A829"/>
      <c r="AC829"/>
      <c r="AD829"/>
      <c r="CA829" s="2"/>
    </row>
    <row r="830" spans="1:79" ht="15">
      <c r="A830"/>
      <c r="AC830"/>
      <c r="AD830"/>
      <c r="CA830" s="2"/>
    </row>
    <row r="831" spans="1:79" ht="15">
      <c r="A831"/>
      <c r="AC831"/>
      <c r="AD831"/>
      <c r="CA831" s="2"/>
    </row>
    <row r="832" spans="1:79" ht="15">
      <c r="A832"/>
      <c r="AC832"/>
      <c r="AD832"/>
      <c r="CA832" s="2"/>
    </row>
    <row r="833" spans="1:79" ht="15">
      <c r="A833"/>
      <c r="AC833"/>
      <c r="AD833"/>
      <c r="CA833" s="2"/>
    </row>
    <row r="834" spans="1:30" ht="15">
      <c r="A834"/>
      <c r="AC834"/>
      <c r="AD834"/>
    </row>
    <row r="835" spans="1:30" ht="15">
      <c r="A835"/>
      <c r="AC835"/>
      <c r="AD835"/>
    </row>
    <row r="836" spans="1:30" ht="15">
      <c r="A836"/>
      <c r="AC836"/>
      <c r="AD836"/>
    </row>
    <row r="837" spans="1:30" ht="15">
      <c r="A837"/>
      <c r="AC837"/>
      <c r="AD837"/>
    </row>
    <row r="838" spans="1:30" ht="15">
      <c r="A838"/>
      <c r="AC838"/>
      <c r="AD838"/>
    </row>
    <row r="839" spans="1:30" ht="15">
      <c r="A839"/>
      <c r="AC839"/>
      <c r="AD839"/>
    </row>
    <row r="840" spans="1:30" ht="15">
      <c r="A840"/>
      <c r="AC840"/>
      <c r="AD840"/>
    </row>
    <row r="841" spans="1:30" ht="15">
      <c r="A841"/>
      <c r="AC841"/>
      <c r="AD841"/>
    </row>
    <row r="842" spans="1:30" ht="15">
      <c r="A842"/>
      <c r="AC842"/>
      <c r="AD842"/>
    </row>
    <row r="843" spans="1:30" ht="15">
      <c r="A843"/>
      <c r="AC843"/>
      <c r="AD843"/>
    </row>
    <row r="844" spans="1:30" ht="15">
      <c r="A844"/>
      <c r="AC844"/>
      <c r="AD844"/>
    </row>
    <row r="845" spans="1:30" ht="15">
      <c r="A845"/>
      <c r="AC845"/>
      <c r="AD845"/>
    </row>
    <row r="846" spans="1:30" ht="15">
      <c r="A846"/>
      <c r="AC846"/>
      <c r="AD846"/>
    </row>
    <row r="847" spans="1:30" ht="15">
      <c r="A847"/>
      <c r="AC847"/>
      <c r="AD847"/>
    </row>
    <row r="848" spans="1:30" ht="15">
      <c r="A848"/>
      <c r="AC848"/>
      <c r="AD848"/>
    </row>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8"/>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8"/>
    <dataValidation allowBlank="1" showInputMessage="1" promptTitle="Vertex Tooltip" prompt="Enter optional text that will pop up when the mouse is hovered over the vertex." errorTitle="Invalid Vertex Image Key" sqref="L3:L1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8"/>
    <dataValidation allowBlank="1" showInputMessage="1" promptTitle="Vertex Label Fill Color" prompt="To select an optional fill color for the Label shape, right-click and select Select Color on the right-click menu." sqref="J3:J158"/>
    <dataValidation allowBlank="1" showInputMessage="1" promptTitle="Vertex Image File" prompt="Enter the path to an image file.  Hover over the column header for examples." errorTitle="Invalid Vertex Image Key" sqref="G3:G158"/>
    <dataValidation allowBlank="1" showInputMessage="1" promptTitle="Vertex Color" prompt="To select an optional vertex color, right-click and select Select Color on the right-click menu." sqref="C3:C158"/>
    <dataValidation allowBlank="1" showInputMessage="1" promptTitle="Vertex Opacity" prompt="Enter an optional vertex opacity between 0 (transparent) and 100 (opaque)." errorTitle="Invalid Vertex Opacity" error="The optional vertex opacity must be a whole number between 0 and 10." sqref="F3:F158"/>
    <dataValidation type="list" allowBlank="1" showInputMessage="1" showErrorMessage="1" promptTitle="Vertex Shape" prompt="Select an optional vertex shape." errorTitle="Invalid Vertex Shape" error="You have entered an invalid vertex shape.  Try selecting from the drop-down list instead." sqref="D3:D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228"/>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337</v>
      </c>
      <c r="Z2" s="7" t="s">
        <v>339</v>
      </c>
      <c r="AA2" s="7" t="s">
        <v>341</v>
      </c>
      <c r="AB2" s="7" t="s">
        <v>345</v>
      </c>
      <c r="AC2" s="7" t="s">
        <v>348</v>
      </c>
      <c r="AD2" s="7" t="s">
        <v>351</v>
      </c>
      <c r="AE2" s="7" t="s">
        <v>352</v>
      </c>
      <c r="AF2" s="7" t="s">
        <v>354</v>
      </c>
    </row>
    <row r="3" spans="1:32" ht="15">
      <c r="A3" s="61" t="s">
        <v>440</v>
      </c>
      <c r="B3" s="62" t="s">
        <v>456</v>
      </c>
      <c r="C3" s="62" t="s">
        <v>56</v>
      </c>
      <c r="D3" s="98"/>
      <c r="E3" s="11"/>
      <c r="F3" s="12"/>
      <c r="G3" s="60"/>
      <c r="H3" s="60"/>
      <c r="I3" s="99">
        <v>3</v>
      </c>
      <c r="J3" s="47"/>
      <c r="K3" s="45">
        <v>73</v>
      </c>
      <c r="L3" s="45">
        <v>84</v>
      </c>
      <c r="M3" s="45">
        <v>0</v>
      </c>
      <c r="N3" s="45">
        <v>84</v>
      </c>
      <c r="O3" s="45">
        <v>3</v>
      </c>
      <c r="P3" s="46">
        <v>0.02531645569620253</v>
      </c>
      <c r="Q3" s="46">
        <v>0.04938271604938271</v>
      </c>
      <c r="R3" s="45">
        <v>1</v>
      </c>
      <c r="S3" s="45">
        <v>0</v>
      </c>
      <c r="T3" s="45">
        <v>73</v>
      </c>
      <c r="U3" s="45">
        <v>84</v>
      </c>
      <c r="V3" s="45">
        <v>3</v>
      </c>
      <c r="W3" s="46">
        <v>1.968099</v>
      </c>
      <c r="X3" s="46">
        <v>0.015410958904109588</v>
      </c>
      <c r="Y3" s="75" t="s">
        <v>2007</v>
      </c>
      <c r="Z3" s="75" t="s">
        <v>2015</v>
      </c>
      <c r="AA3" s="75" t="s">
        <v>2037</v>
      </c>
      <c r="AB3" s="79" t="s">
        <v>2050</v>
      </c>
      <c r="AC3" s="79" t="s">
        <v>2079</v>
      </c>
      <c r="AD3" s="75" t="s">
        <v>2090</v>
      </c>
      <c r="AE3" s="75" t="s">
        <v>2092</v>
      </c>
      <c r="AF3" s="75" t="s">
        <v>2101</v>
      </c>
    </row>
    <row r="4" spans="1:32" ht="15">
      <c r="A4" s="104" t="s">
        <v>441</v>
      </c>
      <c r="B4" s="62" t="s">
        <v>457</v>
      </c>
      <c r="C4" s="62" t="s">
        <v>56</v>
      </c>
      <c r="D4" s="105"/>
      <c r="E4" s="11"/>
      <c r="F4" s="12"/>
      <c r="G4" s="60"/>
      <c r="H4" s="60"/>
      <c r="I4" s="99">
        <v>4</v>
      </c>
      <c r="J4" s="106"/>
      <c r="K4" s="45">
        <v>32</v>
      </c>
      <c r="L4" s="45">
        <v>63</v>
      </c>
      <c r="M4" s="45">
        <v>0</v>
      </c>
      <c r="N4" s="45">
        <v>63</v>
      </c>
      <c r="O4" s="45">
        <v>1</v>
      </c>
      <c r="P4" s="46">
        <v>0.06896551724137931</v>
      </c>
      <c r="Q4" s="46">
        <v>0.12903225806451613</v>
      </c>
      <c r="R4" s="45">
        <v>1</v>
      </c>
      <c r="S4" s="45">
        <v>0</v>
      </c>
      <c r="T4" s="45">
        <v>32</v>
      </c>
      <c r="U4" s="45">
        <v>63</v>
      </c>
      <c r="V4" s="45">
        <v>2</v>
      </c>
      <c r="W4" s="46">
        <v>1.824219</v>
      </c>
      <c r="X4" s="46">
        <v>0.0625</v>
      </c>
      <c r="Y4" s="75" t="s">
        <v>2008</v>
      </c>
      <c r="Z4" s="75" t="s">
        <v>2016</v>
      </c>
      <c r="AA4" s="75" t="s">
        <v>2038</v>
      </c>
      <c r="AB4" s="79" t="s">
        <v>2051</v>
      </c>
      <c r="AC4" s="79" t="s">
        <v>2080</v>
      </c>
      <c r="AD4" s="75" t="s">
        <v>633</v>
      </c>
      <c r="AE4" s="75" t="s">
        <v>2093</v>
      </c>
      <c r="AF4" s="75" t="s">
        <v>2102</v>
      </c>
    </row>
    <row r="5" spans="1:32" ht="15">
      <c r="A5" s="104" t="s">
        <v>442</v>
      </c>
      <c r="B5" s="62" t="s">
        <v>458</v>
      </c>
      <c r="C5" s="62" t="s">
        <v>56</v>
      </c>
      <c r="D5" s="105"/>
      <c r="E5" s="11"/>
      <c r="F5" s="12"/>
      <c r="G5" s="60"/>
      <c r="H5" s="60"/>
      <c r="I5" s="99">
        <v>5</v>
      </c>
      <c r="J5" s="106"/>
      <c r="K5" s="45">
        <v>10</v>
      </c>
      <c r="L5" s="45">
        <v>10</v>
      </c>
      <c r="M5" s="45">
        <v>0</v>
      </c>
      <c r="N5" s="45">
        <v>10</v>
      </c>
      <c r="O5" s="45">
        <v>1</v>
      </c>
      <c r="P5" s="46">
        <v>0</v>
      </c>
      <c r="Q5" s="46">
        <v>0</v>
      </c>
      <c r="R5" s="45">
        <v>1</v>
      </c>
      <c r="S5" s="45">
        <v>0</v>
      </c>
      <c r="T5" s="45">
        <v>10</v>
      </c>
      <c r="U5" s="45">
        <v>10</v>
      </c>
      <c r="V5" s="45">
        <v>4</v>
      </c>
      <c r="W5" s="46">
        <v>2.16</v>
      </c>
      <c r="X5" s="46">
        <v>0.1</v>
      </c>
      <c r="Y5" s="75" t="s">
        <v>2004</v>
      </c>
      <c r="Z5" s="75" t="s">
        <v>872</v>
      </c>
      <c r="AA5" s="75"/>
      <c r="AB5" s="79" t="s">
        <v>2052</v>
      </c>
      <c r="AC5" s="79" t="s">
        <v>2073</v>
      </c>
      <c r="AD5" s="75" t="s">
        <v>2091</v>
      </c>
      <c r="AE5" s="75" t="s">
        <v>2094</v>
      </c>
      <c r="AF5" s="75" t="s">
        <v>2103</v>
      </c>
    </row>
    <row r="6" spans="1:32" ht="15">
      <c r="A6" s="104" t="s">
        <v>443</v>
      </c>
      <c r="B6" s="62" t="s">
        <v>459</v>
      </c>
      <c r="C6" s="62" t="s">
        <v>56</v>
      </c>
      <c r="D6" s="105"/>
      <c r="E6" s="11"/>
      <c r="F6" s="12"/>
      <c r="G6" s="60"/>
      <c r="H6" s="60"/>
      <c r="I6" s="99">
        <v>6</v>
      </c>
      <c r="J6" s="106"/>
      <c r="K6" s="45">
        <v>6</v>
      </c>
      <c r="L6" s="45">
        <v>5</v>
      </c>
      <c r="M6" s="45">
        <v>0</v>
      </c>
      <c r="N6" s="45">
        <v>5</v>
      </c>
      <c r="O6" s="45">
        <v>0</v>
      </c>
      <c r="P6" s="46">
        <v>0</v>
      </c>
      <c r="Q6" s="46">
        <v>0</v>
      </c>
      <c r="R6" s="45">
        <v>1</v>
      </c>
      <c r="S6" s="45">
        <v>0</v>
      </c>
      <c r="T6" s="45">
        <v>6</v>
      </c>
      <c r="U6" s="45">
        <v>5</v>
      </c>
      <c r="V6" s="45">
        <v>2</v>
      </c>
      <c r="W6" s="46">
        <v>1.388889</v>
      </c>
      <c r="X6" s="46">
        <v>0.16666666666666666</v>
      </c>
      <c r="Y6" s="75"/>
      <c r="Z6" s="75"/>
      <c r="AA6" s="75"/>
      <c r="AB6" s="79" t="s">
        <v>252</v>
      </c>
      <c r="AC6" s="79" t="s">
        <v>252</v>
      </c>
      <c r="AD6" s="75"/>
      <c r="AE6" s="75" t="s">
        <v>2095</v>
      </c>
      <c r="AF6" s="75" t="s">
        <v>2104</v>
      </c>
    </row>
    <row r="7" spans="1:32" ht="15">
      <c r="A7" s="104" t="s">
        <v>444</v>
      </c>
      <c r="B7" s="62" t="s">
        <v>460</v>
      </c>
      <c r="C7" s="62" t="s">
        <v>56</v>
      </c>
      <c r="D7" s="105"/>
      <c r="E7" s="11"/>
      <c r="F7" s="12"/>
      <c r="G7" s="60"/>
      <c r="H7" s="60"/>
      <c r="I7" s="99">
        <v>7</v>
      </c>
      <c r="J7" s="106"/>
      <c r="K7" s="45">
        <v>6</v>
      </c>
      <c r="L7" s="45">
        <v>5</v>
      </c>
      <c r="M7" s="45">
        <v>0</v>
      </c>
      <c r="N7" s="45">
        <v>5</v>
      </c>
      <c r="O7" s="45">
        <v>0</v>
      </c>
      <c r="P7" s="46">
        <v>0</v>
      </c>
      <c r="Q7" s="46">
        <v>0</v>
      </c>
      <c r="R7" s="45">
        <v>1</v>
      </c>
      <c r="S7" s="45">
        <v>0</v>
      </c>
      <c r="T7" s="45">
        <v>6</v>
      </c>
      <c r="U7" s="45">
        <v>5</v>
      </c>
      <c r="V7" s="45">
        <v>2</v>
      </c>
      <c r="W7" s="46">
        <v>1.388889</v>
      </c>
      <c r="X7" s="46">
        <v>0.16666666666666666</v>
      </c>
      <c r="Y7" s="75" t="s">
        <v>2005</v>
      </c>
      <c r="Z7" s="75" t="s">
        <v>233</v>
      </c>
      <c r="AA7" s="75" t="s">
        <v>833</v>
      </c>
      <c r="AB7" s="79" t="s">
        <v>2045</v>
      </c>
      <c r="AC7" s="79" t="s">
        <v>252</v>
      </c>
      <c r="AD7" s="75"/>
      <c r="AE7" s="75" t="s">
        <v>895</v>
      </c>
      <c r="AF7" s="75" t="s">
        <v>2105</v>
      </c>
    </row>
    <row r="8" spans="1:32" ht="15">
      <c r="A8" s="104" t="s">
        <v>445</v>
      </c>
      <c r="B8" s="62" t="s">
        <v>461</v>
      </c>
      <c r="C8" s="62" t="s">
        <v>56</v>
      </c>
      <c r="D8" s="105"/>
      <c r="E8" s="11"/>
      <c r="F8" s="12"/>
      <c r="G8" s="60"/>
      <c r="H8" s="60"/>
      <c r="I8" s="99">
        <v>8</v>
      </c>
      <c r="J8" s="106"/>
      <c r="K8" s="45">
        <v>5</v>
      </c>
      <c r="L8" s="45">
        <v>4</v>
      </c>
      <c r="M8" s="45">
        <v>0</v>
      </c>
      <c r="N8" s="45">
        <v>4</v>
      </c>
      <c r="O8" s="45">
        <v>0</v>
      </c>
      <c r="P8" s="46">
        <v>0</v>
      </c>
      <c r="Q8" s="46">
        <v>0</v>
      </c>
      <c r="R8" s="45">
        <v>1</v>
      </c>
      <c r="S8" s="45">
        <v>0</v>
      </c>
      <c r="T8" s="45">
        <v>5</v>
      </c>
      <c r="U8" s="45">
        <v>4</v>
      </c>
      <c r="V8" s="45">
        <v>2</v>
      </c>
      <c r="W8" s="46">
        <v>1.28</v>
      </c>
      <c r="X8" s="46">
        <v>0.2</v>
      </c>
      <c r="Y8" s="75" t="s">
        <v>1990</v>
      </c>
      <c r="Z8" s="75" t="s">
        <v>891</v>
      </c>
      <c r="AA8" s="75" t="s">
        <v>857</v>
      </c>
      <c r="AB8" s="79" t="s">
        <v>252</v>
      </c>
      <c r="AC8" s="79" t="s">
        <v>252</v>
      </c>
      <c r="AD8" s="75"/>
      <c r="AE8" s="75" t="s">
        <v>926</v>
      </c>
      <c r="AF8" s="75" t="s">
        <v>2106</v>
      </c>
    </row>
    <row r="9" spans="1:32" ht="15">
      <c r="A9" s="104" t="s">
        <v>446</v>
      </c>
      <c r="B9" s="62" t="s">
        <v>462</v>
      </c>
      <c r="C9" s="62" t="s">
        <v>56</v>
      </c>
      <c r="D9" s="105"/>
      <c r="E9" s="11"/>
      <c r="F9" s="12"/>
      <c r="G9" s="60"/>
      <c r="H9" s="60"/>
      <c r="I9" s="99">
        <v>9</v>
      </c>
      <c r="J9" s="106"/>
      <c r="K9" s="45">
        <v>4</v>
      </c>
      <c r="L9" s="45">
        <v>3</v>
      </c>
      <c r="M9" s="45">
        <v>0</v>
      </c>
      <c r="N9" s="45">
        <v>3</v>
      </c>
      <c r="O9" s="45">
        <v>0</v>
      </c>
      <c r="P9" s="46">
        <v>0</v>
      </c>
      <c r="Q9" s="46">
        <v>0</v>
      </c>
      <c r="R9" s="45">
        <v>1</v>
      </c>
      <c r="S9" s="45">
        <v>0</v>
      </c>
      <c r="T9" s="45">
        <v>4</v>
      </c>
      <c r="U9" s="45">
        <v>3</v>
      </c>
      <c r="V9" s="45">
        <v>2</v>
      </c>
      <c r="W9" s="46">
        <v>1.125</v>
      </c>
      <c r="X9" s="46">
        <v>0.25</v>
      </c>
      <c r="Y9" s="75"/>
      <c r="Z9" s="75"/>
      <c r="AA9" s="75" t="s">
        <v>839</v>
      </c>
      <c r="AB9" s="79" t="s">
        <v>2053</v>
      </c>
      <c r="AC9" s="79" t="s">
        <v>2081</v>
      </c>
      <c r="AD9" s="75"/>
      <c r="AE9" s="75" t="s">
        <v>2096</v>
      </c>
      <c r="AF9" s="75" t="s">
        <v>2107</v>
      </c>
    </row>
    <row r="10" spans="1:32" ht="14.25" customHeight="1">
      <c r="A10" s="104" t="s">
        <v>447</v>
      </c>
      <c r="B10" s="62" t="s">
        <v>463</v>
      </c>
      <c r="C10" s="62" t="s">
        <v>56</v>
      </c>
      <c r="D10" s="105"/>
      <c r="E10" s="11"/>
      <c r="F10" s="12"/>
      <c r="G10" s="60"/>
      <c r="H10" s="60"/>
      <c r="I10" s="99">
        <v>10</v>
      </c>
      <c r="J10" s="106"/>
      <c r="K10" s="45">
        <v>3</v>
      </c>
      <c r="L10" s="45">
        <v>2</v>
      </c>
      <c r="M10" s="45">
        <v>0</v>
      </c>
      <c r="N10" s="45">
        <v>2</v>
      </c>
      <c r="O10" s="45">
        <v>0</v>
      </c>
      <c r="P10" s="46">
        <v>0</v>
      </c>
      <c r="Q10" s="46">
        <v>0</v>
      </c>
      <c r="R10" s="45">
        <v>1</v>
      </c>
      <c r="S10" s="45">
        <v>0</v>
      </c>
      <c r="T10" s="45">
        <v>3</v>
      </c>
      <c r="U10" s="45">
        <v>2</v>
      </c>
      <c r="V10" s="45">
        <v>2</v>
      </c>
      <c r="W10" s="46">
        <v>0.888889</v>
      </c>
      <c r="X10" s="46">
        <v>0.3333333333333333</v>
      </c>
      <c r="Y10" s="75"/>
      <c r="Z10" s="75"/>
      <c r="AA10" s="75" t="s">
        <v>843</v>
      </c>
      <c r="AB10" s="79" t="s">
        <v>252</v>
      </c>
      <c r="AC10" s="79" t="s">
        <v>252</v>
      </c>
      <c r="AD10" s="75"/>
      <c r="AE10" s="75" t="s">
        <v>2097</v>
      </c>
      <c r="AF10" s="75" t="s">
        <v>2108</v>
      </c>
    </row>
    <row r="11" spans="1:32" ht="15">
      <c r="A11" s="104" t="s">
        <v>448</v>
      </c>
      <c r="B11" s="62" t="s">
        <v>464</v>
      </c>
      <c r="C11" s="62" t="s">
        <v>56</v>
      </c>
      <c r="D11" s="105"/>
      <c r="E11" s="11"/>
      <c r="F11" s="12"/>
      <c r="G11" s="60"/>
      <c r="H11" s="60"/>
      <c r="I11" s="99">
        <v>11</v>
      </c>
      <c r="J11" s="106"/>
      <c r="K11" s="45">
        <v>3</v>
      </c>
      <c r="L11" s="45">
        <v>2</v>
      </c>
      <c r="M11" s="45">
        <v>0</v>
      </c>
      <c r="N11" s="45">
        <v>2</v>
      </c>
      <c r="O11" s="45">
        <v>0</v>
      </c>
      <c r="P11" s="46">
        <v>0</v>
      </c>
      <c r="Q11" s="46">
        <v>0</v>
      </c>
      <c r="R11" s="45">
        <v>1</v>
      </c>
      <c r="S11" s="45">
        <v>0</v>
      </c>
      <c r="T11" s="45">
        <v>3</v>
      </c>
      <c r="U11" s="45">
        <v>2</v>
      </c>
      <c r="V11" s="45">
        <v>2</v>
      </c>
      <c r="W11" s="46">
        <v>0.888889</v>
      </c>
      <c r="X11" s="46">
        <v>0.3333333333333333</v>
      </c>
      <c r="Y11" s="75"/>
      <c r="Z11" s="75"/>
      <c r="AA11" s="75"/>
      <c r="AB11" s="79" t="s">
        <v>252</v>
      </c>
      <c r="AC11" s="79" t="s">
        <v>252</v>
      </c>
      <c r="AD11" s="75" t="s">
        <v>692</v>
      </c>
      <c r="AE11" s="75" t="s">
        <v>2098</v>
      </c>
      <c r="AF11" s="75" t="s">
        <v>2109</v>
      </c>
    </row>
    <row r="12" spans="1:32" ht="15">
      <c r="A12" s="104" t="s">
        <v>449</v>
      </c>
      <c r="B12" s="62" t="s">
        <v>465</v>
      </c>
      <c r="C12" s="62" t="s">
        <v>56</v>
      </c>
      <c r="D12" s="105"/>
      <c r="E12" s="11"/>
      <c r="F12" s="12"/>
      <c r="G12" s="60"/>
      <c r="H12" s="60"/>
      <c r="I12" s="99">
        <v>12</v>
      </c>
      <c r="J12" s="106"/>
      <c r="K12" s="45">
        <v>2</v>
      </c>
      <c r="L12" s="45">
        <v>1</v>
      </c>
      <c r="M12" s="45">
        <v>0</v>
      </c>
      <c r="N12" s="45">
        <v>1</v>
      </c>
      <c r="O12" s="45">
        <v>0</v>
      </c>
      <c r="P12" s="46">
        <v>0</v>
      </c>
      <c r="Q12" s="46">
        <v>0</v>
      </c>
      <c r="R12" s="45">
        <v>1</v>
      </c>
      <c r="S12" s="45">
        <v>0</v>
      </c>
      <c r="T12" s="45">
        <v>2</v>
      </c>
      <c r="U12" s="45">
        <v>1</v>
      </c>
      <c r="V12" s="45">
        <v>1</v>
      </c>
      <c r="W12" s="46">
        <v>0.5</v>
      </c>
      <c r="X12" s="46">
        <v>0.5</v>
      </c>
      <c r="Y12" s="75" t="s">
        <v>2009</v>
      </c>
      <c r="Z12" s="75" t="s">
        <v>890</v>
      </c>
      <c r="AA12" s="75" t="s">
        <v>2039</v>
      </c>
      <c r="AB12" s="79" t="s">
        <v>2054</v>
      </c>
      <c r="AC12" s="79" t="s">
        <v>252</v>
      </c>
      <c r="AD12" s="75"/>
      <c r="AE12" s="75" t="s">
        <v>923</v>
      </c>
      <c r="AF12" s="75" t="s">
        <v>2110</v>
      </c>
    </row>
    <row r="13" spans="1:32" ht="15">
      <c r="A13" s="104" t="s">
        <v>450</v>
      </c>
      <c r="B13" s="62" t="s">
        <v>466</v>
      </c>
      <c r="C13" s="62" t="s">
        <v>56</v>
      </c>
      <c r="D13" s="105"/>
      <c r="E13" s="11"/>
      <c r="F13" s="12"/>
      <c r="G13" s="60"/>
      <c r="H13" s="60"/>
      <c r="I13" s="99">
        <v>13</v>
      </c>
      <c r="J13" s="106"/>
      <c r="K13" s="45">
        <v>2</v>
      </c>
      <c r="L13" s="45">
        <v>1</v>
      </c>
      <c r="M13" s="45">
        <v>0</v>
      </c>
      <c r="N13" s="45">
        <v>1</v>
      </c>
      <c r="O13" s="45">
        <v>0</v>
      </c>
      <c r="P13" s="46">
        <v>0</v>
      </c>
      <c r="Q13" s="46">
        <v>0</v>
      </c>
      <c r="R13" s="45">
        <v>1</v>
      </c>
      <c r="S13" s="45">
        <v>0</v>
      </c>
      <c r="T13" s="45">
        <v>2</v>
      </c>
      <c r="U13" s="45">
        <v>1</v>
      </c>
      <c r="V13" s="45">
        <v>1</v>
      </c>
      <c r="W13" s="46">
        <v>0.5</v>
      </c>
      <c r="X13" s="46">
        <v>0.5</v>
      </c>
      <c r="Y13" s="75" t="s">
        <v>2010</v>
      </c>
      <c r="Z13" s="75" t="s">
        <v>888</v>
      </c>
      <c r="AA13" s="75"/>
      <c r="AB13" s="79" t="s">
        <v>252</v>
      </c>
      <c r="AC13" s="79" t="s">
        <v>252</v>
      </c>
      <c r="AD13" s="75"/>
      <c r="AE13" s="75" t="s">
        <v>921</v>
      </c>
      <c r="AF13" s="75" t="s">
        <v>2111</v>
      </c>
    </row>
    <row r="14" spans="1:32" ht="15">
      <c r="A14" s="104" t="s">
        <v>451</v>
      </c>
      <c r="B14" s="62" t="s">
        <v>467</v>
      </c>
      <c r="C14" s="62" t="s">
        <v>56</v>
      </c>
      <c r="D14" s="105"/>
      <c r="E14" s="11"/>
      <c r="F14" s="12"/>
      <c r="G14" s="60"/>
      <c r="H14" s="60"/>
      <c r="I14" s="99">
        <v>14</v>
      </c>
      <c r="J14" s="106"/>
      <c r="K14" s="45">
        <v>2</v>
      </c>
      <c r="L14" s="45">
        <v>1</v>
      </c>
      <c r="M14" s="45">
        <v>0</v>
      </c>
      <c r="N14" s="45">
        <v>1</v>
      </c>
      <c r="O14" s="45">
        <v>0</v>
      </c>
      <c r="P14" s="46">
        <v>0</v>
      </c>
      <c r="Q14" s="46">
        <v>0</v>
      </c>
      <c r="R14" s="45">
        <v>1</v>
      </c>
      <c r="S14" s="45">
        <v>0</v>
      </c>
      <c r="T14" s="45">
        <v>2</v>
      </c>
      <c r="U14" s="45">
        <v>1</v>
      </c>
      <c r="V14" s="45">
        <v>1</v>
      </c>
      <c r="W14" s="46">
        <v>0.5</v>
      </c>
      <c r="X14" s="46">
        <v>0.5</v>
      </c>
      <c r="Y14" s="75"/>
      <c r="Z14" s="75"/>
      <c r="AA14" s="75"/>
      <c r="AB14" s="79" t="s">
        <v>252</v>
      </c>
      <c r="AC14" s="79" t="s">
        <v>252</v>
      </c>
      <c r="AD14" s="75" t="s">
        <v>698</v>
      </c>
      <c r="AE14" s="75" t="s">
        <v>2099</v>
      </c>
      <c r="AF14" s="75" t="s">
        <v>2112</v>
      </c>
    </row>
    <row r="15" spans="1:32" ht="15">
      <c r="A15" s="104" t="s">
        <v>452</v>
      </c>
      <c r="B15" s="62" t="s">
        <v>456</v>
      </c>
      <c r="C15" s="62" t="s">
        <v>59</v>
      </c>
      <c r="D15" s="105"/>
      <c r="E15" s="11"/>
      <c r="F15" s="12"/>
      <c r="G15" s="60"/>
      <c r="H15" s="60"/>
      <c r="I15" s="99">
        <v>15</v>
      </c>
      <c r="J15" s="106"/>
      <c r="K15" s="45">
        <v>2</v>
      </c>
      <c r="L15" s="45">
        <v>1</v>
      </c>
      <c r="M15" s="45">
        <v>0</v>
      </c>
      <c r="N15" s="45">
        <v>1</v>
      </c>
      <c r="O15" s="45">
        <v>0</v>
      </c>
      <c r="P15" s="46">
        <v>0</v>
      </c>
      <c r="Q15" s="46">
        <v>0</v>
      </c>
      <c r="R15" s="45">
        <v>1</v>
      </c>
      <c r="S15" s="45">
        <v>0</v>
      </c>
      <c r="T15" s="45">
        <v>2</v>
      </c>
      <c r="U15" s="45">
        <v>1</v>
      </c>
      <c r="V15" s="45">
        <v>1</v>
      </c>
      <c r="W15" s="46">
        <v>0.5</v>
      </c>
      <c r="X15" s="46">
        <v>0.5</v>
      </c>
      <c r="Y15" s="75"/>
      <c r="Z15" s="75"/>
      <c r="AA15" s="75"/>
      <c r="AB15" s="79" t="s">
        <v>252</v>
      </c>
      <c r="AC15" s="79" t="s">
        <v>252</v>
      </c>
      <c r="AD15" s="75" t="s">
        <v>224</v>
      </c>
      <c r="AE15" s="75" t="s">
        <v>2100</v>
      </c>
      <c r="AF15" s="75" t="s">
        <v>2113</v>
      </c>
    </row>
    <row r="16" spans="1:32" ht="15">
      <c r="A16" s="104" t="s">
        <v>453</v>
      </c>
      <c r="B16" s="62" t="s">
        <v>457</v>
      </c>
      <c r="C16" s="62" t="s">
        <v>59</v>
      </c>
      <c r="D16" s="105"/>
      <c r="E16" s="11"/>
      <c r="F16" s="12"/>
      <c r="G16" s="60"/>
      <c r="H16" s="60"/>
      <c r="I16" s="99">
        <v>16</v>
      </c>
      <c r="J16" s="106"/>
      <c r="K16" s="45">
        <v>2</v>
      </c>
      <c r="L16" s="45">
        <v>1</v>
      </c>
      <c r="M16" s="45">
        <v>0</v>
      </c>
      <c r="N16" s="45">
        <v>1</v>
      </c>
      <c r="O16" s="45">
        <v>0</v>
      </c>
      <c r="P16" s="46">
        <v>0</v>
      </c>
      <c r="Q16" s="46">
        <v>0</v>
      </c>
      <c r="R16" s="45">
        <v>1</v>
      </c>
      <c r="S16" s="45">
        <v>0</v>
      </c>
      <c r="T16" s="45">
        <v>2</v>
      </c>
      <c r="U16" s="45">
        <v>1</v>
      </c>
      <c r="V16" s="45">
        <v>1</v>
      </c>
      <c r="W16" s="46">
        <v>0.5</v>
      </c>
      <c r="X16" s="46">
        <v>0.5</v>
      </c>
      <c r="Y16" s="75" t="s">
        <v>2011</v>
      </c>
      <c r="Z16" s="75" t="s">
        <v>880</v>
      </c>
      <c r="AA16" s="75" t="s">
        <v>841</v>
      </c>
      <c r="AB16" s="79" t="s">
        <v>252</v>
      </c>
      <c r="AC16" s="79" t="s">
        <v>252</v>
      </c>
      <c r="AD16" s="75" t="s">
        <v>224</v>
      </c>
      <c r="AE16" s="75" t="s">
        <v>694</v>
      </c>
      <c r="AF16" s="75" t="s">
        <v>2114</v>
      </c>
    </row>
    <row r="17" spans="1:32" ht="15">
      <c r="A17" s="104" t="s">
        <v>454</v>
      </c>
      <c r="B17" s="62" t="s">
        <v>458</v>
      </c>
      <c r="C17" s="62" t="s">
        <v>59</v>
      </c>
      <c r="D17" s="105"/>
      <c r="E17" s="11"/>
      <c r="F17" s="12"/>
      <c r="G17" s="60"/>
      <c r="H17" s="60"/>
      <c r="I17" s="99">
        <v>17</v>
      </c>
      <c r="J17" s="106"/>
      <c r="K17" s="45">
        <v>2</v>
      </c>
      <c r="L17" s="45">
        <v>1</v>
      </c>
      <c r="M17" s="45">
        <v>0</v>
      </c>
      <c r="N17" s="45">
        <v>1</v>
      </c>
      <c r="O17" s="45">
        <v>0</v>
      </c>
      <c r="P17" s="46">
        <v>0</v>
      </c>
      <c r="Q17" s="46">
        <v>0</v>
      </c>
      <c r="R17" s="45">
        <v>1</v>
      </c>
      <c r="S17" s="45">
        <v>0</v>
      </c>
      <c r="T17" s="45">
        <v>2</v>
      </c>
      <c r="U17" s="45">
        <v>1</v>
      </c>
      <c r="V17" s="45">
        <v>1</v>
      </c>
      <c r="W17" s="46">
        <v>0.5</v>
      </c>
      <c r="X17" s="46">
        <v>0.5</v>
      </c>
      <c r="Y17" s="75" t="s">
        <v>2012</v>
      </c>
      <c r="Z17" s="75" t="s">
        <v>878</v>
      </c>
      <c r="AA17" s="75" t="s">
        <v>506</v>
      </c>
      <c r="AB17" s="79" t="s">
        <v>2055</v>
      </c>
      <c r="AC17" s="79" t="s">
        <v>2082</v>
      </c>
      <c r="AD17" s="75"/>
      <c r="AE17" s="75" t="s">
        <v>907</v>
      </c>
      <c r="AF17" s="75" t="s">
        <v>2115</v>
      </c>
    </row>
    <row r="18" spans="1:32" ht="15">
      <c r="A18" s="104" t="s">
        <v>455</v>
      </c>
      <c r="B18" s="62" t="s">
        <v>459</v>
      </c>
      <c r="C18" s="62" t="s">
        <v>59</v>
      </c>
      <c r="D18" s="107"/>
      <c r="E18" s="108"/>
      <c r="F18" s="109"/>
      <c r="G18" s="110"/>
      <c r="H18" s="110"/>
      <c r="I18" s="111">
        <v>18</v>
      </c>
      <c r="J18" s="112"/>
      <c r="K18" s="45">
        <v>2</v>
      </c>
      <c r="L18" s="45">
        <v>1</v>
      </c>
      <c r="M18" s="45">
        <v>0</v>
      </c>
      <c r="N18" s="45">
        <v>1</v>
      </c>
      <c r="O18" s="45">
        <v>0</v>
      </c>
      <c r="P18" s="46">
        <v>0</v>
      </c>
      <c r="Q18" s="46">
        <v>0</v>
      </c>
      <c r="R18" s="45">
        <v>1</v>
      </c>
      <c r="S18" s="45">
        <v>0</v>
      </c>
      <c r="T18" s="45">
        <v>2</v>
      </c>
      <c r="U18" s="45">
        <v>1</v>
      </c>
      <c r="V18" s="45">
        <v>1</v>
      </c>
      <c r="W18" s="46">
        <v>0.5</v>
      </c>
      <c r="X18" s="46">
        <v>0.5</v>
      </c>
      <c r="Y18" s="75" t="s">
        <v>2013</v>
      </c>
      <c r="Z18" s="75" t="s">
        <v>874</v>
      </c>
      <c r="AA18" s="75"/>
      <c r="AB18" s="79" t="s">
        <v>252</v>
      </c>
      <c r="AC18" s="79" t="s">
        <v>252</v>
      </c>
      <c r="AD18" s="75"/>
      <c r="AE18" s="75" t="s">
        <v>904</v>
      </c>
      <c r="AF18" s="75" t="s">
        <v>2116</v>
      </c>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440</v>
      </c>
      <c r="B2" s="79" t="s">
        <v>224</v>
      </c>
      <c r="C2" s="75">
        <f>VLOOKUP("~"&amp;GroupVertices[[#This Row],[Vertex]],Vertices[],MATCH("ID",Vertices[[#Headers],[Vertex]:[Vertex Group]],0),FALSE)</f>
        <v>4</v>
      </c>
    </row>
    <row r="3" spans="1:3" ht="15">
      <c r="A3" s="76" t="s">
        <v>440</v>
      </c>
      <c r="B3" s="79" t="s">
        <v>646</v>
      </c>
      <c r="C3" s="75">
        <f>VLOOKUP("~"&amp;GroupVertices[[#This Row],[Vertex]],Vertices[],MATCH("ID",Vertices[[#Headers],[Vertex]:[Vertex Group]],0),FALSE)</f>
        <v>153</v>
      </c>
    </row>
    <row r="4" spans="1:3" ht="15">
      <c r="A4" s="76" t="s">
        <v>440</v>
      </c>
      <c r="B4" s="79" t="s">
        <v>645</v>
      </c>
      <c r="C4" s="75">
        <f>VLOOKUP("~"&amp;GroupVertices[[#This Row],[Vertex]],Vertices[],MATCH("ID",Vertices[[#Headers],[Vertex]:[Vertex Group]],0),FALSE)</f>
        <v>152</v>
      </c>
    </row>
    <row r="5" spans="1:3" ht="15">
      <c r="A5" s="76" t="s">
        <v>440</v>
      </c>
      <c r="B5" s="79" t="s">
        <v>682</v>
      </c>
      <c r="C5" s="75">
        <f>VLOOKUP("~"&amp;GroupVertices[[#This Row],[Vertex]],Vertices[],MATCH("ID",Vertices[[#Headers],[Vertex]:[Vertex Group]],0),FALSE)</f>
        <v>54</v>
      </c>
    </row>
    <row r="6" spans="1:3" ht="15">
      <c r="A6" s="76" t="s">
        <v>440</v>
      </c>
      <c r="B6" s="79" t="s">
        <v>643</v>
      </c>
      <c r="C6" s="75">
        <f>VLOOKUP("~"&amp;GroupVertices[[#This Row],[Vertex]],Vertices[],MATCH("ID",Vertices[[#Headers],[Vertex]:[Vertex Group]],0),FALSE)</f>
        <v>149</v>
      </c>
    </row>
    <row r="7" spans="1:3" ht="15">
      <c r="A7" s="76" t="s">
        <v>440</v>
      </c>
      <c r="B7" s="79" t="s">
        <v>640</v>
      </c>
      <c r="C7" s="75">
        <f>VLOOKUP("~"&amp;GroupVertices[[#This Row],[Vertex]],Vertices[],MATCH("ID",Vertices[[#Headers],[Vertex]:[Vertex Group]],0),FALSE)</f>
        <v>140</v>
      </c>
    </row>
    <row r="8" spans="1:3" ht="15">
      <c r="A8" s="76" t="s">
        <v>440</v>
      </c>
      <c r="B8" s="79" t="s">
        <v>639</v>
      </c>
      <c r="C8" s="75">
        <f>VLOOKUP("~"&amp;GroupVertices[[#This Row],[Vertex]],Vertices[],MATCH("ID",Vertices[[#Headers],[Vertex]:[Vertex Group]],0),FALSE)</f>
        <v>139</v>
      </c>
    </row>
    <row r="9" spans="1:3" ht="15">
      <c r="A9" s="76" t="s">
        <v>440</v>
      </c>
      <c r="B9" s="79" t="s">
        <v>638</v>
      </c>
      <c r="C9" s="75">
        <f>VLOOKUP("~"&amp;GroupVertices[[#This Row],[Vertex]],Vertices[],MATCH("ID",Vertices[[#Headers],[Vertex]:[Vertex Group]],0),FALSE)</f>
        <v>138</v>
      </c>
    </row>
    <row r="10" spans="1:3" ht="15">
      <c r="A10" s="76" t="s">
        <v>440</v>
      </c>
      <c r="B10" s="79" t="s">
        <v>637</v>
      </c>
      <c r="C10" s="75">
        <f>VLOOKUP("~"&amp;GroupVertices[[#This Row],[Vertex]],Vertices[],MATCH("ID",Vertices[[#Headers],[Vertex]:[Vertex Group]],0),FALSE)</f>
        <v>137</v>
      </c>
    </row>
    <row r="11" spans="1:3" ht="15">
      <c r="A11" s="76" t="s">
        <v>440</v>
      </c>
      <c r="B11" s="79" t="s">
        <v>636</v>
      </c>
      <c r="C11" s="75">
        <f>VLOOKUP("~"&amp;GroupVertices[[#This Row],[Vertex]],Vertices[],MATCH("ID",Vertices[[#Headers],[Vertex]:[Vertex Group]],0),FALSE)</f>
        <v>136</v>
      </c>
    </row>
    <row r="12" spans="1:3" ht="15">
      <c r="A12" s="76" t="s">
        <v>440</v>
      </c>
      <c r="B12" s="79" t="s">
        <v>631</v>
      </c>
      <c r="C12" s="75">
        <f>VLOOKUP("~"&amp;GroupVertices[[#This Row],[Vertex]],Vertices[],MATCH("ID",Vertices[[#Headers],[Vertex]:[Vertex Group]],0),FALSE)</f>
        <v>108</v>
      </c>
    </row>
    <row r="13" spans="1:3" ht="15">
      <c r="A13" s="76" t="s">
        <v>440</v>
      </c>
      <c r="B13" s="79" t="s">
        <v>630</v>
      </c>
      <c r="C13" s="75">
        <f>VLOOKUP("~"&amp;GroupVertices[[#This Row],[Vertex]],Vertices[],MATCH("ID",Vertices[[#Headers],[Vertex]:[Vertex Group]],0),FALSE)</f>
        <v>107</v>
      </c>
    </row>
    <row r="14" spans="1:3" ht="15">
      <c r="A14" s="76" t="s">
        <v>440</v>
      </c>
      <c r="B14" s="79" t="s">
        <v>628</v>
      </c>
      <c r="C14" s="75">
        <f>VLOOKUP("~"&amp;GroupVertices[[#This Row],[Vertex]],Vertices[],MATCH("ID",Vertices[[#Headers],[Vertex]:[Vertex Group]],0),FALSE)</f>
        <v>104</v>
      </c>
    </row>
    <row r="15" spans="1:3" ht="15">
      <c r="A15" s="76" t="s">
        <v>440</v>
      </c>
      <c r="B15" s="79" t="s">
        <v>627</v>
      </c>
      <c r="C15" s="75">
        <f>VLOOKUP("~"&amp;GroupVertices[[#This Row],[Vertex]],Vertices[],MATCH("ID",Vertices[[#Headers],[Vertex]:[Vertex Group]],0),FALSE)</f>
        <v>7</v>
      </c>
    </row>
    <row r="16" spans="1:3" ht="15">
      <c r="A16" s="76" t="s">
        <v>440</v>
      </c>
      <c r="B16" s="79" t="s">
        <v>626</v>
      </c>
      <c r="C16" s="75">
        <f>VLOOKUP("~"&amp;GroupVertices[[#This Row],[Vertex]],Vertices[],MATCH("ID",Vertices[[#Headers],[Vertex]:[Vertex Group]],0),FALSE)</f>
        <v>103</v>
      </c>
    </row>
    <row r="17" spans="1:3" ht="15">
      <c r="A17" s="76" t="s">
        <v>440</v>
      </c>
      <c r="B17" s="79" t="s">
        <v>625</v>
      </c>
      <c r="C17" s="75">
        <f>VLOOKUP("~"&amp;GroupVertices[[#This Row],[Vertex]],Vertices[],MATCH("ID",Vertices[[#Headers],[Vertex]:[Vertex Group]],0),FALSE)</f>
        <v>102</v>
      </c>
    </row>
    <row r="18" spans="1:3" ht="15">
      <c r="A18" s="76" t="s">
        <v>440</v>
      </c>
      <c r="B18" s="79" t="s">
        <v>624</v>
      </c>
      <c r="C18" s="75">
        <f>VLOOKUP("~"&amp;GroupVertices[[#This Row],[Vertex]],Vertices[],MATCH("ID",Vertices[[#Headers],[Vertex]:[Vertex Group]],0),FALSE)</f>
        <v>101</v>
      </c>
    </row>
    <row r="19" spans="1:3" ht="15">
      <c r="A19" s="76" t="s">
        <v>440</v>
      </c>
      <c r="B19" s="79" t="s">
        <v>623</v>
      </c>
      <c r="C19" s="75">
        <f>VLOOKUP("~"&amp;GroupVertices[[#This Row],[Vertex]],Vertices[],MATCH("ID",Vertices[[#Headers],[Vertex]:[Vertex Group]],0),FALSE)</f>
        <v>100</v>
      </c>
    </row>
    <row r="20" spans="1:3" ht="15">
      <c r="A20" s="76" t="s">
        <v>440</v>
      </c>
      <c r="B20" s="79" t="s">
        <v>622</v>
      </c>
      <c r="C20" s="75">
        <f>VLOOKUP("~"&amp;GroupVertices[[#This Row],[Vertex]],Vertices[],MATCH("ID",Vertices[[#Headers],[Vertex]:[Vertex Group]],0),FALSE)</f>
        <v>99</v>
      </c>
    </row>
    <row r="21" spans="1:3" ht="15">
      <c r="A21" s="76" t="s">
        <v>440</v>
      </c>
      <c r="B21" s="79" t="s">
        <v>620</v>
      </c>
      <c r="C21" s="75">
        <f>VLOOKUP("~"&amp;GroupVertices[[#This Row],[Vertex]],Vertices[],MATCH("ID",Vertices[[#Headers],[Vertex]:[Vertex Group]],0),FALSE)</f>
        <v>95</v>
      </c>
    </row>
    <row r="22" spans="1:3" ht="15">
      <c r="A22" s="76" t="s">
        <v>440</v>
      </c>
      <c r="B22" s="79" t="s">
        <v>619</v>
      </c>
      <c r="C22" s="75">
        <f>VLOOKUP("~"&amp;GroupVertices[[#This Row],[Vertex]],Vertices[],MATCH("ID",Vertices[[#Headers],[Vertex]:[Vertex Group]],0),FALSE)</f>
        <v>94</v>
      </c>
    </row>
    <row r="23" spans="1:3" ht="15">
      <c r="A23" s="76" t="s">
        <v>440</v>
      </c>
      <c r="B23" s="79" t="s">
        <v>617</v>
      </c>
      <c r="C23" s="75">
        <f>VLOOKUP("~"&amp;GroupVertices[[#This Row],[Vertex]],Vertices[],MATCH("ID",Vertices[[#Headers],[Vertex]:[Vertex Group]],0),FALSE)</f>
        <v>91</v>
      </c>
    </row>
    <row r="24" spans="1:3" ht="15">
      <c r="A24" s="76" t="s">
        <v>440</v>
      </c>
      <c r="B24" s="79" t="s">
        <v>615</v>
      </c>
      <c r="C24" s="75">
        <f>VLOOKUP("~"&amp;GroupVertices[[#This Row],[Vertex]],Vertices[],MATCH("ID",Vertices[[#Headers],[Vertex]:[Vertex Group]],0),FALSE)</f>
        <v>88</v>
      </c>
    </row>
    <row r="25" spans="1:3" ht="15">
      <c r="A25" s="76" t="s">
        <v>440</v>
      </c>
      <c r="B25" s="79" t="s">
        <v>614</v>
      </c>
      <c r="C25" s="75">
        <f>VLOOKUP("~"&amp;GroupVertices[[#This Row],[Vertex]],Vertices[],MATCH("ID",Vertices[[#Headers],[Vertex]:[Vertex Group]],0),FALSE)</f>
        <v>87</v>
      </c>
    </row>
    <row r="26" spans="1:3" ht="15">
      <c r="A26" s="76" t="s">
        <v>440</v>
      </c>
      <c r="B26" s="79" t="s">
        <v>612</v>
      </c>
      <c r="C26" s="75">
        <f>VLOOKUP("~"&amp;GroupVertices[[#This Row],[Vertex]],Vertices[],MATCH("ID",Vertices[[#Headers],[Vertex]:[Vertex Group]],0),FALSE)</f>
        <v>84</v>
      </c>
    </row>
    <row r="27" spans="1:3" ht="15">
      <c r="A27" s="76" t="s">
        <v>440</v>
      </c>
      <c r="B27" s="79" t="s">
        <v>611</v>
      </c>
      <c r="C27" s="75">
        <f>VLOOKUP("~"&amp;GroupVertices[[#This Row],[Vertex]],Vertices[],MATCH("ID",Vertices[[#Headers],[Vertex]:[Vertex Group]],0),FALSE)</f>
        <v>83</v>
      </c>
    </row>
    <row r="28" spans="1:3" ht="15">
      <c r="A28" s="76" t="s">
        <v>440</v>
      </c>
      <c r="B28" s="79" t="s">
        <v>610</v>
      </c>
      <c r="C28" s="75">
        <f>VLOOKUP("~"&amp;GroupVertices[[#This Row],[Vertex]],Vertices[],MATCH("ID",Vertices[[#Headers],[Vertex]:[Vertex Group]],0),FALSE)</f>
        <v>82</v>
      </c>
    </row>
    <row r="29" spans="1:3" ht="15">
      <c r="A29" s="76" t="s">
        <v>440</v>
      </c>
      <c r="B29" s="79" t="s">
        <v>608</v>
      </c>
      <c r="C29" s="75">
        <f>VLOOKUP("~"&amp;GroupVertices[[#This Row],[Vertex]],Vertices[],MATCH("ID",Vertices[[#Headers],[Vertex]:[Vertex Group]],0),FALSE)</f>
        <v>78</v>
      </c>
    </row>
    <row r="30" spans="1:3" ht="15">
      <c r="A30" s="76" t="s">
        <v>440</v>
      </c>
      <c r="B30" s="79" t="s">
        <v>607</v>
      </c>
      <c r="C30" s="75">
        <f>VLOOKUP("~"&amp;GroupVertices[[#This Row],[Vertex]],Vertices[],MATCH("ID",Vertices[[#Headers],[Vertex]:[Vertex Group]],0),FALSE)</f>
        <v>77</v>
      </c>
    </row>
    <row r="31" spans="1:3" ht="15">
      <c r="A31" s="76" t="s">
        <v>440</v>
      </c>
      <c r="B31" s="79" t="s">
        <v>606</v>
      </c>
      <c r="C31" s="75">
        <f>VLOOKUP("~"&amp;GroupVertices[[#This Row],[Vertex]],Vertices[],MATCH("ID",Vertices[[#Headers],[Vertex]:[Vertex Group]],0),FALSE)</f>
        <v>76</v>
      </c>
    </row>
    <row r="32" spans="1:3" ht="15">
      <c r="A32" s="76" t="s">
        <v>440</v>
      </c>
      <c r="B32" s="79" t="s">
        <v>605</v>
      </c>
      <c r="C32" s="75">
        <f>VLOOKUP("~"&amp;GroupVertices[[#This Row],[Vertex]],Vertices[],MATCH("ID",Vertices[[#Headers],[Vertex]:[Vertex Group]],0),FALSE)</f>
        <v>75</v>
      </c>
    </row>
    <row r="33" spans="1:3" ht="15">
      <c r="A33" s="76" t="s">
        <v>440</v>
      </c>
      <c r="B33" s="79" t="s">
        <v>604</v>
      </c>
      <c r="C33" s="75">
        <f>VLOOKUP("~"&amp;GroupVertices[[#This Row],[Vertex]],Vertices[],MATCH("ID",Vertices[[#Headers],[Vertex]:[Vertex Group]],0),FALSE)</f>
        <v>74</v>
      </c>
    </row>
    <row r="34" spans="1:3" ht="15">
      <c r="A34" s="76" t="s">
        <v>440</v>
      </c>
      <c r="B34" s="79" t="s">
        <v>603</v>
      </c>
      <c r="C34" s="75">
        <f>VLOOKUP("~"&amp;GroupVertices[[#This Row],[Vertex]],Vertices[],MATCH("ID",Vertices[[#Headers],[Vertex]:[Vertex Group]],0),FALSE)</f>
        <v>73</v>
      </c>
    </row>
    <row r="35" spans="1:3" ht="15">
      <c r="A35" s="76" t="s">
        <v>440</v>
      </c>
      <c r="B35" s="79" t="s">
        <v>602</v>
      </c>
      <c r="C35" s="75">
        <f>VLOOKUP("~"&amp;GroupVertices[[#This Row],[Vertex]],Vertices[],MATCH("ID",Vertices[[#Headers],[Vertex]:[Vertex Group]],0),FALSE)</f>
        <v>72</v>
      </c>
    </row>
    <row r="36" spans="1:3" ht="15">
      <c r="A36" s="76" t="s">
        <v>440</v>
      </c>
      <c r="B36" s="79" t="s">
        <v>600</v>
      </c>
      <c r="C36" s="75">
        <f>VLOOKUP("~"&amp;GroupVertices[[#This Row],[Vertex]],Vertices[],MATCH("ID",Vertices[[#Headers],[Vertex]:[Vertex Group]],0),FALSE)</f>
        <v>69</v>
      </c>
    </row>
    <row r="37" spans="1:3" ht="15">
      <c r="A37" s="76" t="s">
        <v>440</v>
      </c>
      <c r="B37" s="79" t="s">
        <v>599</v>
      </c>
      <c r="C37" s="75">
        <f>VLOOKUP("~"&amp;GroupVertices[[#This Row],[Vertex]],Vertices[],MATCH("ID",Vertices[[#Headers],[Vertex]:[Vertex Group]],0),FALSE)</f>
        <v>68</v>
      </c>
    </row>
    <row r="38" spans="1:3" ht="15">
      <c r="A38" s="76" t="s">
        <v>440</v>
      </c>
      <c r="B38" s="79" t="s">
        <v>598</v>
      </c>
      <c r="C38" s="75">
        <f>VLOOKUP("~"&amp;GroupVertices[[#This Row],[Vertex]],Vertices[],MATCH("ID",Vertices[[#Headers],[Vertex]:[Vertex Group]],0),FALSE)</f>
        <v>67</v>
      </c>
    </row>
    <row r="39" spans="1:3" ht="15">
      <c r="A39" s="76" t="s">
        <v>440</v>
      </c>
      <c r="B39" s="79" t="s">
        <v>594</v>
      </c>
      <c r="C39" s="75">
        <f>VLOOKUP("~"&amp;GroupVertices[[#This Row],[Vertex]],Vertices[],MATCH("ID",Vertices[[#Headers],[Vertex]:[Vertex Group]],0),FALSE)</f>
        <v>53</v>
      </c>
    </row>
    <row r="40" spans="1:3" ht="15">
      <c r="A40" s="76" t="s">
        <v>440</v>
      </c>
      <c r="B40" s="79" t="s">
        <v>593</v>
      </c>
      <c r="C40" s="75">
        <f>VLOOKUP("~"&amp;GroupVertices[[#This Row],[Vertex]],Vertices[],MATCH("ID",Vertices[[#Headers],[Vertex]:[Vertex Group]],0),FALSE)</f>
        <v>52</v>
      </c>
    </row>
    <row r="41" spans="1:3" ht="15">
      <c r="A41" s="76" t="s">
        <v>440</v>
      </c>
      <c r="B41" s="79" t="s">
        <v>592</v>
      </c>
      <c r="C41" s="75">
        <f>VLOOKUP("~"&amp;GroupVertices[[#This Row],[Vertex]],Vertices[],MATCH("ID",Vertices[[#Headers],[Vertex]:[Vertex Group]],0),FALSE)</f>
        <v>51</v>
      </c>
    </row>
    <row r="42" spans="1:3" ht="15">
      <c r="A42" s="76" t="s">
        <v>440</v>
      </c>
      <c r="B42" s="79" t="s">
        <v>681</v>
      </c>
      <c r="C42" s="75">
        <f>VLOOKUP("~"&amp;GroupVertices[[#This Row],[Vertex]],Vertices[],MATCH("ID",Vertices[[#Headers],[Vertex]:[Vertex Group]],0),FALSE)</f>
        <v>50</v>
      </c>
    </row>
    <row r="43" spans="1:3" ht="15">
      <c r="A43" s="76" t="s">
        <v>440</v>
      </c>
      <c r="B43" s="79" t="s">
        <v>680</v>
      </c>
      <c r="C43" s="75">
        <f>VLOOKUP("~"&amp;GroupVertices[[#This Row],[Vertex]],Vertices[],MATCH("ID",Vertices[[#Headers],[Vertex]:[Vertex Group]],0),FALSE)</f>
        <v>49</v>
      </c>
    </row>
    <row r="44" spans="1:3" ht="15">
      <c r="A44" s="76" t="s">
        <v>440</v>
      </c>
      <c r="B44" s="79" t="s">
        <v>591</v>
      </c>
      <c r="C44" s="75">
        <f>VLOOKUP("~"&amp;GroupVertices[[#This Row],[Vertex]],Vertices[],MATCH("ID",Vertices[[#Headers],[Vertex]:[Vertex Group]],0),FALSE)</f>
        <v>48</v>
      </c>
    </row>
    <row r="45" spans="1:3" ht="15">
      <c r="A45" s="76" t="s">
        <v>440</v>
      </c>
      <c r="B45" s="79" t="s">
        <v>679</v>
      </c>
      <c r="C45" s="75">
        <f>VLOOKUP("~"&amp;GroupVertices[[#This Row],[Vertex]],Vertices[],MATCH("ID",Vertices[[#Headers],[Vertex]:[Vertex Group]],0),FALSE)</f>
        <v>47</v>
      </c>
    </row>
    <row r="46" spans="1:3" ht="15">
      <c r="A46" s="76" t="s">
        <v>440</v>
      </c>
      <c r="B46" s="79" t="s">
        <v>394</v>
      </c>
      <c r="C46" s="75">
        <f>VLOOKUP("~"&amp;GroupVertices[[#This Row],[Vertex]],Vertices[],MATCH("ID",Vertices[[#Headers],[Vertex]:[Vertex Group]],0),FALSE)</f>
        <v>46</v>
      </c>
    </row>
    <row r="47" spans="1:3" ht="15">
      <c r="A47" s="76" t="s">
        <v>440</v>
      </c>
      <c r="B47" s="79" t="s">
        <v>678</v>
      </c>
      <c r="C47" s="75">
        <f>VLOOKUP("~"&amp;GroupVertices[[#This Row],[Vertex]],Vertices[],MATCH("ID",Vertices[[#Headers],[Vertex]:[Vertex Group]],0),FALSE)</f>
        <v>45</v>
      </c>
    </row>
    <row r="48" spans="1:3" ht="15">
      <c r="A48" s="76" t="s">
        <v>440</v>
      </c>
      <c r="B48" s="79" t="s">
        <v>677</v>
      </c>
      <c r="C48" s="75">
        <f>VLOOKUP("~"&amp;GroupVertices[[#This Row],[Vertex]],Vertices[],MATCH("ID",Vertices[[#Headers],[Vertex]:[Vertex Group]],0),FALSE)</f>
        <v>44</v>
      </c>
    </row>
    <row r="49" spans="1:3" ht="15">
      <c r="A49" s="76" t="s">
        <v>440</v>
      </c>
      <c r="B49" s="79" t="s">
        <v>676</v>
      </c>
      <c r="C49" s="75">
        <f>VLOOKUP("~"&amp;GroupVertices[[#This Row],[Vertex]],Vertices[],MATCH("ID",Vertices[[#Headers],[Vertex]:[Vertex Group]],0),FALSE)</f>
        <v>43</v>
      </c>
    </row>
    <row r="50" spans="1:3" ht="15">
      <c r="A50" s="76" t="s">
        <v>440</v>
      </c>
      <c r="B50" s="79" t="s">
        <v>675</v>
      </c>
      <c r="C50" s="75">
        <f>VLOOKUP("~"&amp;GroupVertices[[#This Row],[Vertex]],Vertices[],MATCH("ID",Vertices[[#Headers],[Vertex]:[Vertex Group]],0),FALSE)</f>
        <v>42</v>
      </c>
    </row>
    <row r="51" spans="1:3" ht="15">
      <c r="A51" s="76" t="s">
        <v>440</v>
      </c>
      <c r="B51" s="79" t="s">
        <v>674</v>
      </c>
      <c r="C51" s="75">
        <f>VLOOKUP("~"&amp;GroupVertices[[#This Row],[Vertex]],Vertices[],MATCH("ID",Vertices[[#Headers],[Vertex]:[Vertex Group]],0),FALSE)</f>
        <v>41</v>
      </c>
    </row>
    <row r="52" spans="1:3" ht="15">
      <c r="A52" s="76" t="s">
        <v>440</v>
      </c>
      <c r="B52" s="79" t="s">
        <v>673</v>
      </c>
      <c r="C52" s="75">
        <f>VLOOKUP("~"&amp;GroupVertices[[#This Row],[Vertex]],Vertices[],MATCH("ID",Vertices[[#Headers],[Vertex]:[Vertex Group]],0),FALSE)</f>
        <v>40</v>
      </c>
    </row>
    <row r="53" spans="1:3" ht="15">
      <c r="A53" s="76" t="s">
        <v>440</v>
      </c>
      <c r="B53" s="79" t="s">
        <v>672</v>
      </c>
      <c r="C53" s="75">
        <f>VLOOKUP("~"&amp;GroupVertices[[#This Row],[Vertex]],Vertices[],MATCH("ID",Vertices[[#Headers],[Vertex]:[Vertex Group]],0),FALSE)</f>
        <v>39</v>
      </c>
    </row>
    <row r="54" spans="1:3" ht="15">
      <c r="A54" s="76" t="s">
        <v>440</v>
      </c>
      <c r="B54" s="79" t="s">
        <v>671</v>
      </c>
      <c r="C54" s="75">
        <f>VLOOKUP("~"&amp;GroupVertices[[#This Row],[Vertex]],Vertices[],MATCH("ID",Vertices[[#Headers],[Vertex]:[Vertex Group]],0),FALSE)</f>
        <v>38</v>
      </c>
    </row>
    <row r="55" spans="1:3" ht="15">
      <c r="A55" s="76" t="s">
        <v>440</v>
      </c>
      <c r="B55" s="79" t="s">
        <v>670</v>
      </c>
      <c r="C55" s="75">
        <f>VLOOKUP("~"&amp;GroupVertices[[#This Row],[Vertex]],Vertices[],MATCH("ID",Vertices[[#Headers],[Vertex]:[Vertex Group]],0),FALSE)</f>
        <v>37</v>
      </c>
    </row>
    <row r="56" spans="1:3" ht="15">
      <c r="A56" s="76" t="s">
        <v>440</v>
      </c>
      <c r="B56" s="79" t="s">
        <v>669</v>
      </c>
      <c r="C56" s="75">
        <f>VLOOKUP("~"&amp;GroupVertices[[#This Row],[Vertex]],Vertices[],MATCH("ID",Vertices[[#Headers],[Vertex]:[Vertex Group]],0),FALSE)</f>
        <v>36</v>
      </c>
    </row>
    <row r="57" spans="1:3" ht="15">
      <c r="A57" s="76" t="s">
        <v>440</v>
      </c>
      <c r="B57" s="79" t="s">
        <v>393</v>
      </c>
      <c r="C57" s="75">
        <f>VLOOKUP("~"&amp;GroupVertices[[#This Row],[Vertex]],Vertices[],MATCH("ID",Vertices[[#Headers],[Vertex]:[Vertex Group]],0),FALSE)</f>
        <v>35</v>
      </c>
    </row>
    <row r="58" spans="1:3" ht="15">
      <c r="A58" s="76" t="s">
        <v>440</v>
      </c>
      <c r="B58" s="79" t="s">
        <v>395</v>
      </c>
      <c r="C58" s="75">
        <f>VLOOKUP("~"&amp;GroupVertices[[#This Row],[Vertex]],Vertices[],MATCH("ID",Vertices[[#Headers],[Vertex]:[Vertex Group]],0),FALSE)</f>
        <v>34</v>
      </c>
    </row>
    <row r="59" spans="1:3" ht="15">
      <c r="A59" s="76" t="s">
        <v>440</v>
      </c>
      <c r="B59" s="79" t="s">
        <v>590</v>
      </c>
      <c r="C59" s="75">
        <f>VLOOKUP("~"&amp;GroupVertices[[#This Row],[Vertex]],Vertices[],MATCH("ID",Vertices[[#Headers],[Vertex]:[Vertex Group]],0),FALSE)</f>
        <v>33</v>
      </c>
    </row>
    <row r="60" spans="1:3" ht="15">
      <c r="A60" s="76" t="s">
        <v>440</v>
      </c>
      <c r="B60" s="79" t="s">
        <v>668</v>
      </c>
      <c r="C60" s="75">
        <f>VLOOKUP("~"&amp;GroupVertices[[#This Row],[Vertex]],Vertices[],MATCH("ID",Vertices[[#Headers],[Vertex]:[Vertex Group]],0),FALSE)</f>
        <v>32</v>
      </c>
    </row>
    <row r="61" spans="1:3" ht="15">
      <c r="A61" s="76" t="s">
        <v>440</v>
      </c>
      <c r="B61" s="79" t="s">
        <v>667</v>
      </c>
      <c r="C61" s="75">
        <f>VLOOKUP("~"&amp;GroupVertices[[#This Row],[Vertex]],Vertices[],MATCH("ID",Vertices[[#Headers],[Vertex]:[Vertex Group]],0),FALSE)</f>
        <v>31</v>
      </c>
    </row>
    <row r="62" spans="1:3" ht="15">
      <c r="A62" s="76" t="s">
        <v>440</v>
      </c>
      <c r="B62" s="79" t="s">
        <v>666</v>
      </c>
      <c r="C62" s="75">
        <f>VLOOKUP("~"&amp;GroupVertices[[#This Row],[Vertex]],Vertices[],MATCH("ID",Vertices[[#Headers],[Vertex]:[Vertex Group]],0),FALSE)</f>
        <v>30</v>
      </c>
    </row>
    <row r="63" spans="1:3" ht="15">
      <c r="A63" s="76" t="s">
        <v>440</v>
      </c>
      <c r="B63" s="79" t="s">
        <v>665</v>
      </c>
      <c r="C63" s="75">
        <f>VLOOKUP("~"&amp;GroupVertices[[#This Row],[Vertex]],Vertices[],MATCH("ID",Vertices[[#Headers],[Vertex]:[Vertex Group]],0),FALSE)</f>
        <v>29</v>
      </c>
    </row>
    <row r="64" spans="1:3" ht="15">
      <c r="A64" s="76" t="s">
        <v>440</v>
      </c>
      <c r="B64" s="79" t="s">
        <v>664</v>
      </c>
      <c r="C64" s="75">
        <f>VLOOKUP("~"&amp;GroupVertices[[#This Row],[Vertex]],Vertices[],MATCH("ID",Vertices[[#Headers],[Vertex]:[Vertex Group]],0),FALSE)</f>
        <v>28</v>
      </c>
    </row>
    <row r="65" spans="1:3" ht="15">
      <c r="A65" s="76" t="s">
        <v>440</v>
      </c>
      <c r="B65" s="79" t="s">
        <v>663</v>
      </c>
      <c r="C65" s="75">
        <f>VLOOKUP("~"&amp;GroupVertices[[#This Row],[Vertex]],Vertices[],MATCH("ID",Vertices[[#Headers],[Vertex]:[Vertex Group]],0),FALSE)</f>
        <v>27</v>
      </c>
    </row>
    <row r="66" spans="1:3" ht="15">
      <c r="A66" s="76" t="s">
        <v>440</v>
      </c>
      <c r="B66" s="79" t="s">
        <v>662</v>
      </c>
      <c r="C66" s="75">
        <f>VLOOKUP("~"&amp;GroupVertices[[#This Row],[Vertex]],Vertices[],MATCH("ID",Vertices[[#Headers],[Vertex]:[Vertex Group]],0),FALSE)</f>
        <v>26</v>
      </c>
    </row>
    <row r="67" spans="1:3" ht="15">
      <c r="A67" s="76" t="s">
        <v>440</v>
      </c>
      <c r="B67" s="79" t="s">
        <v>661</v>
      </c>
      <c r="C67" s="75">
        <f>VLOOKUP("~"&amp;GroupVertices[[#This Row],[Vertex]],Vertices[],MATCH("ID",Vertices[[#Headers],[Vertex]:[Vertex Group]],0),FALSE)</f>
        <v>25</v>
      </c>
    </row>
    <row r="68" spans="1:3" ht="15">
      <c r="A68" s="76" t="s">
        <v>440</v>
      </c>
      <c r="B68" s="79" t="s">
        <v>588</v>
      </c>
      <c r="C68" s="75">
        <f>VLOOKUP("~"&amp;GroupVertices[[#This Row],[Vertex]],Vertices[],MATCH("ID",Vertices[[#Headers],[Vertex]:[Vertex Group]],0),FALSE)</f>
        <v>18</v>
      </c>
    </row>
    <row r="69" spans="1:3" ht="15">
      <c r="A69" s="76" t="s">
        <v>440</v>
      </c>
      <c r="B69" s="79" t="s">
        <v>586</v>
      </c>
      <c r="C69" s="75">
        <f>VLOOKUP("~"&amp;GroupVertices[[#This Row],[Vertex]],Vertices[],MATCH("ID",Vertices[[#Headers],[Vertex]:[Vertex Group]],0),FALSE)</f>
        <v>10</v>
      </c>
    </row>
    <row r="70" spans="1:3" ht="15">
      <c r="A70" s="76" t="s">
        <v>440</v>
      </c>
      <c r="B70" s="79" t="s">
        <v>649</v>
      </c>
      <c r="C70" s="75">
        <f>VLOOKUP("~"&amp;GroupVertices[[#This Row],[Vertex]],Vertices[],MATCH("ID",Vertices[[#Headers],[Vertex]:[Vertex Group]],0),FALSE)</f>
        <v>9</v>
      </c>
    </row>
    <row r="71" spans="1:3" ht="15">
      <c r="A71" s="76" t="s">
        <v>440</v>
      </c>
      <c r="B71" s="79" t="s">
        <v>585</v>
      </c>
      <c r="C71" s="75">
        <f>VLOOKUP("~"&amp;GroupVertices[[#This Row],[Vertex]],Vertices[],MATCH("ID",Vertices[[#Headers],[Vertex]:[Vertex Group]],0),FALSE)</f>
        <v>8</v>
      </c>
    </row>
    <row r="72" spans="1:3" ht="15">
      <c r="A72" s="76" t="s">
        <v>440</v>
      </c>
      <c r="B72" s="79" t="s">
        <v>584</v>
      </c>
      <c r="C72" s="75">
        <f>VLOOKUP("~"&amp;GroupVertices[[#This Row],[Vertex]],Vertices[],MATCH("ID",Vertices[[#Headers],[Vertex]:[Vertex Group]],0),FALSE)</f>
        <v>6</v>
      </c>
    </row>
    <row r="73" spans="1:3" ht="15">
      <c r="A73" s="76" t="s">
        <v>440</v>
      </c>
      <c r="B73" s="79" t="s">
        <v>583</v>
      </c>
      <c r="C73" s="75">
        <f>VLOOKUP("~"&amp;GroupVertices[[#This Row],[Vertex]],Vertices[],MATCH("ID",Vertices[[#Headers],[Vertex]:[Vertex Group]],0),FALSE)</f>
        <v>5</v>
      </c>
    </row>
    <row r="74" spans="1:3" ht="15">
      <c r="A74" s="76" t="s">
        <v>440</v>
      </c>
      <c r="B74" s="79" t="s">
        <v>648</v>
      </c>
      <c r="C74" s="75">
        <f>VLOOKUP("~"&amp;GroupVertices[[#This Row],[Vertex]],Vertices[],MATCH("ID",Vertices[[#Headers],[Vertex]:[Vertex Group]],0),FALSE)</f>
        <v>3</v>
      </c>
    </row>
    <row r="75" spans="1:3" ht="15">
      <c r="A75" s="76" t="s">
        <v>441</v>
      </c>
      <c r="B75" s="79" t="s">
        <v>633</v>
      </c>
      <c r="C75" s="75">
        <f>VLOOKUP("~"&amp;GroupVertices[[#This Row],[Vertex]],Vertices[],MATCH("ID",Vertices[[#Headers],[Vertex]:[Vertex Group]],0),FALSE)</f>
        <v>63</v>
      </c>
    </row>
    <row r="76" spans="1:3" ht="15">
      <c r="A76" s="76" t="s">
        <v>441</v>
      </c>
      <c r="B76" s="79" t="s">
        <v>392</v>
      </c>
      <c r="C76" s="75">
        <f>VLOOKUP("~"&amp;GroupVertices[[#This Row],[Vertex]],Vertices[],MATCH("ID",Vertices[[#Headers],[Vertex]:[Vertex Group]],0),FALSE)</f>
        <v>135</v>
      </c>
    </row>
    <row r="77" spans="1:3" ht="15">
      <c r="A77" s="76" t="s">
        <v>441</v>
      </c>
      <c r="B77" s="79" t="s">
        <v>635</v>
      </c>
      <c r="C77" s="75">
        <f>VLOOKUP("~"&amp;GroupVertices[[#This Row],[Vertex]],Vertices[],MATCH("ID",Vertices[[#Headers],[Vertex]:[Vertex Group]],0),FALSE)</f>
        <v>62</v>
      </c>
    </row>
    <row r="78" spans="1:3" ht="15">
      <c r="A78" s="76" t="s">
        <v>441</v>
      </c>
      <c r="B78" s="79" t="s">
        <v>688</v>
      </c>
      <c r="C78" s="75">
        <f>VLOOKUP("~"&amp;GroupVertices[[#This Row],[Vertex]],Vertices[],MATCH("ID",Vertices[[#Headers],[Vertex]:[Vertex Group]],0),FALSE)</f>
        <v>61</v>
      </c>
    </row>
    <row r="79" spans="1:3" ht="15">
      <c r="A79" s="76" t="s">
        <v>441</v>
      </c>
      <c r="B79" s="79" t="s">
        <v>687</v>
      </c>
      <c r="C79" s="75">
        <f>VLOOKUP("~"&amp;GroupVertices[[#This Row],[Vertex]],Vertices[],MATCH("ID",Vertices[[#Headers],[Vertex]:[Vertex Group]],0),FALSE)</f>
        <v>60</v>
      </c>
    </row>
    <row r="80" spans="1:3" ht="15">
      <c r="A80" s="76" t="s">
        <v>441</v>
      </c>
      <c r="B80" s="79" t="s">
        <v>686</v>
      </c>
      <c r="C80" s="75">
        <f>VLOOKUP("~"&amp;GroupVertices[[#This Row],[Vertex]],Vertices[],MATCH("ID",Vertices[[#Headers],[Vertex]:[Vertex Group]],0),FALSE)</f>
        <v>59</v>
      </c>
    </row>
    <row r="81" spans="1:3" ht="15">
      <c r="A81" s="76" t="s">
        <v>441</v>
      </c>
      <c r="B81" s="79" t="s">
        <v>685</v>
      </c>
      <c r="C81" s="75">
        <f>VLOOKUP("~"&amp;GroupVertices[[#This Row],[Vertex]],Vertices[],MATCH("ID",Vertices[[#Headers],[Vertex]:[Vertex Group]],0),FALSE)</f>
        <v>58</v>
      </c>
    </row>
    <row r="82" spans="1:3" ht="15">
      <c r="A82" s="76" t="s">
        <v>441</v>
      </c>
      <c r="B82" s="79" t="s">
        <v>684</v>
      </c>
      <c r="C82" s="75">
        <f>VLOOKUP("~"&amp;GroupVertices[[#This Row],[Vertex]],Vertices[],MATCH("ID",Vertices[[#Headers],[Vertex]:[Vertex Group]],0),FALSE)</f>
        <v>57</v>
      </c>
    </row>
    <row r="83" spans="1:3" ht="15">
      <c r="A83" s="76" t="s">
        <v>441</v>
      </c>
      <c r="B83" s="79" t="s">
        <v>683</v>
      </c>
      <c r="C83" s="75">
        <f>VLOOKUP("~"&amp;GroupVertices[[#This Row],[Vertex]],Vertices[],MATCH("ID",Vertices[[#Headers],[Vertex]:[Vertex Group]],0),FALSE)</f>
        <v>56</v>
      </c>
    </row>
    <row r="84" spans="1:3" ht="15">
      <c r="A84" s="76" t="s">
        <v>441</v>
      </c>
      <c r="B84" s="79" t="s">
        <v>722</v>
      </c>
      <c r="C84" s="75">
        <f>VLOOKUP("~"&amp;GroupVertices[[#This Row],[Vertex]],Vertices[],MATCH("ID",Vertices[[#Headers],[Vertex]:[Vertex Group]],0),FALSE)</f>
        <v>134</v>
      </c>
    </row>
    <row r="85" spans="1:3" ht="15">
      <c r="A85" s="76" t="s">
        <v>441</v>
      </c>
      <c r="B85" s="79" t="s">
        <v>634</v>
      </c>
      <c r="C85" s="75">
        <f>VLOOKUP("~"&amp;GroupVertices[[#This Row],[Vertex]],Vertices[],MATCH("ID",Vertices[[#Headers],[Vertex]:[Vertex Group]],0),FALSE)</f>
        <v>127</v>
      </c>
    </row>
    <row r="86" spans="1:3" ht="15">
      <c r="A86" s="76" t="s">
        <v>441</v>
      </c>
      <c r="B86" s="79" t="s">
        <v>721</v>
      </c>
      <c r="C86" s="75">
        <f>VLOOKUP("~"&amp;GroupVertices[[#This Row],[Vertex]],Vertices[],MATCH("ID",Vertices[[#Headers],[Vertex]:[Vertex Group]],0),FALSE)</f>
        <v>133</v>
      </c>
    </row>
    <row r="87" spans="1:3" ht="15">
      <c r="A87" s="76" t="s">
        <v>441</v>
      </c>
      <c r="B87" s="79" t="s">
        <v>720</v>
      </c>
      <c r="C87" s="75">
        <f>VLOOKUP("~"&amp;GroupVertices[[#This Row],[Vertex]],Vertices[],MATCH("ID",Vertices[[#Headers],[Vertex]:[Vertex Group]],0),FALSE)</f>
        <v>132</v>
      </c>
    </row>
    <row r="88" spans="1:3" ht="15">
      <c r="A88" s="76" t="s">
        <v>441</v>
      </c>
      <c r="B88" s="79" t="s">
        <v>719</v>
      </c>
      <c r="C88" s="75">
        <f>VLOOKUP("~"&amp;GroupVertices[[#This Row],[Vertex]],Vertices[],MATCH("ID",Vertices[[#Headers],[Vertex]:[Vertex Group]],0),FALSE)</f>
        <v>131</v>
      </c>
    </row>
    <row r="89" spans="1:3" ht="15">
      <c r="A89" s="76" t="s">
        <v>441</v>
      </c>
      <c r="B89" s="79" t="s">
        <v>718</v>
      </c>
      <c r="C89" s="75">
        <f>VLOOKUP("~"&amp;GroupVertices[[#This Row],[Vertex]],Vertices[],MATCH("ID",Vertices[[#Headers],[Vertex]:[Vertex Group]],0),FALSE)</f>
        <v>130</v>
      </c>
    </row>
    <row r="90" spans="1:3" ht="15">
      <c r="A90" s="76" t="s">
        <v>441</v>
      </c>
      <c r="B90" s="79" t="s">
        <v>717</v>
      </c>
      <c r="C90" s="75">
        <f>VLOOKUP("~"&amp;GroupVertices[[#This Row],[Vertex]],Vertices[],MATCH("ID",Vertices[[#Headers],[Vertex]:[Vertex Group]],0),FALSE)</f>
        <v>129</v>
      </c>
    </row>
    <row r="91" spans="1:3" ht="15">
      <c r="A91" s="76" t="s">
        <v>441</v>
      </c>
      <c r="B91" s="79" t="s">
        <v>716</v>
      </c>
      <c r="C91" s="75">
        <f>VLOOKUP("~"&amp;GroupVertices[[#This Row],[Vertex]],Vertices[],MATCH("ID",Vertices[[#Headers],[Vertex]:[Vertex Group]],0),FALSE)</f>
        <v>128</v>
      </c>
    </row>
    <row r="92" spans="1:3" ht="15">
      <c r="A92" s="76" t="s">
        <v>441</v>
      </c>
      <c r="B92" s="79" t="s">
        <v>715</v>
      </c>
      <c r="C92" s="75">
        <f>VLOOKUP("~"&amp;GroupVertices[[#This Row],[Vertex]],Vertices[],MATCH("ID",Vertices[[#Headers],[Vertex]:[Vertex Group]],0),FALSE)</f>
        <v>126</v>
      </c>
    </row>
    <row r="93" spans="1:3" ht="15">
      <c r="A93" s="76" t="s">
        <v>441</v>
      </c>
      <c r="B93" s="79" t="s">
        <v>714</v>
      </c>
      <c r="C93" s="75">
        <f>VLOOKUP("~"&amp;GroupVertices[[#This Row],[Vertex]],Vertices[],MATCH("ID",Vertices[[#Headers],[Vertex]:[Vertex Group]],0),FALSE)</f>
        <v>125</v>
      </c>
    </row>
    <row r="94" spans="1:3" ht="15">
      <c r="A94" s="76" t="s">
        <v>441</v>
      </c>
      <c r="B94" s="79" t="s">
        <v>713</v>
      </c>
      <c r="C94" s="75">
        <f>VLOOKUP("~"&amp;GroupVertices[[#This Row],[Vertex]],Vertices[],MATCH("ID",Vertices[[#Headers],[Vertex]:[Vertex Group]],0),FALSE)</f>
        <v>124</v>
      </c>
    </row>
    <row r="95" spans="1:3" ht="15">
      <c r="A95" s="76" t="s">
        <v>441</v>
      </c>
      <c r="B95" s="79" t="s">
        <v>712</v>
      </c>
      <c r="C95" s="75">
        <f>VLOOKUP("~"&amp;GroupVertices[[#This Row],[Vertex]],Vertices[],MATCH("ID",Vertices[[#Headers],[Vertex]:[Vertex Group]],0),FALSE)</f>
        <v>123</v>
      </c>
    </row>
    <row r="96" spans="1:3" ht="15">
      <c r="A96" s="76" t="s">
        <v>441</v>
      </c>
      <c r="B96" s="79" t="s">
        <v>711</v>
      </c>
      <c r="C96" s="75">
        <f>VLOOKUP("~"&amp;GroupVertices[[#This Row],[Vertex]],Vertices[],MATCH("ID",Vertices[[#Headers],[Vertex]:[Vertex Group]],0),FALSE)</f>
        <v>122</v>
      </c>
    </row>
    <row r="97" spans="1:3" ht="15">
      <c r="A97" s="76" t="s">
        <v>441</v>
      </c>
      <c r="B97" s="79" t="s">
        <v>710</v>
      </c>
      <c r="C97" s="75">
        <f>VLOOKUP("~"&amp;GroupVertices[[#This Row],[Vertex]],Vertices[],MATCH("ID",Vertices[[#Headers],[Vertex]:[Vertex Group]],0),FALSE)</f>
        <v>121</v>
      </c>
    </row>
    <row r="98" spans="1:3" ht="15">
      <c r="A98" s="76" t="s">
        <v>441</v>
      </c>
      <c r="B98" s="79" t="s">
        <v>709</v>
      </c>
      <c r="C98" s="75">
        <f>VLOOKUP("~"&amp;GroupVertices[[#This Row],[Vertex]],Vertices[],MATCH("ID",Vertices[[#Headers],[Vertex]:[Vertex Group]],0),FALSE)</f>
        <v>120</v>
      </c>
    </row>
    <row r="99" spans="1:3" ht="15">
      <c r="A99" s="76" t="s">
        <v>441</v>
      </c>
      <c r="B99" s="79" t="s">
        <v>708</v>
      </c>
      <c r="C99" s="75">
        <f>VLOOKUP("~"&amp;GroupVertices[[#This Row],[Vertex]],Vertices[],MATCH("ID",Vertices[[#Headers],[Vertex]:[Vertex Group]],0),FALSE)</f>
        <v>119</v>
      </c>
    </row>
    <row r="100" spans="1:3" ht="15">
      <c r="A100" s="76" t="s">
        <v>441</v>
      </c>
      <c r="B100" s="79" t="s">
        <v>707</v>
      </c>
      <c r="C100" s="75">
        <f>VLOOKUP("~"&amp;GroupVertices[[#This Row],[Vertex]],Vertices[],MATCH("ID",Vertices[[#Headers],[Vertex]:[Vertex Group]],0),FALSE)</f>
        <v>118</v>
      </c>
    </row>
    <row r="101" spans="1:3" ht="15">
      <c r="A101" s="76" t="s">
        <v>441</v>
      </c>
      <c r="B101" s="79" t="s">
        <v>706</v>
      </c>
      <c r="C101" s="75">
        <f>VLOOKUP("~"&amp;GroupVertices[[#This Row],[Vertex]],Vertices[],MATCH("ID",Vertices[[#Headers],[Vertex]:[Vertex Group]],0),FALSE)</f>
        <v>117</v>
      </c>
    </row>
    <row r="102" spans="1:3" ht="15">
      <c r="A102" s="76" t="s">
        <v>441</v>
      </c>
      <c r="B102" s="79" t="s">
        <v>705</v>
      </c>
      <c r="C102" s="75">
        <f>VLOOKUP("~"&amp;GroupVertices[[#This Row],[Vertex]],Vertices[],MATCH("ID",Vertices[[#Headers],[Vertex]:[Vertex Group]],0),FALSE)</f>
        <v>116</v>
      </c>
    </row>
    <row r="103" spans="1:3" ht="15">
      <c r="A103" s="76" t="s">
        <v>441</v>
      </c>
      <c r="B103" s="79" t="s">
        <v>704</v>
      </c>
      <c r="C103" s="75">
        <f>VLOOKUP("~"&amp;GroupVertices[[#This Row],[Vertex]],Vertices[],MATCH("ID",Vertices[[#Headers],[Vertex]:[Vertex Group]],0),FALSE)</f>
        <v>115</v>
      </c>
    </row>
    <row r="104" spans="1:3" ht="15">
      <c r="A104" s="76" t="s">
        <v>441</v>
      </c>
      <c r="B104" s="79" t="s">
        <v>703</v>
      </c>
      <c r="C104" s="75">
        <f>VLOOKUP("~"&amp;GroupVertices[[#This Row],[Vertex]],Vertices[],MATCH("ID",Vertices[[#Headers],[Vertex]:[Vertex Group]],0),FALSE)</f>
        <v>114</v>
      </c>
    </row>
    <row r="105" spans="1:3" ht="15">
      <c r="A105" s="76" t="s">
        <v>441</v>
      </c>
      <c r="B105" s="79" t="s">
        <v>702</v>
      </c>
      <c r="C105" s="75">
        <f>VLOOKUP("~"&amp;GroupVertices[[#This Row],[Vertex]],Vertices[],MATCH("ID",Vertices[[#Headers],[Vertex]:[Vertex Group]],0),FALSE)</f>
        <v>113</v>
      </c>
    </row>
    <row r="106" spans="1:3" ht="15">
      <c r="A106" s="76" t="s">
        <v>441</v>
      </c>
      <c r="B106" s="79" t="s">
        <v>595</v>
      </c>
      <c r="C106" s="75">
        <f>VLOOKUP("~"&amp;GroupVertices[[#This Row],[Vertex]],Vertices[],MATCH("ID",Vertices[[#Headers],[Vertex]:[Vertex Group]],0),FALSE)</f>
        <v>55</v>
      </c>
    </row>
    <row r="107" spans="1:3" ht="15">
      <c r="A107" s="76" t="s">
        <v>442</v>
      </c>
      <c r="B107" s="79" t="s">
        <v>596</v>
      </c>
      <c r="C107" s="75">
        <f>VLOOKUP("~"&amp;GroupVertices[[#This Row],[Vertex]],Vertices[],MATCH("ID",Vertices[[#Headers],[Vertex]:[Vertex Group]],0),FALSE)</f>
        <v>64</v>
      </c>
    </row>
    <row r="108" spans="1:3" ht="15">
      <c r="A108" s="76" t="s">
        <v>442</v>
      </c>
      <c r="B108" s="79" t="s">
        <v>597</v>
      </c>
      <c r="C108" s="75">
        <f>VLOOKUP("~"&amp;GroupVertices[[#This Row],[Vertex]],Vertices[],MATCH("ID",Vertices[[#Headers],[Vertex]:[Vertex Group]],0),FALSE)</f>
        <v>66</v>
      </c>
    </row>
    <row r="109" spans="1:3" ht="15">
      <c r="A109" s="76" t="s">
        <v>442</v>
      </c>
      <c r="B109" s="79" t="s">
        <v>689</v>
      </c>
      <c r="C109" s="75">
        <f>VLOOKUP("~"&amp;GroupVertices[[#This Row],[Vertex]],Vertices[],MATCH("ID",Vertices[[#Headers],[Vertex]:[Vertex Group]],0),FALSE)</f>
        <v>65</v>
      </c>
    </row>
    <row r="110" spans="1:3" ht="15">
      <c r="A110" s="76" t="s">
        <v>442</v>
      </c>
      <c r="B110" s="79" t="s">
        <v>655</v>
      </c>
      <c r="C110" s="75">
        <f>VLOOKUP("~"&amp;GroupVertices[[#This Row],[Vertex]],Vertices[],MATCH("ID",Vertices[[#Headers],[Vertex]:[Vertex Group]],0),FALSE)</f>
        <v>17</v>
      </c>
    </row>
    <row r="111" spans="1:3" ht="15">
      <c r="A111" s="76" t="s">
        <v>442</v>
      </c>
      <c r="B111" s="79" t="s">
        <v>587</v>
      </c>
      <c r="C111" s="75">
        <f>VLOOKUP("~"&amp;GroupVertices[[#This Row],[Vertex]],Vertices[],MATCH("ID",Vertices[[#Headers],[Vertex]:[Vertex Group]],0),FALSE)</f>
        <v>11</v>
      </c>
    </row>
    <row r="112" spans="1:3" ht="15">
      <c r="A112" s="76" t="s">
        <v>442</v>
      </c>
      <c r="B112" s="79" t="s">
        <v>654</v>
      </c>
      <c r="C112" s="75">
        <f>VLOOKUP("~"&amp;GroupVertices[[#This Row],[Vertex]],Vertices[],MATCH("ID",Vertices[[#Headers],[Vertex]:[Vertex Group]],0),FALSE)</f>
        <v>16</v>
      </c>
    </row>
    <row r="113" spans="1:3" ht="15">
      <c r="A113" s="76" t="s">
        <v>442</v>
      </c>
      <c r="B113" s="79" t="s">
        <v>653</v>
      </c>
      <c r="C113" s="75">
        <f>VLOOKUP("~"&amp;GroupVertices[[#This Row],[Vertex]],Vertices[],MATCH("ID",Vertices[[#Headers],[Vertex]:[Vertex Group]],0),FALSE)</f>
        <v>15</v>
      </c>
    </row>
    <row r="114" spans="1:3" ht="15">
      <c r="A114" s="76" t="s">
        <v>442</v>
      </c>
      <c r="B114" s="79" t="s">
        <v>652</v>
      </c>
      <c r="C114" s="75">
        <f>VLOOKUP("~"&amp;GroupVertices[[#This Row],[Vertex]],Vertices[],MATCH("ID",Vertices[[#Headers],[Vertex]:[Vertex Group]],0),FALSE)</f>
        <v>14</v>
      </c>
    </row>
    <row r="115" spans="1:3" ht="15">
      <c r="A115" s="76" t="s">
        <v>442</v>
      </c>
      <c r="B115" s="79" t="s">
        <v>651</v>
      </c>
      <c r="C115" s="75">
        <f>VLOOKUP("~"&amp;GroupVertices[[#This Row],[Vertex]],Vertices[],MATCH("ID",Vertices[[#Headers],[Vertex]:[Vertex Group]],0),FALSE)</f>
        <v>13</v>
      </c>
    </row>
    <row r="116" spans="1:3" ht="15">
      <c r="A116" s="76" t="s">
        <v>442</v>
      </c>
      <c r="B116" s="79" t="s">
        <v>650</v>
      </c>
      <c r="C116" s="75">
        <f>VLOOKUP("~"&amp;GroupVertices[[#This Row],[Vertex]],Vertices[],MATCH("ID",Vertices[[#Headers],[Vertex]:[Vertex Group]],0),FALSE)</f>
        <v>12</v>
      </c>
    </row>
    <row r="117" spans="1:3" ht="15">
      <c r="A117" s="76" t="s">
        <v>443</v>
      </c>
      <c r="B117" s="79" t="s">
        <v>642</v>
      </c>
      <c r="C117" s="75">
        <f>VLOOKUP("~"&amp;GroupVertices[[#This Row],[Vertex]],Vertices[],MATCH("ID",Vertices[[#Headers],[Vertex]:[Vertex Group]],0),FALSE)</f>
        <v>143</v>
      </c>
    </row>
    <row r="118" spans="1:3" ht="15">
      <c r="A118" s="76" t="s">
        <v>443</v>
      </c>
      <c r="B118" s="79" t="s">
        <v>728</v>
      </c>
      <c r="C118" s="75">
        <f>VLOOKUP("~"&amp;GroupVertices[[#This Row],[Vertex]],Vertices[],MATCH("ID",Vertices[[#Headers],[Vertex]:[Vertex Group]],0),FALSE)</f>
        <v>148</v>
      </c>
    </row>
    <row r="119" spans="1:3" ht="15">
      <c r="A119" s="76" t="s">
        <v>443</v>
      </c>
      <c r="B119" s="79" t="s">
        <v>727</v>
      </c>
      <c r="C119" s="75">
        <f>VLOOKUP("~"&amp;GroupVertices[[#This Row],[Vertex]],Vertices[],MATCH("ID",Vertices[[#Headers],[Vertex]:[Vertex Group]],0),FALSE)</f>
        <v>147</v>
      </c>
    </row>
    <row r="120" spans="1:3" ht="15">
      <c r="A120" s="76" t="s">
        <v>443</v>
      </c>
      <c r="B120" s="79" t="s">
        <v>726</v>
      </c>
      <c r="C120" s="75">
        <f>VLOOKUP("~"&amp;GroupVertices[[#This Row],[Vertex]],Vertices[],MATCH("ID",Vertices[[#Headers],[Vertex]:[Vertex Group]],0),FALSE)</f>
        <v>146</v>
      </c>
    </row>
    <row r="121" spans="1:3" ht="15">
      <c r="A121" s="76" t="s">
        <v>443</v>
      </c>
      <c r="B121" s="79" t="s">
        <v>725</v>
      </c>
      <c r="C121" s="75">
        <f>VLOOKUP("~"&amp;GroupVertices[[#This Row],[Vertex]],Vertices[],MATCH("ID",Vertices[[#Headers],[Vertex]:[Vertex Group]],0),FALSE)</f>
        <v>145</v>
      </c>
    </row>
    <row r="122" spans="1:3" ht="15">
      <c r="A122" s="76" t="s">
        <v>443</v>
      </c>
      <c r="B122" s="79" t="s">
        <v>724</v>
      </c>
      <c r="C122" s="75">
        <f>VLOOKUP("~"&amp;GroupVertices[[#This Row],[Vertex]],Vertices[],MATCH("ID",Vertices[[#Headers],[Vertex]:[Vertex Group]],0),FALSE)</f>
        <v>144</v>
      </c>
    </row>
    <row r="123" spans="1:3" ht="15">
      <c r="A123" s="76" t="s">
        <v>444</v>
      </c>
      <c r="B123" s="79" t="s">
        <v>589</v>
      </c>
      <c r="C123" s="75">
        <f>VLOOKUP("~"&amp;GroupVertices[[#This Row],[Vertex]],Vertices[],MATCH("ID",Vertices[[#Headers],[Vertex]:[Vertex Group]],0),FALSE)</f>
        <v>19</v>
      </c>
    </row>
    <row r="124" spans="1:3" ht="15">
      <c r="A124" s="76" t="s">
        <v>444</v>
      </c>
      <c r="B124" s="79" t="s">
        <v>660</v>
      </c>
      <c r="C124" s="75">
        <f>VLOOKUP("~"&amp;GroupVertices[[#This Row],[Vertex]],Vertices[],MATCH("ID",Vertices[[#Headers],[Vertex]:[Vertex Group]],0),FALSE)</f>
        <v>24</v>
      </c>
    </row>
    <row r="125" spans="1:3" ht="15">
      <c r="A125" s="76" t="s">
        <v>444</v>
      </c>
      <c r="B125" s="79" t="s">
        <v>659</v>
      </c>
      <c r="C125" s="75">
        <f>VLOOKUP("~"&amp;GroupVertices[[#This Row],[Vertex]],Vertices[],MATCH("ID",Vertices[[#Headers],[Vertex]:[Vertex Group]],0),FALSE)</f>
        <v>23</v>
      </c>
    </row>
    <row r="126" spans="1:3" ht="15">
      <c r="A126" s="76" t="s">
        <v>444</v>
      </c>
      <c r="B126" s="79" t="s">
        <v>658</v>
      </c>
      <c r="C126" s="75">
        <f>VLOOKUP("~"&amp;GroupVertices[[#This Row],[Vertex]],Vertices[],MATCH("ID",Vertices[[#Headers],[Vertex]:[Vertex Group]],0),FALSE)</f>
        <v>22</v>
      </c>
    </row>
    <row r="127" spans="1:3" ht="15">
      <c r="A127" s="76" t="s">
        <v>444</v>
      </c>
      <c r="B127" s="79" t="s">
        <v>657</v>
      </c>
      <c r="C127" s="75">
        <f>VLOOKUP("~"&amp;GroupVertices[[#This Row],[Vertex]],Vertices[],MATCH("ID",Vertices[[#Headers],[Vertex]:[Vertex Group]],0),FALSE)</f>
        <v>21</v>
      </c>
    </row>
    <row r="128" spans="1:3" ht="15">
      <c r="A128" s="76" t="s">
        <v>444</v>
      </c>
      <c r="B128" s="79" t="s">
        <v>656</v>
      </c>
      <c r="C128" s="75">
        <f>VLOOKUP("~"&amp;GroupVertices[[#This Row],[Vertex]],Vertices[],MATCH("ID",Vertices[[#Headers],[Vertex]:[Vertex Group]],0),FALSE)</f>
        <v>20</v>
      </c>
    </row>
    <row r="129" spans="1:3" ht="15">
      <c r="A129" s="76" t="s">
        <v>445</v>
      </c>
      <c r="B129" s="79" t="s">
        <v>647</v>
      </c>
      <c r="C129" s="75">
        <f>VLOOKUP("~"&amp;GroupVertices[[#This Row],[Vertex]],Vertices[],MATCH("ID",Vertices[[#Headers],[Vertex]:[Vertex Group]],0),FALSE)</f>
        <v>154</v>
      </c>
    </row>
    <row r="130" spans="1:3" ht="15">
      <c r="A130" s="76" t="s">
        <v>445</v>
      </c>
      <c r="B130" s="79" t="s">
        <v>732</v>
      </c>
      <c r="C130" s="75">
        <f>VLOOKUP("~"&amp;GroupVertices[[#This Row],[Vertex]],Vertices[],MATCH("ID",Vertices[[#Headers],[Vertex]:[Vertex Group]],0),FALSE)</f>
        <v>158</v>
      </c>
    </row>
    <row r="131" spans="1:3" ht="15">
      <c r="A131" s="76" t="s">
        <v>445</v>
      </c>
      <c r="B131" s="79" t="s">
        <v>731</v>
      </c>
      <c r="C131" s="75">
        <f>VLOOKUP("~"&amp;GroupVertices[[#This Row],[Vertex]],Vertices[],MATCH("ID",Vertices[[#Headers],[Vertex]:[Vertex Group]],0),FALSE)</f>
        <v>157</v>
      </c>
    </row>
    <row r="132" spans="1:3" ht="15">
      <c r="A132" s="76" t="s">
        <v>445</v>
      </c>
      <c r="B132" s="79" t="s">
        <v>730</v>
      </c>
      <c r="C132" s="75">
        <f>VLOOKUP("~"&amp;GroupVertices[[#This Row],[Vertex]],Vertices[],MATCH("ID",Vertices[[#Headers],[Vertex]:[Vertex Group]],0),FALSE)</f>
        <v>156</v>
      </c>
    </row>
    <row r="133" spans="1:3" ht="15">
      <c r="A133" s="76" t="s">
        <v>445</v>
      </c>
      <c r="B133" s="79" t="s">
        <v>391</v>
      </c>
      <c r="C133" s="75">
        <f>VLOOKUP("~"&amp;GroupVertices[[#This Row],[Vertex]],Vertices[],MATCH("ID",Vertices[[#Headers],[Vertex]:[Vertex Group]],0),FALSE)</f>
        <v>155</v>
      </c>
    </row>
    <row r="134" spans="1:3" ht="15">
      <c r="A134" s="76" t="s">
        <v>446</v>
      </c>
      <c r="B134" s="79" t="s">
        <v>632</v>
      </c>
      <c r="C134" s="75">
        <f>VLOOKUP("~"&amp;GroupVertices[[#This Row],[Vertex]],Vertices[],MATCH("ID",Vertices[[#Headers],[Vertex]:[Vertex Group]],0),FALSE)</f>
        <v>109</v>
      </c>
    </row>
    <row r="135" spans="1:3" ht="15">
      <c r="A135" s="76" t="s">
        <v>446</v>
      </c>
      <c r="B135" s="79" t="s">
        <v>701</v>
      </c>
      <c r="C135" s="75">
        <f>VLOOKUP("~"&amp;GroupVertices[[#This Row],[Vertex]],Vertices[],MATCH("ID",Vertices[[#Headers],[Vertex]:[Vertex Group]],0),FALSE)</f>
        <v>112</v>
      </c>
    </row>
    <row r="136" spans="1:3" ht="15">
      <c r="A136" s="76" t="s">
        <v>446</v>
      </c>
      <c r="B136" s="79" t="s">
        <v>700</v>
      </c>
      <c r="C136" s="75">
        <f>VLOOKUP("~"&amp;GroupVertices[[#This Row],[Vertex]],Vertices[],MATCH("ID",Vertices[[#Headers],[Vertex]:[Vertex Group]],0),FALSE)</f>
        <v>111</v>
      </c>
    </row>
    <row r="137" spans="1:3" ht="15">
      <c r="A137" s="76" t="s">
        <v>446</v>
      </c>
      <c r="B137" s="79" t="s">
        <v>699</v>
      </c>
      <c r="C137" s="75">
        <f>VLOOKUP("~"&amp;GroupVertices[[#This Row],[Vertex]],Vertices[],MATCH("ID",Vertices[[#Headers],[Vertex]:[Vertex Group]],0),FALSE)</f>
        <v>110</v>
      </c>
    </row>
    <row r="138" spans="1:3" ht="15">
      <c r="A138" s="76" t="s">
        <v>447</v>
      </c>
      <c r="B138" s="79" t="s">
        <v>621</v>
      </c>
      <c r="C138" s="75">
        <f>VLOOKUP("~"&amp;GroupVertices[[#This Row],[Vertex]],Vertices[],MATCH("ID",Vertices[[#Headers],[Vertex]:[Vertex Group]],0),FALSE)</f>
        <v>96</v>
      </c>
    </row>
    <row r="139" spans="1:3" ht="15">
      <c r="A139" s="76" t="s">
        <v>447</v>
      </c>
      <c r="B139" s="79" t="s">
        <v>697</v>
      </c>
      <c r="C139" s="75">
        <f>VLOOKUP("~"&amp;GroupVertices[[#This Row],[Vertex]],Vertices[],MATCH("ID",Vertices[[#Headers],[Vertex]:[Vertex Group]],0),FALSE)</f>
        <v>98</v>
      </c>
    </row>
    <row r="140" spans="1:3" ht="15">
      <c r="A140" s="76" t="s">
        <v>447</v>
      </c>
      <c r="B140" s="79" t="s">
        <v>696</v>
      </c>
      <c r="C140" s="75">
        <f>VLOOKUP("~"&amp;GroupVertices[[#This Row],[Vertex]],Vertices[],MATCH("ID",Vertices[[#Headers],[Vertex]:[Vertex Group]],0),FALSE)</f>
        <v>97</v>
      </c>
    </row>
    <row r="141" spans="1:3" ht="15">
      <c r="A141" s="76" t="s">
        <v>448</v>
      </c>
      <c r="B141" s="79" t="s">
        <v>609</v>
      </c>
      <c r="C141" s="75">
        <f>VLOOKUP("~"&amp;GroupVertices[[#This Row],[Vertex]],Vertices[],MATCH("ID",Vertices[[#Headers],[Vertex]:[Vertex Group]],0),FALSE)</f>
        <v>79</v>
      </c>
    </row>
    <row r="142" spans="1:3" ht="15">
      <c r="A142" s="76" t="s">
        <v>448</v>
      </c>
      <c r="B142" s="79" t="s">
        <v>692</v>
      </c>
      <c r="C142" s="75">
        <f>VLOOKUP("~"&amp;GroupVertices[[#This Row],[Vertex]],Vertices[],MATCH("ID",Vertices[[#Headers],[Vertex]:[Vertex Group]],0),FALSE)</f>
        <v>81</v>
      </c>
    </row>
    <row r="143" spans="1:3" ht="15">
      <c r="A143" s="76" t="s">
        <v>448</v>
      </c>
      <c r="B143" s="79" t="s">
        <v>691</v>
      </c>
      <c r="C143" s="75">
        <f>VLOOKUP("~"&amp;GroupVertices[[#This Row],[Vertex]],Vertices[],MATCH("ID",Vertices[[#Headers],[Vertex]:[Vertex Group]],0),FALSE)</f>
        <v>80</v>
      </c>
    </row>
    <row r="144" spans="1:3" ht="15">
      <c r="A144" s="76" t="s">
        <v>449</v>
      </c>
      <c r="B144" s="79" t="s">
        <v>644</v>
      </c>
      <c r="C144" s="75">
        <f>VLOOKUP("~"&amp;GroupVertices[[#This Row],[Vertex]],Vertices[],MATCH("ID",Vertices[[#Headers],[Vertex]:[Vertex Group]],0),FALSE)</f>
        <v>150</v>
      </c>
    </row>
    <row r="145" spans="1:3" ht="15">
      <c r="A145" s="76" t="s">
        <v>449</v>
      </c>
      <c r="B145" s="79" t="s">
        <v>729</v>
      </c>
      <c r="C145" s="75">
        <f>VLOOKUP("~"&amp;GroupVertices[[#This Row],[Vertex]],Vertices[],MATCH("ID",Vertices[[#Headers],[Vertex]:[Vertex Group]],0),FALSE)</f>
        <v>151</v>
      </c>
    </row>
    <row r="146" spans="1:3" ht="15">
      <c r="A146" s="76" t="s">
        <v>450</v>
      </c>
      <c r="B146" s="79" t="s">
        <v>641</v>
      </c>
      <c r="C146" s="75">
        <f>VLOOKUP("~"&amp;GroupVertices[[#This Row],[Vertex]],Vertices[],MATCH("ID",Vertices[[#Headers],[Vertex]:[Vertex Group]],0),FALSE)</f>
        <v>141</v>
      </c>
    </row>
    <row r="147" spans="1:3" ht="15">
      <c r="A147" s="76" t="s">
        <v>450</v>
      </c>
      <c r="B147" s="79" t="s">
        <v>723</v>
      </c>
      <c r="C147" s="75">
        <f>VLOOKUP("~"&amp;GroupVertices[[#This Row],[Vertex]],Vertices[],MATCH("ID",Vertices[[#Headers],[Vertex]:[Vertex Group]],0),FALSE)</f>
        <v>142</v>
      </c>
    </row>
    <row r="148" spans="1:3" ht="15">
      <c r="A148" s="76" t="s">
        <v>451</v>
      </c>
      <c r="B148" s="79" t="s">
        <v>629</v>
      </c>
      <c r="C148" s="75">
        <f>VLOOKUP("~"&amp;GroupVertices[[#This Row],[Vertex]],Vertices[],MATCH("ID",Vertices[[#Headers],[Vertex]:[Vertex Group]],0),FALSE)</f>
        <v>105</v>
      </c>
    </row>
    <row r="149" spans="1:3" ht="15">
      <c r="A149" s="76" t="s">
        <v>451</v>
      </c>
      <c r="B149" s="79" t="s">
        <v>698</v>
      </c>
      <c r="C149" s="75">
        <f>VLOOKUP("~"&amp;GroupVertices[[#This Row],[Vertex]],Vertices[],MATCH("ID",Vertices[[#Headers],[Vertex]:[Vertex Group]],0),FALSE)</f>
        <v>106</v>
      </c>
    </row>
    <row r="150" spans="1:3" ht="15">
      <c r="A150" s="76" t="s">
        <v>452</v>
      </c>
      <c r="B150" s="79" t="s">
        <v>618</v>
      </c>
      <c r="C150" s="75">
        <f>VLOOKUP("~"&amp;GroupVertices[[#This Row],[Vertex]],Vertices[],MATCH("ID",Vertices[[#Headers],[Vertex]:[Vertex Group]],0),FALSE)</f>
        <v>92</v>
      </c>
    </row>
    <row r="151" spans="1:3" ht="15">
      <c r="A151" s="76" t="s">
        <v>452</v>
      </c>
      <c r="B151" s="79" t="s">
        <v>695</v>
      </c>
      <c r="C151" s="75">
        <f>VLOOKUP("~"&amp;GroupVertices[[#This Row],[Vertex]],Vertices[],MATCH("ID",Vertices[[#Headers],[Vertex]:[Vertex Group]],0),FALSE)</f>
        <v>93</v>
      </c>
    </row>
    <row r="152" spans="1:3" ht="15">
      <c r="A152" s="76" t="s">
        <v>453</v>
      </c>
      <c r="B152" s="79" t="s">
        <v>616</v>
      </c>
      <c r="C152" s="75">
        <f>VLOOKUP("~"&amp;GroupVertices[[#This Row],[Vertex]],Vertices[],MATCH("ID",Vertices[[#Headers],[Vertex]:[Vertex Group]],0),FALSE)</f>
        <v>89</v>
      </c>
    </row>
    <row r="153" spans="1:3" ht="15">
      <c r="A153" s="76" t="s">
        <v>453</v>
      </c>
      <c r="B153" s="79" t="s">
        <v>694</v>
      </c>
      <c r="C153" s="75">
        <f>VLOOKUP("~"&amp;GroupVertices[[#This Row],[Vertex]],Vertices[],MATCH("ID",Vertices[[#Headers],[Vertex]:[Vertex Group]],0),FALSE)</f>
        <v>90</v>
      </c>
    </row>
    <row r="154" spans="1:3" ht="15">
      <c r="A154" s="76" t="s">
        <v>454</v>
      </c>
      <c r="B154" s="79" t="s">
        <v>613</v>
      </c>
      <c r="C154" s="75">
        <f>VLOOKUP("~"&amp;GroupVertices[[#This Row],[Vertex]],Vertices[],MATCH("ID",Vertices[[#Headers],[Vertex]:[Vertex Group]],0),FALSE)</f>
        <v>85</v>
      </c>
    </row>
    <row r="155" spans="1:3" ht="15">
      <c r="A155" s="76" t="s">
        <v>454</v>
      </c>
      <c r="B155" s="79" t="s">
        <v>693</v>
      </c>
      <c r="C155" s="75">
        <f>VLOOKUP("~"&amp;GroupVertices[[#This Row],[Vertex]],Vertices[],MATCH("ID",Vertices[[#Headers],[Vertex]:[Vertex Group]],0),FALSE)</f>
        <v>86</v>
      </c>
    </row>
    <row r="156" spans="1:3" ht="15">
      <c r="A156" s="76" t="s">
        <v>455</v>
      </c>
      <c r="B156" s="79" t="s">
        <v>601</v>
      </c>
      <c r="C156" s="75">
        <f>VLOOKUP("~"&amp;GroupVertices[[#This Row],[Vertex]],Vertices[],MATCH("ID",Vertices[[#Headers],[Vertex]:[Vertex Group]],0),FALSE)</f>
        <v>70</v>
      </c>
    </row>
    <row r="157" spans="1:3" ht="15">
      <c r="A157" s="76" t="s">
        <v>455</v>
      </c>
      <c r="B157" s="79" t="s">
        <v>690</v>
      </c>
      <c r="C157" s="75">
        <f>VLOOKUP("~"&amp;GroupVertices[[#This Row],[Vertex]],Vertices[],MATCH("ID",Vertices[[#Headers],[Vertex]:[Vertex Group]],0),FALSE)</f>
        <v>71</v>
      </c>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53">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365</v>
      </c>
      <c r="B2" s="31" t="s">
        <v>333</v>
      </c>
      <c r="D2" s="29">
        <f>MIN(Vertices[Degree])</f>
        <v>0</v>
      </c>
      <c r="E2">
        <f>COUNTIF(Vertices[Degree],"&gt;= "&amp;D2)-COUNTIF(Vertices[Degree],"&gt;="&amp;D3)</f>
        <v>0</v>
      </c>
      <c r="F2" s="34">
        <f>MIN(Vertices[In-Degree])</f>
        <v>0</v>
      </c>
      <c r="G2" s="35">
        <f>COUNTIF(Vertices[In-Degree],"&gt;= "&amp;F2)-COUNTIF(Vertices[In-Degree],"&gt;="&amp;F3)</f>
        <v>133</v>
      </c>
      <c r="H2" s="34">
        <f>MIN(Vertices[Out-Degree])</f>
        <v>0</v>
      </c>
      <c r="I2" s="35">
        <f>COUNTIF(Vertices[Out-Degree],"&gt;= "&amp;H2)-COUNTIF(Vertices[Out-Degree],"&gt;="&amp;H3)</f>
        <v>88</v>
      </c>
      <c r="J2" s="34">
        <f>MIN(Vertices[Betweenness Centrality])</f>
        <v>0</v>
      </c>
      <c r="K2" s="35">
        <f>COUNTIF(Vertices[Betweenness Centrality],"&gt;= "&amp;J2)-COUNTIF(Vertices[Betweenness Centrality],"&gt;="&amp;J3)</f>
        <v>147</v>
      </c>
      <c r="L2" s="34">
        <f>MIN(Vertices[Closeness Centrality])</f>
        <v>0.295238</v>
      </c>
      <c r="M2" s="35">
        <f>COUNTIF(Vertices[Closeness Centrality],"&gt;= "&amp;L2)-COUNTIF(Vertices[Closeness Centrality],"&gt;="&amp;L3)</f>
        <v>37</v>
      </c>
      <c r="N2" s="34">
        <f>MIN(Vertices[Eigenvector Centrality])</f>
        <v>0.006373</v>
      </c>
      <c r="O2" s="35">
        <f>COUNTIF(Vertices[Eigenvector Centrality],"&gt;= "&amp;N2)-COUNTIF(Vertices[Eigenvector Centrality],"&gt;="&amp;N3)</f>
        <v>51</v>
      </c>
      <c r="P2" s="34">
        <f>MIN(Vertices[PageRank])</f>
        <v>0.005552</v>
      </c>
      <c r="Q2" s="35">
        <f>COUNTIF(Vertices[PageRank],"&gt;= "&amp;P2)-COUNTIF(Vertices[PageRank],"&gt;="&amp;P3)</f>
        <v>148</v>
      </c>
      <c r="R2" s="34">
        <f>MIN(Vertices[Clustering Coefficient])</f>
        <v>0</v>
      </c>
      <c r="S2" s="40">
        <f>COUNTIF(Vertices[Clustering Coefficient],"&gt;= "&amp;R2)-COUNTIF(Vertices[Clustering Coefficient],"&gt;="&amp;R3)</f>
        <v>132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1"/>
      <c r="B3" s="91"/>
      <c r="D3" s="29">
        <f aca="true" t="shared" si="1" ref="D3:D35">D2+($D$36-$D$2)/BinDivisor</f>
        <v>0</v>
      </c>
      <c r="E3">
        <f>COUNTIF(Vertices[Degree],"&gt;= "&amp;D3)-COUNTIF(Vertices[Degree],"&gt;="&amp;D4)</f>
        <v>0</v>
      </c>
      <c r="F3" s="36">
        <f aca="true" t="shared" si="2" ref="F3:F35">F2+($F$36-$F$2)/BinDivisor</f>
        <v>1.9705882352941178</v>
      </c>
      <c r="G3" s="37">
        <f>COUNTIF(Vertices[In-Degree],"&gt;= "&amp;F3)-COUNTIF(Vertices[In-Degree],"&gt;="&amp;F4)</f>
        <v>14</v>
      </c>
      <c r="H3" s="36">
        <f aca="true" t="shared" si="3" ref="H3:H35">H2+($H$36-$H$2)/BinDivisor</f>
        <v>0.9117647058823529</v>
      </c>
      <c r="I3" s="37">
        <f>COUNTIF(Vertices[Out-Degree],"&gt;= "&amp;H3)-COUNTIF(Vertices[Out-Degree],"&gt;="&amp;H4)</f>
        <v>37</v>
      </c>
      <c r="J3" s="36">
        <f aca="true" t="shared" si="4" ref="J3:J35">J2+($J$36-$J$2)/BinDivisor</f>
        <v>666.6535947647059</v>
      </c>
      <c r="K3" s="37">
        <f>COUNTIF(Vertices[Betweenness Centrality],"&gt;= "&amp;J3)-COUNTIF(Vertices[Betweenness Centrality],"&gt;="&amp;J4)</f>
        <v>4</v>
      </c>
      <c r="L3" s="36">
        <f aca="true" t="shared" si="5" ref="L3:L35">L2+($L$36-$L$2)/BinDivisor</f>
        <v>0.30737108823529413</v>
      </c>
      <c r="M3" s="37">
        <f>COUNTIF(Vertices[Closeness Centrality],"&gt;= "&amp;L3)-COUNTIF(Vertices[Closeness Centrality],"&gt;="&amp;L4)</f>
        <v>0</v>
      </c>
      <c r="N3" s="36">
        <f aca="true" t="shared" si="6" ref="N3:N35">N2+($N$36-$N$2)/BinDivisor</f>
        <v>0.026412529411764706</v>
      </c>
      <c r="O3" s="37">
        <f>COUNTIF(Vertices[Eigenvector Centrality],"&gt;= "&amp;N3)-COUNTIF(Vertices[Eigenvector Centrality],"&gt;="&amp;N4)</f>
        <v>7</v>
      </c>
      <c r="P3" s="36">
        <f aca="true" t="shared" si="7" ref="P3:P35">P2+($P$36-$P$2)/BinDivisor</f>
        <v>0.007332941176470587</v>
      </c>
      <c r="Q3" s="37">
        <f>COUNTIF(Vertices[PageRank],"&gt;= "&amp;P3)-COUNTIF(Vertices[PageRank],"&gt;="&amp;P4)</f>
        <v>3</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156</v>
      </c>
      <c r="D4" s="29">
        <f t="shared" si="1"/>
        <v>0</v>
      </c>
      <c r="E4">
        <f>COUNTIF(Vertices[Degree],"&gt;= "&amp;D4)-COUNTIF(Vertices[Degree],"&gt;="&amp;D5)</f>
        <v>0</v>
      </c>
      <c r="F4" s="34">
        <f t="shared" si="2"/>
        <v>3.9411764705882355</v>
      </c>
      <c r="G4" s="35">
        <f>COUNTIF(Vertices[In-Degree],"&gt;= "&amp;F4)-COUNTIF(Vertices[In-Degree],"&gt;="&amp;F5)</f>
        <v>8</v>
      </c>
      <c r="H4" s="34">
        <f t="shared" si="3"/>
        <v>1.8235294117647058</v>
      </c>
      <c r="I4" s="35">
        <f>COUNTIF(Vertices[Out-Degree],"&gt;= "&amp;H4)-COUNTIF(Vertices[Out-Degree],"&gt;="&amp;H5)</f>
        <v>17</v>
      </c>
      <c r="J4" s="34">
        <f t="shared" si="4"/>
        <v>1333.3071895294117</v>
      </c>
      <c r="K4" s="35">
        <f>COUNTIF(Vertices[Betweenness Centrality],"&gt;= "&amp;J4)-COUNTIF(Vertices[Betweenness Centrality],"&gt;="&amp;J5)</f>
        <v>3</v>
      </c>
      <c r="L4" s="34">
        <f t="shared" si="5"/>
        <v>0.31950417647058826</v>
      </c>
      <c r="M4" s="35">
        <f>COUNTIF(Vertices[Closeness Centrality],"&gt;= "&amp;L4)-COUNTIF(Vertices[Closeness Centrality],"&gt;="&amp;L5)</f>
        <v>21</v>
      </c>
      <c r="N4" s="34">
        <f t="shared" si="6"/>
        <v>0.046452058823529416</v>
      </c>
      <c r="O4" s="35">
        <f>COUNTIF(Vertices[Eigenvector Centrality],"&gt;= "&amp;N4)-COUNTIF(Vertices[Eigenvector Centrality],"&gt;="&amp;N5)</f>
        <v>65</v>
      </c>
      <c r="P4" s="34">
        <f t="shared" si="7"/>
        <v>0.009113882352941175</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1"/>
      <c r="B5" s="91"/>
      <c r="D5" s="29">
        <f t="shared" si="1"/>
        <v>0</v>
      </c>
      <c r="E5">
        <f>COUNTIF(Vertices[Degree],"&gt;= "&amp;D5)-COUNTIF(Vertices[Degree],"&gt;="&amp;D6)</f>
        <v>0</v>
      </c>
      <c r="F5" s="36">
        <f t="shared" si="2"/>
        <v>5.911764705882353</v>
      </c>
      <c r="G5" s="37">
        <f>COUNTIF(Vertices[In-Degree],"&gt;= "&amp;F5)-COUNTIF(Vertices[In-Degree],"&gt;="&amp;F6)</f>
        <v>0</v>
      </c>
      <c r="H5" s="36">
        <f t="shared" si="3"/>
        <v>2.735294117647059</v>
      </c>
      <c r="I5" s="37">
        <f>COUNTIF(Vertices[Out-Degree],"&gt;= "&amp;H5)-COUNTIF(Vertices[Out-Degree],"&gt;="&amp;H6)</f>
        <v>2</v>
      </c>
      <c r="J5" s="36">
        <f t="shared" si="4"/>
        <v>1999.9607842941177</v>
      </c>
      <c r="K5" s="37">
        <f>COUNTIF(Vertices[Betweenness Centrality],"&gt;= "&amp;J5)-COUNTIF(Vertices[Betweenness Centrality],"&gt;="&amp;J6)</f>
        <v>0</v>
      </c>
      <c r="L5" s="36">
        <f t="shared" si="5"/>
        <v>0.3316372647058824</v>
      </c>
      <c r="M5" s="37">
        <f>COUNTIF(Vertices[Closeness Centrality],"&gt;= "&amp;L5)-COUNTIF(Vertices[Closeness Centrality],"&gt;="&amp;L6)</f>
        <v>6</v>
      </c>
      <c r="N5" s="36">
        <f t="shared" si="6"/>
        <v>0.06649158823529412</v>
      </c>
      <c r="O5" s="37">
        <f>COUNTIF(Vertices[Eigenvector Centrality],"&gt;= "&amp;N5)-COUNTIF(Vertices[Eigenvector Centrality],"&gt;="&amp;N6)</f>
        <v>26</v>
      </c>
      <c r="P5" s="36">
        <f t="shared" si="7"/>
        <v>0.010894823529411762</v>
      </c>
      <c r="Q5" s="37">
        <f>COUNTIF(Vertices[PageRank],"&gt;= "&amp;P5)-COUNTIF(Vertices[PageRank],"&gt;="&amp;P6)</f>
        <v>0</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206</v>
      </c>
      <c r="D6" s="29">
        <f t="shared" si="1"/>
        <v>0</v>
      </c>
      <c r="E6">
        <f>COUNTIF(Vertices[Degree],"&gt;= "&amp;D6)-COUNTIF(Vertices[Degree],"&gt;="&amp;D7)</f>
        <v>0</v>
      </c>
      <c r="F6" s="34">
        <f t="shared" si="2"/>
        <v>7.882352941176471</v>
      </c>
      <c r="G6" s="35">
        <f>COUNTIF(Vertices[In-Degree],"&gt;= "&amp;F6)-COUNTIF(Vertices[In-Degree],"&gt;="&amp;F7)</f>
        <v>0</v>
      </c>
      <c r="H6" s="34">
        <f t="shared" si="3"/>
        <v>3.6470588235294117</v>
      </c>
      <c r="I6" s="35">
        <f>COUNTIF(Vertices[Out-Degree],"&gt;= "&amp;H6)-COUNTIF(Vertices[Out-Degree],"&gt;="&amp;H7)</f>
        <v>2</v>
      </c>
      <c r="J6" s="34">
        <f t="shared" si="4"/>
        <v>2666.6143790588235</v>
      </c>
      <c r="K6" s="35">
        <f>COUNTIF(Vertices[Betweenness Centrality],"&gt;= "&amp;J6)-COUNTIF(Vertices[Betweenness Centrality],"&gt;="&amp;J7)</f>
        <v>0</v>
      </c>
      <c r="L6" s="34">
        <f t="shared" si="5"/>
        <v>0.3437703529411765</v>
      </c>
      <c r="M6" s="35">
        <f>COUNTIF(Vertices[Closeness Centrality],"&gt;= "&amp;L6)-COUNTIF(Vertices[Closeness Centrality],"&gt;="&amp;L7)</f>
        <v>0</v>
      </c>
      <c r="N6" s="34">
        <f t="shared" si="6"/>
        <v>0.08653111764705883</v>
      </c>
      <c r="O6" s="35">
        <f>COUNTIF(Vertices[Eigenvector Centrality],"&gt;= "&amp;N6)-COUNTIF(Vertices[Eigenvector Centrality],"&gt;="&amp;N7)</f>
        <v>1</v>
      </c>
      <c r="P6" s="34">
        <f t="shared" si="7"/>
        <v>0.01267576470588235</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9.852941176470589</v>
      </c>
      <c r="G7" s="37">
        <f>COUNTIF(Vertices[In-Degree],"&gt;= "&amp;F7)-COUNTIF(Vertices[In-Degree],"&gt;="&amp;F8)</f>
        <v>0</v>
      </c>
      <c r="H7" s="36">
        <f t="shared" si="3"/>
        <v>4.5588235294117645</v>
      </c>
      <c r="I7" s="37">
        <f>COUNTIF(Vertices[Out-Degree],"&gt;= "&amp;H7)-COUNTIF(Vertices[Out-Degree],"&gt;="&amp;H8)</f>
        <v>1</v>
      </c>
      <c r="J7" s="36">
        <f t="shared" si="4"/>
        <v>3333.2679738235292</v>
      </c>
      <c r="K7" s="37">
        <f>COUNTIF(Vertices[Betweenness Centrality],"&gt;= "&amp;J7)-COUNTIF(Vertices[Betweenness Centrality],"&gt;="&amp;J8)</f>
        <v>0</v>
      </c>
      <c r="L7" s="36">
        <f t="shared" si="5"/>
        <v>0.35590344117647066</v>
      </c>
      <c r="M7" s="37">
        <f>COUNTIF(Vertices[Closeness Centrality],"&gt;= "&amp;L7)-COUNTIF(Vertices[Closeness Centrality],"&gt;="&amp;L8)</f>
        <v>0</v>
      </c>
      <c r="N7" s="36">
        <f t="shared" si="6"/>
        <v>0.10657064705882353</v>
      </c>
      <c r="O7" s="37">
        <f>COUNTIF(Vertices[Eigenvector Centrality],"&gt;= "&amp;N7)-COUNTIF(Vertices[Eigenvector Centrality],"&gt;="&amp;N8)</f>
        <v>1</v>
      </c>
      <c r="P7" s="36">
        <f t="shared" si="7"/>
        <v>0.014456705882352937</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206</v>
      </c>
      <c r="D8" s="29">
        <f t="shared" si="1"/>
        <v>0</v>
      </c>
      <c r="E8">
        <f>COUNTIF(Vertices[Degree],"&gt;= "&amp;D8)-COUNTIF(Vertices[Degree],"&gt;="&amp;D9)</f>
        <v>0</v>
      </c>
      <c r="F8" s="34">
        <f t="shared" si="2"/>
        <v>11.823529411764707</v>
      </c>
      <c r="G8" s="35">
        <f>COUNTIF(Vertices[In-Degree],"&gt;= "&amp;F8)-COUNTIF(Vertices[In-Degree],"&gt;="&amp;F9)</f>
        <v>0</v>
      </c>
      <c r="H8" s="34">
        <f t="shared" si="3"/>
        <v>5.470588235294118</v>
      </c>
      <c r="I8" s="35">
        <f>COUNTIF(Vertices[Out-Degree],"&gt;= "&amp;H8)-COUNTIF(Vertices[Out-Degree],"&gt;="&amp;H9)</f>
        <v>2</v>
      </c>
      <c r="J8" s="34">
        <f t="shared" si="4"/>
        <v>3999.921568588235</v>
      </c>
      <c r="K8" s="35">
        <f>COUNTIF(Vertices[Betweenness Centrality],"&gt;= "&amp;J8)-COUNTIF(Vertices[Betweenness Centrality],"&gt;="&amp;J9)</f>
        <v>0</v>
      </c>
      <c r="L8" s="34">
        <f t="shared" si="5"/>
        <v>0.3680365294117648</v>
      </c>
      <c r="M8" s="35">
        <f>COUNTIF(Vertices[Closeness Centrality],"&gt;= "&amp;L8)-COUNTIF(Vertices[Closeness Centrality],"&gt;="&amp;L9)</f>
        <v>0</v>
      </c>
      <c r="N8" s="34">
        <f t="shared" si="6"/>
        <v>0.12661017647058825</v>
      </c>
      <c r="O8" s="35">
        <f>COUNTIF(Vertices[Eigenvector Centrality],"&gt;= "&amp;N8)-COUNTIF(Vertices[Eigenvector Centrality],"&gt;="&amp;N9)</f>
        <v>3</v>
      </c>
      <c r="P8" s="34">
        <f t="shared" si="7"/>
        <v>0.016237647058823527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91"/>
      <c r="B9" s="91"/>
      <c r="D9" s="29">
        <f t="shared" si="1"/>
        <v>0</v>
      </c>
      <c r="E9">
        <f>COUNTIF(Vertices[Degree],"&gt;= "&amp;D9)-COUNTIF(Vertices[Degree],"&gt;="&amp;D10)</f>
        <v>0</v>
      </c>
      <c r="F9" s="36">
        <f t="shared" si="2"/>
        <v>13.794117647058824</v>
      </c>
      <c r="G9" s="37">
        <f>COUNTIF(Vertices[In-Degree],"&gt;= "&amp;F9)-COUNTIF(Vertices[In-Degree],"&gt;="&amp;F10)</f>
        <v>0</v>
      </c>
      <c r="H9" s="36">
        <f t="shared" si="3"/>
        <v>6.382352941176471</v>
      </c>
      <c r="I9" s="37">
        <f>COUNTIF(Vertices[Out-Degree],"&gt;= "&amp;H9)-COUNTIF(Vertices[Out-Degree],"&gt;="&amp;H10)</f>
        <v>1</v>
      </c>
      <c r="J9" s="36">
        <f t="shared" si="4"/>
        <v>4666.575163352941</v>
      </c>
      <c r="K9" s="37">
        <f>COUNTIF(Vertices[Betweenness Centrality],"&gt;= "&amp;J9)-COUNTIF(Vertices[Betweenness Centrality],"&gt;="&amp;J10)</f>
        <v>0</v>
      </c>
      <c r="L9" s="36">
        <f t="shared" si="5"/>
        <v>0.3801696176470589</v>
      </c>
      <c r="M9" s="37">
        <f>COUNTIF(Vertices[Closeness Centrality],"&gt;= "&amp;L9)-COUNTIF(Vertices[Closeness Centrality],"&gt;="&amp;L10)</f>
        <v>0</v>
      </c>
      <c r="N9" s="36">
        <f t="shared" si="6"/>
        <v>0.14664970588235296</v>
      </c>
      <c r="O9" s="37">
        <f>COUNTIF(Vertices[Eigenvector Centrality],"&gt;= "&amp;N9)-COUNTIF(Vertices[Eigenvector Centrality],"&gt;="&amp;N10)</f>
        <v>0</v>
      </c>
      <c r="P9" s="36">
        <f t="shared" si="7"/>
        <v>0.018018588235294116</v>
      </c>
      <c r="Q9" s="37">
        <f>COUNTIF(Vertices[PageRank],"&gt;= "&amp;P9)-COUNTIF(Vertices[PageRank],"&gt;="&amp;P10)</f>
        <v>0</v>
      </c>
      <c r="R9" s="36">
        <f t="shared" si="8"/>
        <v>0.2058823529411765</v>
      </c>
      <c r="S9" s="41">
        <f>COUNTIF(Vertices[Clustering Coefficient],"&gt;= "&amp;R9)-COUNTIF(Vertices[Clustering Coefficient],"&gt;="&amp;R10)</f>
        <v>2</v>
      </c>
      <c r="T9" s="36" t="e">
        <f ca="1" t="shared" si="9"/>
        <v>#REF!</v>
      </c>
      <c r="U9" s="37" t="e">
        <f ca="1" t="shared" si="0"/>
        <v>#REF!</v>
      </c>
    </row>
    <row r="10" spans="1:21" ht="15">
      <c r="A10" s="31" t="s">
        <v>151</v>
      </c>
      <c r="B10" s="31">
        <v>5</v>
      </c>
      <c r="D10" s="29">
        <f t="shared" si="1"/>
        <v>0</v>
      </c>
      <c r="E10">
        <f>COUNTIF(Vertices[Degree],"&gt;= "&amp;D10)-COUNTIF(Vertices[Degree],"&gt;="&amp;D11)</f>
        <v>0</v>
      </c>
      <c r="F10" s="34">
        <f t="shared" si="2"/>
        <v>15.764705882352942</v>
      </c>
      <c r="G10" s="35">
        <f>COUNTIF(Vertices[In-Degree],"&gt;= "&amp;F10)-COUNTIF(Vertices[In-Degree],"&gt;="&amp;F11)</f>
        <v>0</v>
      </c>
      <c r="H10" s="34">
        <f t="shared" si="3"/>
        <v>7.294117647058824</v>
      </c>
      <c r="I10" s="35">
        <f>COUNTIF(Vertices[Out-Degree],"&gt;= "&amp;H10)-COUNTIF(Vertices[Out-Degree],"&gt;="&amp;H11)</f>
        <v>0</v>
      </c>
      <c r="J10" s="34">
        <f t="shared" si="4"/>
        <v>5333.228758117647</v>
      </c>
      <c r="K10" s="35">
        <f>COUNTIF(Vertices[Betweenness Centrality],"&gt;= "&amp;J10)-COUNTIF(Vertices[Betweenness Centrality],"&gt;="&amp;J11)</f>
        <v>1</v>
      </c>
      <c r="L10" s="34">
        <f t="shared" si="5"/>
        <v>0.39230270588235305</v>
      </c>
      <c r="M10" s="35">
        <f>COUNTIF(Vertices[Closeness Centrality],"&gt;= "&amp;L10)-COUNTIF(Vertices[Closeness Centrality],"&gt;="&amp;L11)</f>
        <v>0</v>
      </c>
      <c r="N10" s="34">
        <f t="shared" si="6"/>
        <v>0.16668923529411767</v>
      </c>
      <c r="O10" s="35">
        <f>COUNTIF(Vertices[Eigenvector Centrality],"&gt;= "&amp;N10)-COUNTIF(Vertices[Eigenvector Centrality],"&gt;="&amp;N11)</f>
        <v>0</v>
      </c>
      <c r="P10" s="34">
        <f t="shared" si="7"/>
        <v>0.019799529411764705</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91"/>
      <c r="B11" s="91"/>
      <c r="D11" s="29">
        <f t="shared" si="1"/>
        <v>0</v>
      </c>
      <c r="E11">
        <f>COUNTIF(Vertices[Degree],"&gt;= "&amp;D11)-COUNTIF(Vertices[Degree],"&gt;="&amp;D12)</f>
        <v>0</v>
      </c>
      <c r="F11" s="36">
        <f t="shared" si="2"/>
        <v>17.735294117647058</v>
      </c>
      <c r="G11" s="37">
        <f>COUNTIF(Vertices[In-Degree],"&gt;= "&amp;F11)-COUNTIF(Vertices[In-Degree],"&gt;="&amp;F12)</f>
        <v>0</v>
      </c>
      <c r="H11" s="36">
        <f t="shared" si="3"/>
        <v>8.205882352941178</v>
      </c>
      <c r="I11" s="37">
        <f>COUNTIF(Vertices[Out-Degree],"&gt;= "&amp;H11)-COUNTIF(Vertices[Out-Degree],"&gt;="&amp;H12)</f>
        <v>3</v>
      </c>
      <c r="J11" s="36">
        <f t="shared" si="4"/>
        <v>5999.882352882353</v>
      </c>
      <c r="K11" s="37">
        <f>COUNTIF(Vertices[Betweenness Centrality],"&gt;= "&amp;J11)-COUNTIF(Vertices[Betweenness Centrality],"&gt;="&amp;J12)</f>
        <v>0</v>
      </c>
      <c r="L11" s="36">
        <f t="shared" si="5"/>
        <v>0.4044357941176472</v>
      </c>
      <c r="M11" s="37">
        <f>COUNTIF(Vertices[Closeness Centrality],"&gt;= "&amp;L11)-COUNTIF(Vertices[Closeness Centrality],"&gt;="&amp;L12)</f>
        <v>61</v>
      </c>
      <c r="N11" s="36">
        <f t="shared" si="6"/>
        <v>0.18672876470588237</v>
      </c>
      <c r="O11" s="37">
        <f>COUNTIF(Vertices[Eigenvector Centrality],"&gt;= "&amp;N11)-COUNTIF(Vertices[Eigenvector Centrality],"&gt;="&amp;N12)</f>
        <v>1</v>
      </c>
      <c r="P11" s="36">
        <f t="shared" si="7"/>
        <v>0.021580470588235295</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170</v>
      </c>
      <c r="B12" s="31">
        <v>0.03608247422680412</v>
      </c>
      <c r="D12" s="29">
        <f t="shared" si="1"/>
        <v>0</v>
      </c>
      <c r="E12">
        <f>COUNTIF(Vertices[Degree],"&gt;= "&amp;D12)-COUNTIF(Vertices[Degree],"&gt;="&amp;D13)</f>
        <v>0</v>
      </c>
      <c r="F12" s="34">
        <f t="shared" si="2"/>
        <v>19.705882352941174</v>
      </c>
      <c r="G12" s="35">
        <f>COUNTIF(Vertices[In-Degree],"&gt;= "&amp;F12)-COUNTIF(Vertices[In-Degree],"&gt;="&amp;F13)</f>
        <v>0</v>
      </c>
      <c r="H12" s="34">
        <f t="shared" si="3"/>
        <v>9.11764705882353</v>
      </c>
      <c r="I12" s="35">
        <f>COUNTIF(Vertices[Out-Degree],"&gt;= "&amp;H12)-COUNTIF(Vertices[Out-Degree],"&gt;="&amp;H13)</f>
        <v>1</v>
      </c>
      <c r="J12" s="34">
        <f t="shared" si="4"/>
        <v>6666.535947647059</v>
      </c>
      <c r="K12" s="35">
        <f>COUNTIF(Vertices[Betweenness Centrality],"&gt;= "&amp;J12)-COUNTIF(Vertices[Betweenness Centrality],"&gt;="&amp;J13)</f>
        <v>0</v>
      </c>
      <c r="L12" s="34">
        <f t="shared" si="5"/>
        <v>0.4165688823529413</v>
      </c>
      <c r="M12" s="35">
        <f>COUNTIF(Vertices[Closeness Centrality],"&gt;= "&amp;L12)-COUNTIF(Vertices[Closeness Centrality],"&gt;="&amp;L13)</f>
        <v>24</v>
      </c>
      <c r="N12" s="34">
        <f t="shared" si="6"/>
        <v>0.20676829411764708</v>
      </c>
      <c r="O12" s="35">
        <f>COUNTIF(Vertices[Eigenvector Centrality],"&gt;= "&amp;N12)-COUNTIF(Vertices[Eigenvector Centrality],"&gt;="&amp;N13)</f>
        <v>0</v>
      </c>
      <c r="P12" s="34">
        <f t="shared" si="7"/>
        <v>0.023361411764705884</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171</v>
      </c>
      <c r="B13" s="31">
        <v>0.06965174129353234</v>
      </c>
      <c r="D13" s="29">
        <f t="shared" si="1"/>
        <v>0</v>
      </c>
      <c r="E13">
        <f>COUNTIF(Vertices[Degree],"&gt;= "&amp;D13)-COUNTIF(Vertices[Degree],"&gt;="&amp;D14)</f>
        <v>0</v>
      </c>
      <c r="F13" s="36">
        <f t="shared" si="2"/>
        <v>21.67647058823529</v>
      </c>
      <c r="G13" s="37">
        <f>COUNTIF(Vertices[In-Degree],"&gt;= "&amp;F13)-COUNTIF(Vertices[In-Degree],"&gt;="&amp;F14)</f>
        <v>0</v>
      </c>
      <c r="H13" s="36">
        <f t="shared" si="3"/>
        <v>10.029411764705884</v>
      </c>
      <c r="I13" s="37">
        <f>COUNTIF(Vertices[Out-Degree],"&gt;= "&amp;H13)-COUNTIF(Vertices[Out-Degree],"&gt;="&amp;H14)</f>
        <v>0</v>
      </c>
      <c r="J13" s="36">
        <f t="shared" si="4"/>
        <v>7333.189542411766</v>
      </c>
      <c r="K13" s="37">
        <f>COUNTIF(Vertices[Betweenness Centrality],"&gt;= "&amp;J13)-COUNTIF(Vertices[Betweenness Centrality],"&gt;="&amp;J14)</f>
        <v>0</v>
      </c>
      <c r="L13" s="36">
        <f t="shared" si="5"/>
        <v>0.42870197058823545</v>
      </c>
      <c r="M13" s="37">
        <f>COUNTIF(Vertices[Closeness Centrality],"&gt;= "&amp;L13)-COUNTIF(Vertices[Closeness Centrality],"&gt;="&amp;L14)</f>
        <v>1</v>
      </c>
      <c r="N13" s="36">
        <f t="shared" si="6"/>
        <v>0.22680782352941178</v>
      </c>
      <c r="O13" s="37">
        <f>COUNTIF(Vertices[Eigenvector Centrality],"&gt;= "&amp;N13)-COUNTIF(Vertices[Eigenvector Centrality],"&gt;="&amp;N14)</f>
        <v>0</v>
      </c>
      <c r="P13" s="36">
        <f t="shared" si="7"/>
        <v>0.025142352941176473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91"/>
      <c r="B14" s="91"/>
      <c r="D14" s="29">
        <f t="shared" si="1"/>
        <v>0</v>
      </c>
      <c r="E14">
        <f>COUNTIF(Vertices[Degree],"&gt;= "&amp;D14)-COUNTIF(Vertices[Degree],"&gt;="&amp;D15)</f>
        <v>0</v>
      </c>
      <c r="F14" s="34">
        <f t="shared" si="2"/>
        <v>23.647058823529406</v>
      </c>
      <c r="G14" s="35">
        <f>COUNTIF(Vertices[In-Degree],"&gt;= "&amp;F14)-COUNTIF(Vertices[In-Degree],"&gt;="&amp;F15)</f>
        <v>0</v>
      </c>
      <c r="H14" s="34">
        <f t="shared" si="3"/>
        <v>10.941176470588237</v>
      </c>
      <c r="I14" s="35">
        <f>COUNTIF(Vertices[Out-Degree],"&gt;= "&amp;H14)-COUNTIF(Vertices[Out-Degree],"&gt;="&amp;H15)</f>
        <v>0</v>
      </c>
      <c r="J14" s="34">
        <f t="shared" si="4"/>
        <v>7999.843137176472</v>
      </c>
      <c r="K14" s="35">
        <f>COUNTIF(Vertices[Betweenness Centrality],"&gt;= "&amp;J14)-COUNTIF(Vertices[Betweenness Centrality],"&gt;="&amp;J15)</f>
        <v>0</v>
      </c>
      <c r="L14" s="34">
        <f t="shared" si="5"/>
        <v>0.4408350588235296</v>
      </c>
      <c r="M14" s="35">
        <f>COUNTIF(Vertices[Closeness Centrality],"&gt;= "&amp;L14)-COUNTIF(Vertices[Closeness Centrality],"&gt;="&amp;L15)</f>
        <v>0</v>
      </c>
      <c r="N14" s="34">
        <f t="shared" si="6"/>
        <v>0.2468473529411765</v>
      </c>
      <c r="O14" s="35">
        <f>COUNTIF(Vertices[Eigenvector Centrality],"&gt;= "&amp;N14)-COUNTIF(Vertices[Eigenvector Centrality],"&gt;="&amp;N15)</f>
        <v>0</v>
      </c>
      <c r="P14" s="34">
        <f t="shared" si="7"/>
        <v>0.026923294117647063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25.617647058823522</v>
      </c>
      <c r="G15" s="37">
        <f>COUNTIF(Vertices[In-Degree],"&gt;= "&amp;F15)-COUNTIF(Vertices[In-Degree],"&gt;="&amp;F16)</f>
        <v>0</v>
      </c>
      <c r="H15" s="36">
        <f t="shared" si="3"/>
        <v>11.85294117647059</v>
      </c>
      <c r="I15" s="37">
        <f>COUNTIF(Vertices[Out-Degree],"&gt;= "&amp;H15)-COUNTIF(Vertices[Out-Degree],"&gt;="&amp;H16)</f>
        <v>0</v>
      </c>
      <c r="J15" s="36">
        <f t="shared" si="4"/>
        <v>8666.496731941177</v>
      </c>
      <c r="K15" s="37">
        <f>COUNTIF(Vertices[Betweenness Centrality],"&gt;= "&amp;J15)-COUNTIF(Vertices[Betweenness Centrality],"&gt;="&amp;J16)</f>
        <v>0</v>
      </c>
      <c r="L15" s="36">
        <f t="shared" si="5"/>
        <v>0.4529681470588237</v>
      </c>
      <c r="M15" s="37">
        <f>COUNTIF(Vertices[Closeness Centrality],"&gt;= "&amp;L15)-COUNTIF(Vertices[Closeness Centrality],"&gt;="&amp;L16)</f>
        <v>4</v>
      </c>
      <c r="N15" s="36">
        <f t="shared" si="6"/>
        <v>0.2668868823529412</v>
      </c>
      <c r="O15" s="37">
        <f>COUNTIF(Vertices[Eigenvector Centrality],"&gt;= "&amp;N15)-COUNTIF(Vertices[Eigenvector Centrality],"&gt;="&amp;N16)</f>
        <v>0</v>
      </c>
      <c r="P15" s="36">
        <f t="shared" si="7"/>
        <v>0.028704235294117652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27.588235294117638</v>
      </c>
      <c r="G16" s="35">
        <f>COUNTIF(Vertices[In-Degree],"&gt;= "&amp;F16)-COUNTIF(Vertices[In-Degree],"&gt;="&amp;F17)</f>
        <v>0</v>
      </c>
      <c r="H16" s="34">
        <f t="shared" si="3"/>
        <v>12.764705882352944</v>
      </c>
      <c r="I16" s="35">
        <f>COUNTIF(Vertices[Out-Degree],"&gt;= "&amp;H16)-COUNTIF(Vertices[Out-Degree],"&gt;="&amp;H17)</f>
        <v>0</v>
      </c>
      <c r="J16" s="34">
        <f t="shared" si="4"/>
        <v>9333.150326705883</v>
      </c>
      <c r="K16" s="35">
        <f>COUNTIF(Vertices[Betweenness Centrality],"&gt;= "&amp;J16)-COUNTIF(Vertices[Betweenness Centrality],"&gt;="&amp;J17)</f>
        <v>0</v>
      </c>
      <c r="L16" s="34">
        <f t="shared" si="5"/>
        <v>0.46510123529411784</v>
      </c>
      <c r="M16" s="35">
        <f>COUNTIF(Vertices[Closeness Centrality],"&gt;= "&amp;L16)-COUNTIF(Vertices[Closeness Centrality],"&gt;="&amp;L17)</f>
        <v>0</v>
      </c>
      <c r="N16" s="34">
        <f t="shared" si="6"/>
        <v>0.2869264117647059</v>
      </c>
      <c r="O16" s="35">
        <f>COUNTIF(Vertices[Eigenvector Centrality],"&gt;= "&amp;N16)-COUNTIF(Vertices[Eigenvector Centrality],"&gt;="&amp;N17)</f>
        <v>0</v>
      </c>
      <c r="P16" s="34">
        <f t="shared" si="7"/>
        <v>0.03048517647058824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154</v>
      </c>
      <c r="B17" s="31">
        <v>156</v>
      </c>
      <c r="D17" s="29">
        <f t="shared" si="1"/>
        <v>0</v>
      </c>
      <c r="E17">
        <f>COUNTIF(Vertices[Degree],"&gt;= "&amp;D17)-COUNTIF(Vertices[Degree],"&gt;="&amp;D18)</f>
        <v>0</v>
      </c>
      <c r="F17" s="36">
        <f t="shared" si="2"/>
        <v>29.558823529411754</v>
      </c>
      <c r="G17" s="37">
        <f>COUNTIF(Vertices[In-Degree],"&gt;= "&amp;F17)-COUNTIF(Vertices[In-Degree],"&gt;="&amp;F18)</f>
        <v>0</v>
      </c>
      <c r="H17" s="36">
        <f t="shared" si="3"/>
        <v>13.676470588235297</v>
      </c>
      <c r="I17" s="37">
        <f>COUNTIF(Vertices[Out-Degree],"&gt;= "&amp;H17)-COUNTIF(Vertices[Out-Degree],"&gt;="&amp;H18)</f>
        <v>0</v>
      </c>
      <c r="J17" s="36">
        <f t="shared" si="4"/>
        <v>9999.80392147059</v>
      </c>
      <c r="K17" s="37">
        <f>COUNTIF(Vertices[Betweenness Centrality],"&gt;= "&amp;J17)-COUNTIF(Vertices[Betweenness Centrality],"&gt;="&amp;J18)</f>
        <v>0</v>
      </c>
      <c r="L17" s="36">
        <f t="shared" si="5"/>
        <v>0.477234323529412</v>
      </c>
      <c r="M17" s="37">
        <f>COUNTIF(Vertices[Closeness Centrality],"&gt;= "&amp;L17)-COUNTIF(Vertices[Closeness Centrality],"&gt;="&amp;L18)</f>
        <v>0</v>
      </c>
      <c r="N17" s="36">
        <f t="shared" si="6"/>
        <v>0.3069659411764706</v>
      </c>
      <c r="O17" s="37">
        <f>COUNTIF(Vertices[Eigenvector Centrality],"&gt;= "&amp;N17)-COUNTIF(Vertices[Eigenvector Centrality],"&gt;="&amp;N18)</f>
        <v>0</v>
      </c>
      <c r="P17" s="36">
        <f t="shared" si="7"/>
        <v>0.03226611764705883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155</v>
      </c>
      <c r="B18" s="31">
        <v>206</v>
      </c>
      <c r="D18" s="29">
        <f t="shared" si="1"/>
        <v>0</v>
      </c>
      <c r="E18">
        <f>COUNTIF(Vertices[Degree],"&gt;= "&amp;D18)-COUNTIF(Vertices[Degree],"&gt;="&amp;D19)</f>
        <v>0</v>
      </c>
      <c r="F18" s="34">
        <f t="shared" si="2"/>
        <v>31.52941176470587</v>
      </c>
      <c r="G18" s="35">
        <f>COUNTIF(Vertices[In-Degree],"&gt;= "&amp;F18)-COUNTIF(Vertices[In-Degree],"&gt;="&amp;F19)</f>
        <v>0</v>
      </c>
      <c r="H18" s="34">
        <f t="shared" si="3"/>
        <v>14.58823529411765</v>
      </c>
      <c r="I18" s="35">
        <f>COUNTIF(Vertices[Out-Degree],"&gt;= "&amp;H18)-COUNTIF(Vertices[Out-Degree],"&gt;="&amp;H19)</f>
        <v>0</v>
      </c>
      <c r="J18" s="34">
        <f t="shared" si="4"/>
        <v>10666.457516235296</v>
      </c>
      <c r="K18" s="35">
        <f>COUNTIF(Vertices[Betweenness Centrality],"&gt;= "&amp;J18)-COUNTIF(Vertices[Betweenness Centrality],"&gt;="&amp;J19)</f>
        <v>0</v>
      </c>
      <c r="L18" s="34">
        <f t="shared" si="5"/>
        <v>0.4893674117647061</v>
      </c>
      <c r="M18" s="35">
        <f>COUNTIF(Vertices[Closeness Centrality],"&gt;= "&amp;L18)-COUNTIF(Vertices[Closeness Centrality],"&gt;="&amp;L19)</f>
        <v>1</v>
      </c>
      <c r="N18" s="34">
        <f t="shared" si="6"/>
        <v>0.32700547058823526</v>
      </c>
      <c r="O18" s="35">
        <f>COUNTIF(Vertices[Eigenvector Centrality],"&gt;= "&amp;N18)-COUNTIF(Vertices[Eigenvector Centrality],"&gt;="&amp;N19)</f>
        <v>0</v>
      </c>
      <c r="P18" s="34">
        <f t="shared" si="7"/>
        <v>0.034047058823529416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91"/>
      <c r="B19" s="91"/>
      <c r="D19" s="29">
        <f t="shared" si="1"/>
        <v>0</v>
      </c>
      <c r="E19">
        <f>COUNTIF(Vertices[Degree],"&gt;= "&amp;D19)-COUNTIF(Vertices[Degree],"&gt;="&amp;D20)</f>
        <v>0</v>
      </c>
      <c r="F19" s="36">
        <f t="shared" si="2"/>
        <v>33.499999999999986</v>
      </c>
      <c r="G19" s="37">
        <f>COUNTIF(Vertices[In-Degree],"&gt;= "&amp;F19)-COUNTIF(Vertices[In-Degree],"&gt;="&amp;F20)</f>
        <v>0</v>
      </c>
      <c r="H19" s="36">
        <f t="shared" si="3"/>
        <v>15.500000000000004</v>
      </c>
      <c r="I19" s="37">
        <f>COUNTIF(Vertices[Out-Degree],"&gt;= "&amp;H19)-COUNTIF(Vertices[Out-Degree],"&gt;="&amp;H20)</f>
        <v>0</v>
      </c>
      <c r="J19" s="36">
        <f t="shared" si="4"/>
        <v>11333.111111000002</v>
      </c>
      <c r="K19" s="37">
        <f>COUNTIF(Vertices[Betweenness Centrality],"&gt;= "&amp;J19)-COUNTIF(Vertices[Betweenness Centrality],"&gt;="&amp;J20)</f>
        <v>0</v>
      </c>
      <c r="L19" s="36">
        <f t="shared" si="5"/>
        <v>0.5015005000000002</v>
      </c>
      <c r="M19" s="37">
        <f>COUNTIF(Vertices[Closeness Centrality],"&gt;= "&amp;L19)-COUNTIF(Vertices[Closeness Centrality],"&gt;="&amp;L20)</f>
        <v>0</v>
      </c>
      <c r="N19" s="36">
        <f t="shared" si="6"/>
        <v>0.34704499999999994</v>
      </c>
      <c r="O19" s="37">
        <f>COUNTIF(Vertices[Eigenvector Centrality],"&gt;= "&amp;N19)-COUNTIF(Vertices[Eigenvector Centrality],"&gt;="&amp;N20)</f>
        <v>0</v>
      </c>
      <c r="P19" s="36">
        <f t="shared" si="7"/>
        <v>0.035828000000000006</v>
      </c>
      <c r="Q19" s="37">
        <f>COUNTIF(Vertices[PageRank],"&gt;= "&amp;P19)-COUNTIF(Vertices[PageRank],"&gt;="&amp;P20)</f>
        <v>0</v>
      </c>
      <c r="R19" s="36">
        <f t="shared" si="8"/>
        <v>0.5</v>
      </c>
      <c r="S19" s="41">
        <f>COUNTIF(Vertices[Clustering Coefficient],"&gt;= "&amp;R19)-COUNTIF(Vertices[Clustering Coefficient],"&gt;="&amp;R20)</f>
        <v>5</v>
      </c>
      <c r="T19" s="36" t="e">
        <f ca="1" t="shared" si="9"/>
        <v>#REF!</v>
      </c>
      <c r="U19" s="37" t="e">
        <f ca="1" t="shared" si="0"/>
        <v>#REF!</v>
      </c>
    </row>
    <row r="20" spans="1:21" ht="15">
      <c r="A20" s="31" t="s">
        <v>156</v>
      </c>
      <c r="B20" s="31">
        <v>4</v>
      </c>
      <c r="D20" s="29">
        <f t="shared" si="1"/>
        <v>0</v>
      </c>
      <c r="E20">
        <f>COUNTIF(Vertices[Degree],"&gt;= "&amp;D20)-COUNTIF(Vertices[Degree],"&gt;="&amp;D21)</f>
        <v>0</v>
      </c>
      <c r="F20" s="34">
        <f t="shared" si="2"/>
        <v>35.4705882352941</v>
      </c>
      <c r="G20" s="35">
        <f>COUNTIF(Vertices[In-Degree],"&gt;= "&amp;F20)-COUNTIF(Vertices[In-Degree],"&gt;="&amp;F21)</f>
        <v>0</v>
      </c>
      <c r="H20" s="34">
        <f t="shared" si="3"/>
        <v>16.411764705882355</v>
      </c>
      <c r="I20" s="35">
        <f>COUNTIF(Vertices[Out-Degree],"&gt;= "&amp;H20)-COUNTIF(Vertices[Out-Degree],"&gt;="&amp;H21)</f>
        <v>0</v>
      </c>
      <c r="J20" s="34">
        <f t="shared" si="4"/>
        <v>11999.764705764708</v>
      </c>
      <c r="K20" s="35">
        <f>COUNTIF(Vertices[Betweenness Centrality],"&gt;= "&amp;J20)-COUNTIF(Vertices[Betweenness Centrality],"&gt;="&amp;J21)</f>
        <v>0</v>
      </c>
      <c r="L20" s="34">
        <f t="shared" si="5"/>
        <v>0.5136335882352944</v>
      </c>
      <c r="M20" s="35">
        <f>COUNTIF(Vertices[Closeness Centrality],"&gt;= "&amp;L20)-COUNTIF(Vertices[Closeness Centrality],"&gt;="&amp;L21)</f>
        <v>0</v>
      </c>
      <c r="N20" s="34">
        <f t="shared" si="6"/>
        <v>0.3670845294117646</v>
      </c>
      <c r="O20" s="35">
        <f>COUNTIF(Vertices[Eigenvector Centrality],"&gt;= "&amp;N20)-COUNTIF(Vertices[Eigenvector Centrality],"&gt;="&amp;N21)</f>
        <v>0</v>
      </c>
      <c r="P20" s="34">
        <f t="shared" si="7"/>
        <v>0.037608941176470595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157</v>
      </c>
      <c r="B21" s="31">
        <v>2.701019</v>
      </c>
      <c r="D21" s="29">
        <f t="shared" si="1"/>
        <v>0</v>
      </c>
      <c r="E21">
        <f>COUNTIF(Vertices[Degree],"&gt;= "&amp;D21)-COUNTIF(Vertices[Degree],"&gt;="&amp;D22)</f>
        <v>0</v>
      </c>
      <c r="F21" s="36">
        <f t="shared" si="2"/>
        <v>37.44117647058822</v>
      </c>
      <c r="G21" s="37">
        <f>COUNTIF(Vertices[In-Degree],"&gt;= "&amp;F21)-COUNTIF(Vertices[In-Degree],"&gt;="&amp;F22)</f>
        <v>0</v>
      </c>
      <c r="H21" s="36">
        <f t="shared" si="3"/>
        <v>17.323529411764707</v>
      </c>
      <c r="I21" s="37">
        <f>COUNTIF(Vertices[Out-Degree],"&gt;= "&amp;H21)-COUNTIF(Vertices[Out-Degree],"&gt;="&amp;H22)</f>
        <v>0</v>
      </c>
      <c r="J21" s="36">
        <f t="shared" si="4"/>
        <v>12666.418300529414</v>
      </c>
      <c r="K21" s="37">
        <f>COUNTIF(Vertices[Betweenness Centrality],"&gt;= "&amp;J21)-COUNTIF(Vertices[Betweenness Centrality],"&gt;="&amp;J22)</f>
        <v>0</v>
      </c>
      <c r="L21" s="36">
        <f t="shared" si="5"/>
        <v>0.5257666764705885</v>
      </c>
      <c r="M21" s="37">
        <f>COUNTIF(Vertices[Closeness Centrality],"&gt;= "&amp;L21)-COUNTIF(Vertices[Closeness Centrality],"&gt;="&amp;L22)</f>
        <v>0</v>
      </c>
      <c r="N21" s="36">
        <f t="shared" si="6"/>
        <v>0.3871240588235293</v>
      </c>
      <c r="O21" s="37">
        <f>COUNTIF(Vertices[Eigenvector Centrality],"&gt;= "&amp;N21)-COUNTIF(Vertices[Eigenvector Centrality],"&gt;="&amp;N22)</f>
        <v>0</v>
      </c>
      <c r="P21" s="36">
        <f t="shared" si="7"/>
        <v>0.039389882352941184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1"/>
      <c r="B22" s="91"/>
      <c r="D22" s="29">
        <f t="shared" si="1"/>
        <v>0</v>
      </c>
      <c r="E22">
        <f>COUNTIF(Vertices[Degree],"&gt;= "&amp;D22)-COUNTIF(Vertices[Degree],"&gt;="&amp;D23)</f>
        <v>0</v>
      </c>
      <c r="F22" s="34">
        <f t="shared" si="2"/>
        <v>39.411764705882334</v>
      </c>
      <c r="G22" s="35">
        <f>COUNTIF(Vertices[In-Degree],"&gt;= "&amp;F22)-COUNTIF(Vertices[In-Degree],"&gt;="&amp;F23)</f>
        <v>0</v>
      </c>
      <c r="H22" s="34">
        <f t="shared" si="3"/>
        <v>18.235294117647058</v>
      </c>
      <c r="I22" s="35">
        <f>COUNTIF(Vertices[Out-Degree],"&gt;= "&amp;H22)-COUNTIF(Vertices[Out-Degree],"&gt;="&amp;H23)</f>
        <v>0</v>
      </c>
      <c r="J22" s="34">
        <f t="shared" si="4"/>
        <v>13333.07189529412</v>
      </c>
      <c r="K22" s="35">
        <f>COUNTIF(Vertices[Betweenness Centrality],"&gt;= "&amp;J22)-COUNTIF(Vertices[Betweenness Centrality],"&gt;="&amp;J23)</f>
        <v>0</v>
      </c>
      <c r="L22" s="34">
        <f t="shared" si="5"/>
        <v>0.5378997647058826</v>
      </c>
      <c r="M22" s="35">
        <f>COUNTIF(Vertices[Closeness Centrality],"&gt;= "&amp;L22)-COUNTIF(Vertices[Closeness Centrality],"&gt;="&amp;L23)</f>
        <v>0</v>
      </c>
      <c r="N22" s="34">
        <f t="shared" si="6"/>
        <v>0.40716358823529397</v>
      </c>
      <c r="O22" s="35">
        <f>COUNTIF(Vertices[Eigenvector Centrality],"&gt;= "&amp;N22)-COUNTIF(Vertices[Eigenvector Centrality],"&gt;="&amp;N23)</f>
        <v>0</v>
      </c>
      <c r="P22" s="34">
        <f t="shared" si="7"/>
        <v>0.041170823529411774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158</v>
      </c>
      <c r="B23" s="31">
        <v>0.008312655086848635</v>
      </c>
      <c r="D23" s="29">
        <f t="shared" si="1"/>
        <v>0</v>
      </c>
      <c r="E23">
        <f>COUNTIF(Vertices[Degree],"&gt;= "&amp;D23)-COUNTIF(Vertices[Degree],"&gt;="&amp;D24)</f>
        <v>0</v>
      </c>
      <c r="F23" s="36">
        <f t="shared" si="2"/>
        <v>41.38235294117645</v>
      </c>
      <c r="G23" s="37">
        <f>COUNTIF(Vertices[In-Degree],"&gt;= "&amp;F23)-COUNTIF(Vertices[In-Degree],"&gt;="&amp;F24)</f>
        <v>0</v>
      </c>
      <c r="H23" s="36">
        <f t="shared" si="3"/>
        <v>19.14705882352941</v>
      </c>
      <c r="I23" s="37">
        <f>COUNTIF(Vertices[Out-Degree],"&gt;= "&amp;H23)-COUNTIF(Vertices[Out-Degree],"&gt;="&amp;H24)</f>
        <v>0</v>
      </c>
      <c r="J23" s="36">
        <f t="shared" si="4"/>
        <v>13999.725490058827</v>
      </c>
      <c r="K23" s="37">
        <f>COUNTIF(Vertices[Betweenness Centrality],"&gt;= "&amp;J23)-COUNTIF(Vertices[Betweenness Centrality],"&gt;="&amp;J24)</f>
        <v>0</v>
      </c>
      <c r="L23" s="36">
        <f t="shared" si="5"/>
        <v>0.5500328529411768</v>
      </c>
      <c r="M23" s="37">
        <f>COUNTIF(Vertices[Closeness Centrality],"&gt;= "&amp;L23)-COUNTIF(Vertices[Closeness Centrality],"&gt;="&amp;L24)</f>
        <v>0</v>
      </c>
      <c r="N23" s="36">
        <f t="shared" si="6"/>
        <v>0.42720311764705865</v>
      </c>
      <c r="O23" s="37">
        <f>COUNTIF(Vertices[Eigenvector Centrality],"&gt;= "&amp;N23)-COUNTIF(Vertices[Eigenvector Centrality],"&gt;="&amp;N24)</f>
        <v>0</v>
      </c>
      <c r="P23" s="36">
        <f t="shared" si="7"/>
        <v>0.04295176470588236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366</v>
      </c>
      <c r="B24" s="31">
        <v>0.570653</v>
      </c>
      <c r="D24" s="29">
        <f t="shared" si="1"/>
        <v>0</v>
      </c>
      <c r="E24">
        <f>COUNTIF(Vertices[Degree],"&gt;= "&amp;D24)-COUNTIF(Vertices[Degree],"&gt;="&amp;D25)</f>
        <v>0</v>
      </c>
      <c r="F24" s="34">
        <f t="shared" si="2"/>
        <v>43.352941176470566</v>
      </c>
      <c r="G24" s="35">
        <f>COUNTIF(Vertices[In-Degree],"&gt;= "&amp;F24)-COUNTIF(Vertices[In-Degree],"&gt;="&amp;F25)</f>
        <v>0</v>
      </c>
      <c r="H24" s="34">
        <f t="shared" si="3"/>
        <v>20.05882352941176</v>
      </c>
      <c r="I24" s="35">
        <f>COUNTIF(Vertices[Out-Degree],"&gt;= "&amp;H24)-COUNTIF(Vertices[Out-Degree],"&gt;="&amp;H25)</f>
        <v>0</v>
      </c>
      <c r="J24" s="34">
        <f t="shared" si="4"/>
        <v>14666.379084823533</v>
      </c>
      <c r="K24" s="35">
        <f>COUNTIF(Vertices[Betweenness Centrality],"&gt;= "&amp;J24)-COUNTIF(Vertices[Betweenness Centrality],"&gt;="&amp;J25)</f>
        <v>0</v>
      </c>
      <c r="L24" s="34">
        <f t="shared" si="5"/>
        <v>0.5621659411764709</v>
      </c>
      <c r="M24" s="35">
        <f>COUNTIF(Vertices[Closeness Centrality],"&gt;= "&amp;L24)-COUNTIF(Vertices[Closeness Centrality],"&gt;="&amp;L25)</f>
        <v>0</v>
      </c>
      <c r="N24" s="34">
        <f t="shared" si="6"/>
        <v>0.44724264705882333</v>
      </c>
      <c r="O24" s="35">
        <f>COUNTIF(Vertices[Eigenvector Centrality],"&gt;= "&amp;N24)-COUNTIF(Vertices[Eigenvector Centrality],"&gt;="&amp;N25)</f>
        <v>0</v>
      </c>
      <c r="P24" s="34">
        <f t="shared" si="7"/>
        <v>0.04473270588235295</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91"/>
      <c r="B25" s="91"/>
      <c r="D25" s="29">
        <f t="shared" si="1"/>
        <v>0</v>
      </c>
      <c r="E25">
        <f>COUNTIF(Vertices[Degree],"&gt;= "&amp;D25)-COUNTIF(Vertices[Degree],"&gt;="&amp;D26)</f>
        <v>0</v>
      </c>
      <c r="F25" s="36">
        <f t="shared" si="2"/>
        <v>45.32352941176468</v>
      </c>
      <c r="G25" s="37">
        <f>COUNTIF(Vertices[In-Degree],"&gt;= "&amp;F25)-COUNTIF(Vertices[In-Degree],"&gt;="&amp;F26)</f>
        <v>0</v>
      </c>
      <c r="H25" s="36">
        <f t="shared" si="3"/>
        <v>20.970588235294112</v>
      </c>
      <c r="I25" s="37">
        <f>COUNTIF(Vertices[Out-Degree],"&gt;= "&amp;H25)-COUNTIF(Vertices[Out-Degree],"&gt;="&amp;H26)</f>
        <v>0</v>
      </c>
      <c r="J25" s="36">
        <f t="shared" si="4"/>
        <v>15333.03267958824</v>
      </c>
      <c r="K25" s="37">
        <f>COUNTIF(Vertices[Betweenness Centrality],"&gt;= "&amp;J25)-COUNTIF(Vertices[Betweenness Centrality],"&gt;="&amp;J26)</f>
        <v>0</v>
      </c>
      <c r="L25" s="36">
        <f t="shared" si="5"/>
        <v>0.574299029411765</v>
      </c>
      <c r="M25" s="37">
        <f>COUNTIF(Vertices[Closeness Centrality],"&gt;= "&amp;L25)-COUNTIF(Vertices[Closeness Centrality],"&gt;="&amp;L26)</f>
        <v>0</v>
      </c>
      <c r="N25" s="36">
        <f t="shared" si="6"/>
        <v>0.467282176470588</v>
      </c>
      <c r="O25" s="37">
        <f>COUNTIF(Vertices[Eigenvector Centrality],"&gt;= "&amp;N25)-COUNTIF(Vertices[Eigenvector Centrality],"&gt;="&amp;N26)</f>
        <v>0</v>
      </c>
      <c r="P25" s="36">
        <f t="shared" si="7"/>
        <v>0.04651364705882354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367</v>
      </c>
      <c r="B26" s="31" t="s">
        <v>382</v>
      </c>
      <c r="D26" s="29">
        <f t="shared" si="1"/>
        <v>0</v>
      </c>
      <c r="E26">
        <f>COUNTIF(Vertices[Degree],"&gt;= "&amp;D26)-COUNTIF(Vertices[Degree],"&gt;="&amp;D27)</f>
        <v>0</v>
      </c>
      <c r="F26" s="34">
        <f t="shared" si="2"/>
        <v>47.2941176470588</v>
      </c>
      <c r="G26" s="35">
        <f>COUNTIF(Vertices[In-Degree],"&gt;= "&amp;F26)-COUNTIF(Vertices[In-Degree],"&gt;="&amp;F27)</f>
        <v>0</v>
      </c>
      <c r="H26" s="34">
        <f t="shared" si="3"/>
        <v>21.882352941176464</v>
      </c>
      <c r="I26" s="35">
        <f>COUNTIF(Vertices[Out-Degree],"&gt;= "&amp;H26)-COUNTIF(Vertices[Out-Degree],"&gt;="&amp;H27)</f>
        <v>0</v>
      </c>
      <c r="J26" s="34">
        <f t="shared" si="4"/>
        <v>15999.686274352945</v>
      </c>
      <c r="K26" s="35">
        <f>COUNTIF(Vertices[Betweenness Centrality],"&gt;= "&amp;J26)-COUNTIF(Vertices[Betweenness Centrality],"&gt;="&amp;J27)</f>
        <v>0</v>
      </c>
      <c r="L26" s="34">
        <f t="shared" si="5"/>
        <v>0.5864321176470592</v>
      </c>
      <c r="M26" s="35">
        <f>COUNTIF(Vertices[Closeness Centrality],"&gt;= "&amp;L26)-COUNTIF(Vertices[Closeness Centrality],"&gt;="&amp;L27)</f>
        <v>0</v>
      </c>
      <c r="N26" s="34">
        <f t="shared" si="6"/>
        <v>0.4873217058823527</v>
      </c>
      <c r="O26" s="35">
        <f>COUNTIF(Vertices[Eigenvector Centrality],"&gt;= "&amp;N26)-COUNTIF(Vertices[Eigenvector Centrality],"&gt;="&amp;N27)</f>
        <v>0</v>
      </c>
      <c r="P26" s="34">
        <f t="shared" si="7"/>
        <v>0.04829458823529413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1"/>
      <c r="B27" s="91"/>
      <c r="D27" s="29">
        <f t="shared" si="1"/>
        <v>0</v>
      </c>
      <c r="E27">
        <f>COUNTIF(Vertices[Degree],"&gt;= "&amp;D27)-COUNTIF(Vertices[Degree],"&gt;="&amp;D28)</f>
        <v>0</v>
      </c>
      <c r="F27" s="36">
        <f t="shared" si="2"/>
        <v>49.264705882352914</v>
      </c>
      <c r="G27" s="37">
        <f>COUNTIF(Vertices[In-Degree],"&gt;= "&amp;F27)-COUNTIF(Vertices[In-Degree],"&gt;="&amp;F28)</f>
        <v>0</v>
      </c>
      <c r="H27" s="36">
        <f t="shared" si="3"/>
        <v>22.794117647058815</v>
      </c>
      <c r="I27" s="37">
        <f>COUNTIF(Vertices[Out-Degree],"&gt;= "&amp;H27)-COUNTIF(Vertices[Out-Degree],"&gt;="&amp;H28)</f>
        <v>0</v>
      </c>
      <c r="J27" s="36">
        <f t="shared" si="4"/>
        <v>16666.33986911765</v>
      </c>
      <c r="K27" s="37">
        <f>COUNTIF(Vertices[Betweenness Centrality],"&gt;= "&amp;J27)-COUNTIF(Vertices[Betweenness Centrality],"&gt;="&amp;J28)</f>
        <v>0</v>
      </c>
      <c r="L27" s="36">
        <f t="shared" si="5"/>
        <v>0.5985652058823533</v>
      </c>
      <c r="M27" s="37">
        <f>COUNTIF(Vertices[Closeness Centrality],"&gt;= "&amp;L27)-COUNTIF(Vertices[Closeness Centrality],"&gt;="&amp;L28)</f>
        <v>0</v>
      </c>
      <c r="N27" s="36">
        <f t="shared" si="6"/>
        <v>0.5073612352941174</v>
      </c>
      <c r="O27" s="37">
        <f>COUNTIF(Vertices[Eigenvector Centrality],"&gt;= "&amp;N27)-COUNTIF(Vertices[Eigenvector Centrality],"&gt;="&amp;N28)</f>
        <v>0</v>
      </c>
      <c r="P27" s="36">
        <f t="shared" si="7"/>
        <v>0.05007552941176472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368</v>
      </c>
      <c r="B28" s="31" t="s">
        <v>2306</v>
      </c>
      <c r="D28" s="29">
        <f t="shared" si="1"/>
        <v>0</v>
      </c>
      <c r="E28">
        <f>COUNTIF(Vertices[Degree],"&gt;= "&amp;D28)-COUNTIF(Vertices[Degree],"&gt;="&amp;D29)</f>
        <v>0</v>
      </c>
      <c r="F28" s="34">
        <f t="shared" si="2"/>
        <v>51.23529411764703</v>
      </c>
      <c r="G28" s="35">
        <f>COUNTIF(Vertices[In-Degree],"&gt;= "&amp;F28)-COUNTIF(Vertices[In-Degree],"&gt;="&amp;F29)</f>
        <v>0</v>
      </c>
      <c r="H28" s="34">
        <f t="shared" si="3"/>
        <v>23.705882352941167</v>
      </c>
      <c r="I28" s="35">
        <f>COUNTIF(Vertices[Out-Degree],"&gt;= "&amp;H28)-COUNTIF(Vertices[Out-Degree],"&gt;="&amp;H29)</f>
        <v>0</v>
      </c>
      <c r="J28" s="34">
        <f t="shared" si="4"/>
        <v>17332.993463882358</v>
      </c>
      <c r="K28" s="35">
        <f>COUNTIF(Vertices[Betweenness Centrality],"&gt;= "&amp;J28)-COUNTIF(Vertices[Betweenness Centrality],"&gt;="&amp;J29)</f>
        <v>0</v>
      </c>
      <c r="L28" s="34">
        <f t="shared" si="5"/>
        <v>0.6106982941176474</v>
      </c>
      <c r="M28" s="35">
        <f>COUNTIF(Vertices[Closeness Centrality],"&gt;= "&amp;L28)-COUNTIF(Vertices[Closeness Centrality],"&gt;="&amp;L29)</f>
        <v>0</v>
      </c>
      <c r="N28" s="34">
        <f t="shared" si="6"/>
        <v>0.527400764705882</v>
      </c>
      <c r="O28" s="35">
        <f>COUNTIF(Vertices[Eigenvector Centrality],"&gt;= "&amp;N28)-COUNTIF(Vertices[Eigenvector Centrality],"&gt;="&amp;N29)</f>
        <v>0</v>
      </c>
      <c r="P28" s="34">
        <f t="shared" si="7"/>
        <v>0.05185647058823531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369</v>
      </c>
      <c r="B29" s="31" t="s">
        <v>2307</v>
      </c>
      <c r="D29" s="29">
        <f t="shared" si="1"/>
        <v>0</v>
      </c>
      <c r="E29">
        <f>COUNTIF(Vertices[Degree],"&gt;= "&amp;D29)-COUNTIF(Vertices[Degree],"&gt;="&amp;D30)</f>
        <v>0</v>
      </c>
      <c r="F29" s="36">
        <f t="shared" si="2"/>
        <v>53.205882352941146</v>
      </c>
      <c r="G29" s="37">
        <f>COUNTIF(Vertices[In-Degree],"&gt;= "&amp;F29)-COUNTIF(Vertices[In-Degree],"&gt;="&amp;F30)</f>
        <v>0</v>
      </c>
      <c r="H29" s="36">
        <f t="shared" si="3"/>
        <v>24.61764705882352</v>
      </c>
      <c r="I29" s="37">
        <f>COUNTIF(Vertices[Out-Degree],"&gt;= "&amp;H29)-COUNTIF(Vertices[Out-Degree],"&gt;="&amp;H30)</f>
        <v>0</v>
      </c>
      <c r="J29" s="36">
        <f t="shared" si="4"/>
        <v>17999.647058647064</v>
      </c>
      <c r="K29" s="37">
        <f>COUNTIF(Vertices[Betweenness Centrality],"&gt;= "&amp;J29)-COUNTIF(Vertices[Betweenness Centrality],"&gt;="&amp;J30)</f>
        <v>0</v>
      </c>
      <c r="L29" s="36">
        <f t="shared" si="5"/>
        <v>0.6228313823529416</v>
      </c>
      <c r="M29" s="37">
        <f>COUNTIF(Vertices[Closeness Centrality],"&gt;= "&amp;L29)-COUNTIF(Vertices[Closeness Centrality],"&gt;="&amp;L30)</f>
        <v>0</v>
      </c>
      <c r="N29" s="36">
        <f t="shared" si="6"/>
        <v>0.5474402941176467</v>
      </c>
      <c r="O29" s="37">
        <f>COUNTIF(Vertices[Eigenvector Centrality],"&gt;= "&amp;N29)-COUNTIF(Vertices[Eigenvector Centrality],"&gt;="&amp;N30)</f>
        <v>0</v>
      </c>
      <c r="P29" s="36">
        <f t="shared" si="7"/>
        <v>0.0536374117647059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1"/>
      <c r="B30" s="91"/>
      <c r="D30" s="29">
        <f t="shared" si="1"/>
        <v>0</v>
      </c>
      <c r="E30">
        <f>COUNTIF(Vertices[Degree],"&gt;= "&amp;D30)-COUNTIF(Vertices[Degree],"&gt;="&amp;D31)</f>
        <v>0</v>
      </c>
      <c r="F30" s="34">
        <f t="shared" si="2"/>
        <v>55.17647058823526</v>
      </c>
      <c r="G30" s="35">
        <f>COUNTIF(Vertices[In-Degree],"&gt;= "&amp;F30)-COUNTIF(Vertices[In-Degree],"&gt;="&amp;F31)</f>
        <v>0</v>
      </c>
      <c r="H30" s="34">
        <f t="shared" si="3"/>
        <v>25.52941176470587</v>
      </c>
      <c r="I30" s="35">
        <f>COUNTIF(Vertices[Out-Degree],"&gt;= "&amp;H30)-COUNTIF(Vertices[Out-Degree],"&gt;="&amp;H31)</f>
        <v>0</v>
      </c>
      <c r="J30" s="34">
        <f t="shared" si="4"/>
        <v>18666.30065341177</v>
      </c>
      <c r="K30" s="35">
        <f>COUNTIF(Vertices[Betweenness Centrality],"&gt;= "&amp;J30)-COUNTIF(Vertices[Betweenness Centrality],"&gt;="&amp;J31)</f>
        <v>0</v>
      </c>
      <c r="L30" s="34">
        <f t="shared" si="5"/>
        <v>0.6349644705882357</v>
      </c>
      <c r="M30" s="35">
        <f>COUNTIF(Vertices[Closeness Centrality],"&gt;= "&amp;L30)-COUNTIF(Vertices[Closeness Centrality],"&gt;="&amp;L31)</f>
        <v>0</v>
      </c>
      <c r="N30" s="34">
        <f t="shared" si="6"/>
        <v>0.5674798235294114</v>
      </c>
      <c r="O30" s="35">
        <f>COUNTIF(Vertices[Eigenvector Centrality],"&gt;= "&amp;N30)-COUNTIF(Vertices[Eigenvector Centrality],"&gt;="&amp;N31)</f>
        <v>0</v>
      </c>
      <c r="P30" s="34">
        <f t="shared" si="7"/>
        <v>0.05541835294117649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370</v>
      </c>
      <c r="B31" s="31" t="s">
        <v>383</v>
      </c>
      <c r="D31" s="29">
        <f t="shared" si="1"/>
        <v>0</v>
      </c>
      <c r="E31">
        <f>COUNTIF(Vertices[Degree],"&gt;= "&amp;D31)-COUNTIF(Vertices[Degree],"&gt;="&amp;D32)</f>
        <v>0</v>
      </c>
      <c r="F31" s="36">
        <f t="shared" si="2"/>
        <v>57.14705882352938</v>
      </c>
      <c r="G31" s="37">
        <f>COUNTIF(Vertices[In-Degree],"&gt;= "&amp;F31)-COUNTIF(Vertices[In-Degree],"&gt;="&amp;F32)</f>
        <v>0</v>
      </c>
      <c r="H31" s="36">
        <f t="shared" si="3"/>
        <v>26.44117647058822</v>
      </c>
      <c r="I31" s="37">
        <f>COUNTIF(Vertices[Out-Degree],"&gt;= "&amp;H31)-COUNTIF(Vertices[Out-Degree],"&gt;="&amp;H32)</f>
        <v>0</v>
      </c>
      <c r="J31" s="36">
        <f t="shared" si="4"/>
        <v>19332.954248176477</v>
      </c>
      <c r="K31" s="37">
        <f>COUNTIF(Vertices[Betweenness Centrality],"&gt;= "&amp;J31)-COUNTIF(Vertices[Betweenness Centrality],"&gt;="&amp;J32)</f>
        <v>0</v>
      </c>
      <c r="L31" s="36">
        <f t="shared" si="5"/>
        <v>0.6470975588235298</v>
      </c>
      <c r="M31" s="37">
        <f>COUNTIF(Vertices[Closeness Centrality],"&gt;= "&amp;L31)-COUNTIF(Vertices[Closeness Centrality],"&gt;="&amp;L32)</f>
        <v>0</v>
      </c>
      <c r="N31" s="36">
        <f t="shared" si="6"/>
        <v>0.5875193529411761</v>
      </c>
      <c r="O31" s="37">
        <f>COUNTIF(Vertices[Eigenvector Centrality],"&gt;= "&amp;N31)-COUNTIF(Vertices[Eigenvector Centrality],"&gt;="&amp;N32)</f>
        <v>0</v>
      </c>
      <c r="P31" s="36">
        <f t="shared" si="7"/>
        <v>0.05719929411764708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371</v>
      </c>
      <c r="B32" s="31" t="s">
        <v>2302</v>
      </c>
      <c r="D32" s="29">
        <f t="shared" si="1"/>
        <v>0</v>
      </c>
      <c r="E32">
        <f>COUNTIF(Vertices[Degree],"&gt;= "&amp;D32)-COUNTIF(Vertices[Degree],"&gt;="&amp;D33)</f>
        <v>0</v>
      </c>
      <c r="F32" s="34">
        <f t="shared" si="2"/>
        <v>59.11764705882349</v>
      </c>
      <c r="G32" s="35">
        <f>COUNTIF(Vertices[In-Degree],"&gt;= "&amp;F32)-COUNTIF(Vertices[In-Degree],"&gt;="&amp;F33)</f>
        <v>0</v>
      </c>
      <c r="H32" s="34">
        <f t="shared" si="3"/>
        <v>27.352941176470573</v>
      </c>
      <c r="I32" s="35">
        <f>COUNTIF(Vertices[Out-Degree],"&gt;= "&amp;H32)-COUNTIF(Vertices[Out-Degree],"&gt;="&amp;H33)</f>
        <v>0</v>
      </c>
      <c r="J32" s="34">
        <f t="shared" si="4"/>
        <v>19999.607842941183</v>
      </c>
      <c r="K32" s="35">
        <f>COUNTIF(Vertices[Betweenness Centrality],"&gt;= "&amp;J32)-COUNTIF(Vertices[Betweenness Centrality],"&gt;="&amp;J33)</f>
        <v>0</v>
      </c>
      <c r="L32" s="34">
        <f t="shared" si="5"/>
        <v>0.659230647058824</v>
      </c>
      <c r="M32" s="35">
        <f>COUNTIF(Vertices[Closeness Centrality],"&gt;= "&amp;L32)-COUNTIF(Vertices[Closeness Centrality],"&gt;="&amp;L33)</f>
        <v>0</v>
      </c>
      <c r="N32" s="34">
        <f t="shared" si="6"/>
        <v>0.6075588823529408</v>
      </c>
      <c r="O32" s="35">
        <f>COUNTIF(Vertices[Eigenvector Centrality],"&gt;= "&amp;N32)-COUNTIF(Vertices[Eigenvector Centrality],"&gt;="&amp;N33)</f>
        <v>0</v>
      </c>
      <c r="P32" s="34">
        <f t="shared" si="7"/>
        <v>0.05898023529411767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409.6">
      <c r="A33" s="31" t="s">
        <v>372</v>
      </c>
      <c r="B33" s="50" t="s">
        <v>2303</v>
      </c>
      <c r="D33" s="29">
        <f t="shared" si="1"/>
        <v>0</v>
      </c>
      <c r="E33">
        <f>COUNTIF(Vertices[Degree],"&gt;= "&amp;D33)-COUNTIF(Vertices[Degree],"&gt;="&amp;D34)</f>
        <v>0</v>
      </c>
      <c r="F33" s="36">
        <f t="shared" si="2"/>
        <v>61.08823529411761</v>
      </c>
      <c r="G33" s="37">
        <f>COUNTIF(Vertices[In-Degree],"&gt;= "&amp;F33)-COUNTIF(Vertices[In-Degree],"&gt;="&amp;F34)</f>
        <v>0</v>
      </c>
      <c r="H33" s="36">
        <f t="shared" si="3"/>
        <v>28.264705882352924</v>
      </c>
      <c r="I33" s="37">
        <f>COUNTIF(Vertices[Out-Degree],"&gt;= "&amp;H33)-COUNTIF(Vertices[Out-Degree],"&gt;="&amp;H34)</f>
        <v>1</v>
      </c>
      <c r="J33" s="36">
        <f t="shared" si="4"/>
        <v>20666.26143770589</v>
      </c>
      <c r="K33" s="37">
        <f>COUNTIF(Vertices[Betweenness Centrality],"&gt;= "&amp;J33)-COUNTIF(Vertices[Betweenness Centrality],"&gt;="&amp;J34)</f>
        <v>0</v>
      </c>
      <c r="L33" s="36">
        <f t="shared" si="5"/>
        <v>0.6713637352941181</v>
      </c>
      <c r="M33" s="37">
        <f>COUNTIF(Vertices[Closeness Centrality],"&gt;= "&amp;L33)-COUNTIF(Vertices[Closeness Centrality],"&gt;="&amp;L34)</f>
        <v>0</v>
      </c>
      <c r="N33" s="36">
        <f t="shared" si="6"/>
        <v>0.6275984117647054</v>
      </c>
      <c r="O33" s="37">
        <f>COUNTIF(Vertices[Eigenvector Centrality],"&gt;= "&amp;N33)-COUNTIF(Vertices[Eigenvector Centrality],"&gt;="&amp;N34)</f>
        <v>0</v>
      </c>
      <c r="P33" s="36">
        <f t="shared" si="7"/>
        <v>0.060761176470588256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373</v>
      </c>
      <c r="B34" s="31" t="s">
        <v>2304</v>
      </c>
      <c r="D34" s="29">
        <f t="shared" si="1"/>
        <v>0</v>
      </c>
      <c r="E34">
        <f>COUNTIF(Vertices[Degree],"&gt;= "&amp;D34)-COUNTIF(Vertices[Degree],"&gt;="&amp;D35)</f>
        <v>0</v>
      </c>
      <c r="F34" s="34">
        <f t="shared" si="2"/>
        <v>63.058823529411725</v>
      </c>
      <c r="G34" s="35">
        <f>COUNTIF(Vertices[In-Degree],"&gt;= "&amp;F34)-COUNTIF(Vertices[In-Degree],"&gt;="&amp;F35)</f>
        <v>0</v>
      </c>
      <c r="H34" s="34">
        <f t="shared" si="3"/>
        <v>29.176470588235276</v>
      </c>
      <c r="I34" s="35">
        <f>COUNTIF(Vertices[Out-Degree],"&gt;= "&amp;H34)-COUNTIF(Vertices[Out-Degree],"&gt;="&amp;H35)</f>
        <v>0</v>
      </c>
      <c r="J34" s="34">
        <f t="shared" si="4"/>
        <v>21332.915032470595</v>
      </c>
      <c r="K34" s="35">
        <f>COUNTIF(Vertices[Betweenness Centrality],"&gt;= "&amp;J34)-COUNTIF(Vertices[Betweenness Centrality],"&gt;="&amp;J35)</f>
        <v>0</v>
      </c>
      <c r="L34" s="34">
        <f t="shared" si="5"/>
        <v>0.6834968235294122</v>
      </c>
      <c r="M34" s="35">
        <f>COUNTIF(Vertices[Closeness Centrality],"&gt;= "&amp;L34)-COUNTIF(Vertices[Closeness Centrality],"&gt;="&amp;L35)</f>
        <v>0</v>
      </c>
      <c r="N34" s="34">
        <f t="shared" si="6"/>
        <v>0.6476379411764701</v>
      </c>
      <c r="O34" s="35">
        <f>COUNTIF(Vertices[Eigenvector Centrality],"&gt;= "&amp;N34)-COUNTIF(Vertices[Eigenvector Centrality],"&gt;="&amp;N35)</f>
        <v>0</v>
      </c>
      <c r="P34" s="34">
        <f t="shared" si="7"/>
        <v>0.06254211764705885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374</v>
      </c>
      <c r="B35" s="31" t="s">
        <v>582</v>
      </c>
      <c r="D35" s="29">
        <f t="shared" si="1"/>
        <v>0</v>
      </c>
      <c r="E35">
        <f>COUNTIF(Vertices[Degree],"&gt;= "&amp;D35)-COUNTIF(Vertices[Degree],"&gt;="&amp;D36)</f>
        <v>0</v>
      </c>
      <c r="F35" s="36">
        <f t="shared" si="2"/>
        <v>65.02941176470584</v>
      </c>
      <c r="G35" s="37">
        <f>COUNTIF(Vertices[In-Degree],"&gt;= "&amp;F35)-COUNTIF(Vertices[In-Degree],"&gt;="&amp;F36)</f>
        <v>0</v>
      </c>
      <c r="H35" s="36">
        <f t="shared" si="3"/>
        <v>30.088235294117627</v>
      </c>
      <c r="I35" s="37">
        <f>COUNTIF(Vertices[Out-Degree],"&gt;= "&amp;H35)-COUNTIF(Vertices[Out-Degree],"&gt;="&amp;H36)</f>
        <v>0</v>
      </c>
      <c r="J35" s="36">
        <f t="shared" si="4"/>
        <v>21999.5686272353</v>
      </c>
      <c r="K35" s="37">
        <f>COUNTIF(Vertices[Betweenness Centrality],"&gt;= "&amp;J35)-COUNTIF(Vertices[Betweenness Centrality],"&gt;="&amp;J36)</f>
        <v>0</v>
      </c>
      <c r="L35" s="36">
        <f t="shared" si="5"/>
        <v>0.6956299117647063</v>
      </c>
      <c r="M35" s="37">
        <f>COUNTIF(Vertices[Closeness Centrality],"&gt;= "&amp;L35)-COUNTIF(Vertices[Closeness Centrality],"&gt;="&amp;L36)</f>
        <v>0</v>
      </c>
      <c r="N35" s="36">
        <f t="shared" si="6"/>
        <v>0.6676774705882348</v>
      </c>
      <c r="O35" s="37">
        <f>COUNTIF(Vertices[Eigenvector Centrality],"&gt;= "&amp;N35)-COUNTIF(Vertices[Eigenvector Centrality],"&gt;="&amp;N36)</f>
        <v>0</v>
      </c>
      <c r="P35" s="36">
        <f t="shared" si="7"/>
        <v>0.06432305882352943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375</v>
      </c>
      <c r="B36" s="31"/>
      <c r="D36" s="29">
        <f>MAX(Vertices[Degree])</f>
        <v>0</v>
      </c>
      <c r="E36">
        <f>COUNTIF(Vertices[Degree],"&gt;= "&amp;D36)-COUNTIF(Vertices[Degree],"&gt;="&amp;#REF!)</f>
        <v>0</v>
      </c>
      <c r="F36" s="38">
        <f>MAX(Vertices[In-Degree])</f>
        <v>67</v>
      </c>
      <c r="G36" s="39">
        <f>COUNTIF(Vertices[In-Degree],"&gt;= "&amp;F36)-COUNTIF(Vertices[In-Degree],"&gt;="&amp;#REF!)</f>
        <v>1</v>
      </c>
      <c r="H36" s="38">
        <f>MAX(Vertices[Out-Degree])</f>
        <v>31</v>
      </c>
      <c r="I36" s="39">
        <f>COUNTIF(Vertices[Out-Degree],"&gt;= "&amp;H36)-COUNTIF(Vertices[Out-Degree],"&gt;="&amp;#REF!)</f>
        <v>1</v>
      </c>
      <c r="J36" s="38">
        <f>MAX(Vertices[Betweenness Centrality])</f>
        <v>22666.222222</v>
      </c>
      <c r="K36" s="39">
        <f>COUNTIF(Vertices[Betweenness Centrality],"&gt;= "&amp;J36)-COUNTIF(Vertices[Betweenness Centrality],"&gt;="&amp;#REF!)</f>
        <v>1</v>
      </c>
      <c r="L36" s="38">
        <f>MAX(Vertices[Closeness Centrality])</f>
        <v>0.707763</v>
      </c>
      <c r="M36" s="39">
        <f>COUNTIF(Vertices[Closeness Centrality],"&gt;= "&amp;L36)-COUNTIF(Vertices[Closeness Centrality],"&gt;="&amp;#REF!)</f>
        <v>1</v>
      </c>
      <c r="N36" s="38">
        <f>MAX(Vertices[Eigenvector Centrality])</f>
        <v>0.687717</v>
      </c>
      <c r="O36" s="39">
        <f>COUNTIF(Vertices[Eigenvector Centrality],"&gt;= "&amp;N36)-COUNTIF(Vertices[Eigenvector Centrality],"&gt;="&amp;#REF!)</f>
        <v>1</v>
      </c>
      <c r="P36" s="38">
        <f>MAX(Vertices[PageRank])</f>
        <v>0.066104</v>
      </c>
      <c r="Q36" s="39">
        <f>COUNTIF(Vertices[PageRank],"&gt;= "&amp;P36)-COUNTIF(Vertices[PageRank],"&gt;="&amp;#REF!)</f>
        <v>1</v>
      </c>
      <c r="R36" s="38">
        <f>MAX(Vertices[Clustering Coefficient])</f>
        <v>1</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376</v>
      </c>
      <c r="B37" s="31"/>
    </row>
    <row r="38" spans="1:2" ht="15">
      <c r="A38" s="31" t="s">
        <v>377</v>
      </c>
      <c r="B38" s="31"/>
    </row>
    <row r="39" spans="1:2" ht="15">
      <c r="A39" s="31" t="s">
        <v>378</v>
      </c>
      <c r="B39" s="31"/>
    </row>
    <row r="40" spans="1:2" ht="15">
      <c r="A40" s="31" t="s">
        <v>21</v>
      </c>
      <c r="B40" s="31"/>
    </row>
    <row r="41" spans="1:2" ht="15">
      <c r="A41" s="31" t="s">
        <v>379</v>
      </c>
      <c r="B41" s="31"/>
    </row>
    <row r="42" spans="1:2" ht="15">
      <c r="A42" s="31" t="s">
        <v>380</v>
      </c>
      <c r="B42" s="31"/>
    </row>
    <row r="43" spans="1:2" ht="15">
      <c r="A43" s="31" t="s">
        <v>381</v>
      </c>
      <c r="B43" s="31"/>
    </row>
    <row r="56" ht="15">
      <c r="A56" s="82" t="str">
        <f>HYPERLINK("inovies.com")</f>
        <v>inovies.com</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67</v>
      </c>
    </row>
    <row r="90" spans="1:2" ht="15">
      <c r="A90" s="30" t="s">
        <v>90</v>
      </c>
      <c r="B90" s="44">
        <f>_xlfn.IFERROR(AVERAGE(Vertices[In-Degree]),NoMetricMessage)</f>
        <v>1.3205128205128205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1.3205128205128205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22666.222222</v>
      </c>
    </row>
    <row r="118" spans="1:2" ht="15">
      <c r="A118" s="30" t="s">
        <v>102</v>
      </c>
      <c r="B118" s="44">
        <f>_xlfn.IFERROR(AVERAGE(Vertices[Betweenness Centrality]),NoMetricMessage)</f>
        <v>266.35897434615384</v>
      </c>
    </row>
    <row r="119" spans="1:2" ht="15">
      <c r="A119" s="30" t="s">
        <v>103</v>
      </c>
      <c r="B119" s="44">
        <f>_xlfn.IFERROR(MEDIAN(Vertices[Betweenness Centrality]),NoMetricMessage)</f>
        <v>0</v>
      </c>
    </row>
    <row r="130" spans="1:2" ht="15">
      <c r="A130" s="30" t="s">
        <v>106</v>
      </c>
      <c r="B130" s="44">
        <f>IF(COUNT(Vertices[Closeness Centrality])&gt;0,L2,NoMetricMessage)</f>
        <v>0.295238</v>
      </c>
    </row>
    <row r="131" spans="1:2" ht="15">
      <c r="A131" s="30" t="s">
        <v>107</v>
      </c>
      <c r="B131" s="44">
        <f>IF(COUNT(Vertices[Closeness Centrality])&gt;0,L36,NoMetricMessage)</f>
        <v>0.707763</v>
      </c>
    </row>
    <row r="132" spans="1:2" ht="15">
      <c r="A132" s="30" t="s">
        <v>108</v>
      </c>
      <c r="B132" s="44">
        <f>_xlfn.IFERROR(AVERAGE(Vertices[Closeness Centrality]),NoMetricMessage)</f>
        <v>0.37728278846153834</v>
      </c>
    </row>
    <row r="133" spans="1:2" ht="15">
      <c r="A133" s="30" t="s">
        <v>109</v>
      </c>
      <c r="B133" s="44">
        <f>_xlfn.IFERROR(MEDIAN(Vertices[Closeness Centrality]),NoMetricMessage)</f>
        <v>0.41555</v>
      </c>
    </row>
    <row r="144" spans="1:2" ht="15">
      <c r="A144" s="30" t="s">
        <v>112</v>
      </c>
      <c r="B144" s="44">
        <f>IF(COUNT(Vertices[Eigenvector Centrality])&gt;0,N2,NoMetricMessage)</f>
        <v>0.006373</v>
      </c>
    </row>
    <row r="145" spans="1:2" ht="15">
      <c r="A145" s="30" t="s">
        <v>113</v>
      </c>
      <c r="B145" s="44">
        <f>IF(COUNT(Vertices[Eigenvector Centrality])&gt;0,N36,NoMetricMessage)</f>
        <v>0.687717</v>
      </c>
    </row>
    <row r="146" spans="1:2" ht="15">
      <c r="A146" s="30" t="s">
        <v>114</v>
      </c>
      <c r="B146" s="44">
        <f>_xlfn.IFERROR(AVERAGE(Vertices[Eigenvector Centrality]),NoMetricMessage)</f>
        <v>0.05292555769230766</v>
      </c>
    </row>
    <row r="147" spans="1:2" ht="15">
      <c r="A147" s="30" t="s">
        <v>115</v>
      </c>
      <c r="B147" s="44">
        <f>_xlfn.IFERROR(MEDIAN(Vertices[Eigenvector Centrality]),NoMetricMessage)</f>
        <v>0.065898</v>
      </c>
    </row>
    <row r="158" spans="1:2" ht="15">
      <c r="A158" s="30" t="s">
        <v>140</v>
      </c>
      <c r="B158" s="44">
        <f>IF(COUNT(Vertices[PageRank])&gt;0,P2,NoMetricMessage)</f>
        <v>0.005552</v>
      </c>
    </row>
    <row r="159" spans="1:2" ht="15">
      <c r="A159" s="30" t="s">
        <v>141</v>
      </c>
      <c r="B159" s="44">
        <f>IF(COUNT(Vertices[PageRank])&gt;0,P36,NoMetricMessage)</f>
        <v>0.066104</v>
      </c>
    </row>
    <row r="160" spans="1:2" ht="15">
      <c r="A160" s="30" t="s">
        <v>142</v>
      </c>
      <c r="B160" s="44">
        <f>_xlfn.IFERROR(AVERAGE(Vertices[PageRank]),NoMetricMessage)</f>
        <v>0.006410025641025641</v>
      </c>
    </row>
    <row r="161" spans="1:2" ht="15">
      <c r="A161" s="30" t="s">
        <v>143</v>
      </c>
      <c r="B161" s="44">
        <f>_xlfn.IFERROR(MEDIAN(Vertices[PageRank]),NoMetricMessage)</f>
        <v>0.0056755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0.09362942107979329</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1981</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1983</v>
      </c>
    </row>
    <row r="9" spans="1:11" ht="409.6">
      <c r="A9"/>
      <c r="B9">
        <v>3</v>
      </c>
      <c r="C9">
        <v>4</v>
      </c>
      <c r="D9" t="s">
        <v>62</v>
      </c>
      <c r="E9" t="s">
        <v>62</v>
      </c>
      <c r="H9" t="s">
        <v>74</v>
      </c>
      <c r="J9" t="s">
        <v>390</v>
      </c>
      <c r="K9" s="100" t="s">
        <v>1982</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29CE-F20E-4745-8103-6D7E533BE396}">
  <dimension ref="A1:V102"/>
  <sheetViews>
    <sheetView workbookViewId="0" topLeftCell="A1">
      <selection activeCell="C14" sqref="C14"/>
    </sheetView>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335</v>
      </c>
      <c r="B1" s="7" t="s">
        <v>336</v>
      </c>
      <c r="C1" s="7" t="s">
        <v>471</v>
      </c>
      <c r="D1" s="7" t="s">
        <v>473</v>
      </c>
      <c r="E1" s="7" t="s">
        <v>472</v>
      </c>
      <c r="F1" s="7" t="s">
        <v>475</v>
      </c>
      <c r="G1" s="7" t="s">
        <v>474</v>
      </c>
      <c r="H1" s="7" t="s">
        <v>477</v>
      </c>
      <c r="I1" s="75" t="s">
        <v>476</v>
      </c>
      <c r="J1" s="75" t="s">
        <v>479</v>
      </c>
      <c r="K1" s="7" t="s">
        <v>478</v>
      </c>
      <c r="L1" s="7" t="s">
        <v>481</v>
      </c>
      <c r="M1" s="7" t="s">
        <v>480</v>
      </c>
      <c r="N1" s="7" t="s">
        <v>483</v>
      </c>
      <c r="O1" s="75" t="s">
        <v>482</v>
      </c>
      <c r="P1" s="75" t="s">
        <v>485</v>
      </c>
      <c r="Q1" s="75" t="s">
        <v>484</v>
      </c>
      <c r="R1" s="75" t="s">
        <v>487</v>
      </c>
      <c r="S1" s="75" t="s">
        <v>486</v>
      </c>
      <c r="T1" s="75" t="s">
        <v>489</v>
      </c>
      <c r="U1" s="7" t="s">
        <v>488</v>
      </c>
      <c r="V1" s="7" t="s">
        <v>490</v>
      </c>
    </row>
    <row r="2" spans="1:22" ht="15">
      <c r="A2" s="83" t="s">
        <v>1984</v>
      </c>
      <c r="B2" s="75">
        <v>5</v>
      </c>
      <c r="C2" s="83" t="s">
        <v>1984</v>
      </c>
      <c r="D2" s="75">
        <v>5</v>
      </c>
      <c r="E2" s="83" t="s">
        <v>1999</v>
      </c>
      <c r="F2" s="75">
        <v>1</v>
      </c>
      <c r="G2" s="83" t="s">
        <v>2004</v>
      </c>
      <c r="H2" s="75">
        <v>1</v>
      </c>
      <c r="I2" s="75"/>
      <c r="J2" s="75"/>
      <c r="K2" s="83" t="s">
        <v>2005</v>
      </c>
      <c r="L2" s="75">
        <v>1</v>
      </c>
      <c r="M2" s="83" t="s">
        <v>1990</v>
      </c>
      <c r="N2" s="75">
        <v>1</v>
      </c>
      <c r="O2" s="75"/>
      <c r="P2" s="75"/>
      <c r="Q2" s="75"/>
      <c r="R2" s="75"/>
      <c r="S2" s="75"/>
      <c r="T2" s="75"/>
      <c r="U2" s="83" t="s">
        <v>1993</v>
      </c>
      <c r="V2" s="75">
        <v>1</v>
      </c>
    </row>
    <row r="3" spans="1:22" ht="15">
      <c r="A3" s="81" t="s">
        <v>1985</v>
      </c>
      <c r="B3" s="75">
        <v>3</v>
      </c>
      <c r="C3" s="83" t="s">
        <v>1985</v>
      </c>
      <c r="D3" s="75">
        <v>3</v>
      </c>
      <c r="E3" s="83" t="s">
        <v>2000</v>
      </c>
      <c r="F3" s="75">
        <v>1</v>
      </c>
      <c r="G3" s="75"/>
      <c r="H3" s="75"/>
      <c r="I3" s="75"/>
      <c r="J3" s="75"/>
      <c r="K3" s="75"/>
      <c r="L3" s="75"/>
      <c r="M3" s="75"/>
      <c r="N3" s="75"/>
      <c r="O3" s="75"/>
      <c r="P3" s="75"/>
      <c r="Q3" s="75"/>
      <c r="R3" s="75"/>
      <c r="S3" s="75"/>
      <c r="T3" s="75"/>
      <c r="U3" s="83" t="s">
        <v>2006</v>
      </c>
      <c r="V3" s="75">
        <v>1</v>
      </c>
    </row>
    <row r="4" spans="1:22" ht="15">
      <c r="A4" s="81" t="s">
        <v>1986</v>
      </c>
      <c r="B4" s="75">
        <v>3</v>
      </c>
      <c r="C4" s="83" t="s">
        <v>1986</v>
      </c>
      <c r="D4" s="75">
        <v>3</v>
      </c>
      <c r="E4" s="83" t="s">
        <v>2001</v>
      </c>
      <c r="F4" s="75">
        <v>1</v>
      </c>
      <c r="G4" s="75"/>
      <c r="H4" s="75"/>
      <c r="I4" s="75"/>
      <c r="J4" s="75"/>
      <c r="K4" s="75"/>
      <c r="L4" s="75"/>
      <c r="M4" s="75"/>
      <c r="N4" s="75"/>
      <c r="O4" s="75"/>
      <c r="P4" s="75"/>
      <c r="Q4" s="75"/>
      <c r="R4" s="75"/>
      <c r="S4" s="75"/>
      <c r="T4" s="75"/>
      <c r="U4" s="75"/>
      <c r="V4" s="75"/>
    </row>
    <row r="5" spans="1:22" ht="15">
      <c r="A5" s="81" t="s">
        <v>1987</v>
      </c>
      <c r="B5" s="75">
        <v>3</v>
      </c>
      <c r="C5" s="83" t="s">
        <v>1987</v>
      </c>
      <c r="D5" s="75">
        <v>3</v>
      </c>
      <c r="E5" s="83" t="s">
        <v>2002</v>
      </c>
      <c r="F5" s="75">
        <v>1</v>
      </c>
      <c r="G5" s="75"/>
      <c r="H5" s="75"/>
      <c r="I5" s="75"/>
      <c r="J5" s="75"/>
      <c r="K5" s="75"/>
      <c r="L5" s="75"/>
      <c r="M5" s="75"/>
      <c r="N5" s="75"/>
      <c r="O5" s="75"/>
      <c r="P5" s="75"/>
      <c r="Q5" s="75"/>
      <c r="R5" s="75"/>
      <c r="S5" s="75"/>
      <c r="T5" s="75"/>
      <c r="U5" s="75"/>
      <c r="V5" s="75"/>
    </row>
    <row r="6" spans="1:22" ht="15">
      <c r="A6" s="81" t="s">
        <v>1988</v>
      </c>
      <c r="B6" s="75">
        <v>2</v>
      </c>
      <c r="C6" s="83" t="s">
        <v>1989</v>
      </c>
      <c r="D6" s="75">
        <v>2</v>
      </c>
      <c r="E6" s="83" t="s">
        <v>2003</v>
      </c>
      <c r="F6" s="75">
        <v>1</v>
      </c>
      <c r="G6" s="75"/>
      <c r="H6" s="75"/>
      <c r="I6" s="75"/>
      <c r="J6" s="75"/>
      <c r="K6" s="75"/>
      <c r="L6" s="75"/>
      <c r="M6" s="75"/>
      <c r="N6" s="75"/>
      <c r="O6" s="75"/>
      <c r="P6" s="75"/>
      <c r="Q6" s="75"/>
      <c r="R6" s="75"/>
      <c r="S6" s="75"/>
      <c r="T6" s="75"/>
      <c r="U6" s="75"/>
      <c r="V6" s="75"/>
    </row>
    <row r="7" spans="1:22" ht="15">
      <c r="A7" s="81" t="s">
        <v>1989</v>
      </c>
      <c r="B7" s="75">
        <v>2</v>
      </c>
      <c r="C7" s="83" t="s">
        <v>1994</v>
      </c>
      <c r="D7" s="75">
        <v>1</v>
      </c>
      <c r="E7" s="75"/>
      <c r="F7" s="75"/>
      <c r="G7" s="75"/>
      <c r="H7" s="75"/>
      <c r="I7" s="75"/>
      <c r="J7" s="75"/>
      <c r="K7" s="75"/>
      <c r="L7" s="75"/>
      <c r="M7" s="75"/>
      <c r="N7" s="75"/>
      <c r="O7" s="75"/>
      <c r="P7" s="75"/>
      <c r="Q7" s="75"/>
      <c r="R7" s="75"/>
      <c r="S7" s="75"/>
      <c r="T7" s="75"/>
      <c r="U7" s="75"/>
      <c r="V7" s="75"/>
    </row>
    <row r="8" spans="1:22" ht="15">
      <c r="A8" s="81" t="s">
        <v>1990</v>
      </c>
      <c r="B8" s="75">
        <v>1</v>
      </c>
      <c r="C8" s="83" t="s">
        <v>1995</v>
      </c>
      <c r="D8" s="75">
        <v>1</v>
      </c>
      <c r="E8" s="75"/>
      <c r="F8" s="75"/>
      <c r="G8" s="75"/>
      <c r="H8" s="75"/>
      <c r="I8" s="75"/>
      <c r="J8" s="75"/>
      <c r="K8" s="75"/>
      <c r="L8" s="75"/>
      <c r="M8" s="75"/>
      <c r="N8" s="75"/>
      <c r="O8" s="75"/>
      <c r="P8" s="75"/>
      <c r="Q8" s="75"/>
      <c r="R8" s="75"/>
      <c r="S8" s="75"/>
      <c r="T8" s="75"/>
      <c r="U8" s="75"/>
      <c r="V8" s="75"/>
    </row>
    <row r="9" spans="1:22" ht="15">
      <c r="A9" s="81" t="s">
        <v>1991</v>
      </c>
      <c r="B9" s="75">
        <v>1</v>
      </c>
      <c r="C9" s="83" t="s">
        <v>1996</v>
      </c>
      <c r="D9" s="75">
        <v>1</v>
      </c>
      <c r="E9" s="75"/>
      <c r="F9" s="75"/>
      <c r="G9" s="75"/>
      <c r="H9" s="75"/>
      <c r="I9" s="75"/>
      <c r="J9" s="75"/>
      <c r="K9" s="75"/>
      <c r="L9" s="75"/>
      <c r="M9" s="75"/>
      <c r="N9" s="75"/>
      <c r="O9" s="75"/>
      <c r="P9" s="75"/>
      <c r="Q9" s="75"/>
      <c r="R9" s="75"/>
      <c r="S9" s="75"/>
      <c r="T9" s="75"/>
      <c r="U9" s="75"/>
      <c r="V9" s="75"/>
    </row>
    <row r="10" spans="1:22" ht="15">
      <c r="A10" s="81" t="s">
        <v>1992</v>
      </c>
      <c r="B10" s="75">
        <v>1</v>
      </c>
      <c r="C10" s="83" t="s">
        <v>1997</v>
      </c>
      <c r="D10" s="75">
        <v>1</v>
      </c>
      <c r="E10" s="75"/>
      <c r="F10" s="75"/>
      <c r="G10" s="75"/>
      <c r="H10" s="75"/>
      <c r="I10" s="75"/>
      <c r="J10" s="75"/>
      <c r="K10" s="75"/>
      <c r="L10" s="75"/>
      <c r="M10" s="75"/>
      <c r="N10" s="75"/>
      <c r="O10" s="75"/>
      <c r="P10" s="75"/>
      <c r="Q10" s="75"/>
      <c r="R10" s="75"/>
      <c r="S10" s="75"/>
      <c r="T10" s="75"/>
      <c r="U10" s="75"/>
      <c r="V10" s="75"/>
    </row>
    <row r="11" spans="1:22" ht="15">
      <c r="A11" s="81" t="s">
        <v>1993</v>
      </c>
      <c r="B11" s="75">
        <v>1</v>
      </c>
      <c r="C11" s="83" t="s">
        <v>1998</v>
      </c>
      <c r="D11" s="75">
        <v>1</v>
      </c>
      <c r="E11" s="75"/>
      <c r="F11" s="75"/>
      <c r="G11" s="75"/>
      <c r="H11" s="75"/>
      <c r="I11" s="75"/>
      <c r="J11" s="75"/>
      <c r="K11" s="75"/>
      <c r="L11" s="75"/>
      <c r="M11" s="75"/>
      <c r="N11" s="75"/>
      <c r="O11" s="75"/>
      <c r="P11" s="75"/>
      <c r="Q11" s="75"/>
      <c r="R11" s="75"/>
      <c r="S11" s="75"/>
      <c r="T11" s="75"/>
      <c r="U11" s="75"/>
      <c r="V11" s="75"/>
    </row>
    <row r="14" spans="1:22" ht="14.4" customHeight="1">
      <c r="A14" s="7" t="s">
        <v>338</v>
      </c>
      <c r="B14" s="7" t="s">
        <v>336</v>
      </c>
      <c r="C14" s="7" t="s">
        <v>491</v>
      </c>
      <c r="D14" s="7" t="s">
        <v>473</v>
      </c>
      <c r="E14" s="7" t="s">
        <v>492</v>
      </c>
      <c r="F14" s="7" t="s">
        <v>475</v>
      </c>
      <c r="G14" s="7" t="s">
        <v>493</v>
      </c>
      <c r="H14" s="7" t="s">
        <v>477</v>
      </c>
      <c r="I14" s="75" t="s">
        <v>494</v>
      </c>
      <c r="J14" s="75" t="s">
        <v>479</v>
      </c>
      <c r="K14" s="7" t="s">
        <v>495</v>
      </c>
      <c r="L14" s="7" t="s">
        <v>481</v>
      </c>
      <c r="M14" s="7" t="s">
        <v>496</v>
      </c>
      <c r="N14" s="7" t="s">
        <v>483</v>
      </c>
      <c r="O14" s="75" t="s">
        <v>497</v>
      </c>
      <c r="P14" s="75" t="s">
        <v>485</v>
      </c>
      <c r="Q14" s="75" t="s">
        <v>498</v>
      </c>
      <c r="R14" s="75" t="s">
        <v>487</v>
      </c>
      <c r="S14" s="75" t="s">
        <v>499</v>
      </c>
      <c r="T14" s="75" t="s">
        <v>489</v>
      </c>
      <c r="U14" s="7" t="s">
        <v>500</v>
      </c>
      <c r="V14" s="7" t="s">
        <v>490</v>
      </c>
    </row>
    <row r="15" spans="1:22" ht="15">
      <c r="A15" s="75" t="s">
        <v>233</v>
      </c>
      <c r="B15" s="75">
        <v>9</v>
      </c>
      <c r="C15" s="75" t="s">
        <v>235</v>
      </c>
      <c r="D15" s="75">
        <v>9</v>
      </c>
      <c r="E15" s="75" t="s">
        <v>233</v>
      </c>
      <c r="F15" s="75">
        <v>4</v>
      </c>
      <c r="G15" s="75" t="s">
        <v>872</v>
      </c>
      <c r="H15" s="75">
        <v>1</v>
      </c>
      <c r="I15" s="75"/>
      <c r="J15" s="75"/>
      <c r="K15" s="75" t="s">
        <v>233</v>
      </c>
      <c r="L15" s="75">
        <v>1</v>
      </c>
      <c r="M15" s="75" t="s">
        <v>891</v>
      </c>
      <c r="N15" s="75">
        <v>1</v>
      </c>
      <c r="O15" s="75"/>
      <c r="P15" s="75"/>
      <c r="Q15" s="75"/>
      <c r="R15" s="75"/>
      <c r="S15" s="75"/>
      <c r="T15" s="75"/>
      <c r="U15" s="75" t="s">
        <v>890</v>
      </c>
      <c r="V15" s="75">
        <v>2</v>
      </c>
    </row>
    <row r="16" spans="1:22" ht="15">
      <c r="A16" s="76" t="s">
        <v>235</v>
      </c>
      <c r="B16" s="75">
        <v>9</v>
      </c>
      <c r="C16" s="75" t="s">
        <v>236</v>
      </c>
      <c r="D16" s="75">
        <v>6</v>
      </c>
      <c r="E16" s="75" t="s">
        <v>1737</v>
      </c>
      <c r="F16" s="75">
        <v>1</v>
      </c>
      <c r="G16" s="75"/>
      <c r="H16" s="75"/>
      <c r="I16" s="75"/>
      <c r="J16" s="75"/>
      <c r="K16" s="75"/>
      <c r="L16" s="75"/>
      <c r="M16" s="75"/>
      <c r="N16" s="75"/>
      <c r="O16" s="75"/>
      <c r="P16" s="75"/>
      <c r="Q16" s="75"/>
      <c r="R16" s="75"/>
      <c r="S16" s="75"/>
      <c r="T16" s="75"/>
      <c r="U16" s="75"/>
      <c r="V16" s="75"/>
    </row>
    <row r="17" spans="1:22" ht="15">
      <c r="A17" s="76" t="s">
        <v>236</v>
      </c>
      <c r="B17" s="75">
        <v>6</v>
      </c>
      <c r="C17" s="75" t="s">
        <v>400</v>
      </c>
      <c r="D17" s="75">
        <v>6</v>
      </c>
      <c r="E17" s="75"/>
      <c r="F17" s="75"/>
      <c r="G17" s="75"/>
      <c r="H17" s="75"/>
      <c r="I17" s="75"/>
      <c r="J17" s="75"/>
      <c r="K17" s="75"/>
      <c r="L17" s="75"/>
      <c r="M17" s="75"/>
      <c r="N17" s="75"/>
      <c r="O17" s="75"/>
      <c r="P17" s="75"/>
      <c r="Q17" s="75"/>
      <c r="R17" s="75"/>
      <c r="S17" s="75"/>
      <c r="T17" s="75"/>
      <c r="U17" s="75"/>
      <c r="V17" s="75"/>
    </row>
    <row r="18" spans="1:22" ht="15">
      <c r="A18" s="76" t="s">
        <v>400</v>
      </c>
      <c r="B18" s="75">
        <v>6</v>
      </c>
      <c r="C18" s="75" t="s">
        <v>233</v>
      </c>
      <c r="D18" s="75">
        <v>4</v>
      </c>
      <c r="E18" s="75"/>
      <c r="F18" s="75"/>
      <c r="G18" s="75"/>
      <c r="H18" s="75"/>
      <c r="I18" s="75"/>
      <c r="J18" s="75"/>
      <c r="K18" s="75"/>
      <c r="L18" s="75"/>
      <c r="M18" s="75"/>
      <c r="N18" s="75"/>
      <c r="O18" s="75"/>
      <c r="P18" s="75"/>
      <c r="Q18" s="75"/>
      <c r="R18" s="75"/>
      <c r="S18" s="75"/>
      <c r="T18" s="75"/>
      <c r="U18" s="75"/>
      <c r="V18" s="75"/>
    </row>
    <row r="19" spans="1:22" ht="15">
      <c r="A19" s="76" t="s">
        <v>878</v>
      </c>
      <c r="B19" s="75">
        <v>4</v>
      </c>
      <c r="C19" s="75" t="s">
        <v>871</v>
      </c>
      <c r="D19" s="75">
        <v>3</v>
      </c>
      <c r="E19" s="75"/>
      <c r="F19" s="75"/>
      <c r="G19" s="75"/>
      <c r="H19" s="75"/>
      <c r="I19" s="75"/>
      <c r="J19" s="75"/>
      <c r="K19" s="75"/>
      <c r="L19" s="75"/>
      <c r="M19" s="75"/>
      <c r="N19" s="75"/>
      <c r="O19" s="75"/>
      <c r="P19" s="75"/>
      <c r="Q19" s="75"/>
      <c r="R19" s="75"/>
      <c r="S19" s="75"/>
      <c r="T19" s="75"/>
      <c r="U19" s="75"/>
      <c r="V19" s="75"/>
    </row>
    <row r="20" spans="1:22" ht="15">
      <c r="A20" s="76" t="s">
        <v>871</v>
      </c>
      <c r="B20" s="75">
        <v>3</v>
      </c>
      <c r="C20" s="75" t="s">
        <v>2014</v>
      </c>
      <c r="D20" s="75">
        <v>3</v>
      </c>
      <c r="E20" s="75"/>
      <c r="F20" s="75"/>
      <c r="G20" s="75"/>
      <c r="H20" s="75"/>
      <c r="I20" s="75"/>
      <c r="J20" s="75"/>
      <c r="K20" s="75"/>
      <c r="L20" s="75"/>
      <c r="M20" s="75"/>
      <c r="N20" s="75"/>
      <c r="O20" s="75"/>
      <c r="P20" s="75"/>
      <c r="Q20" s="75"/>
      <c r="R20" s="75"/>
      <c r="S20" s="75"/>
      <c r="T20" s="75"/>
      <c r="U20" s="75"/>
      <c r="V20" s="75"/>
    </row>
    <row r="21" spans="1:22" ht="15">
      <c r="A21" s="76" t="s">
        <v>2014</v>
      </c>
      <c r="B21" s="75">
        <v>3</v>
      </c>
      <c r="C21" s="75" t="s">
        <v>234</v>
      </c>
      <c r="D21" s="75">
        <v>2</v>
      </c>
      <c r="E21" s="75"/>
      <c r="F21" s="75"/>
      <c r="G21" s="75"/>
      <c r="H21" s="75"/>
      <c r="I21" s="75"/>
      <c r="J21" s="75"/>
      <c r="K21" s="75"/>
      <c r="L21" s="75"/>
      <c r="M21" s="75"/>
      <c r="N21" s="75"/>
      <c r="O21" s="75"/>
      <c r="P21" s="75"/>
      <c r="Q21" s="75"/>
      <c r="R21" s="75"/>
      <c r="S21" s="75"/>
      <c r="T21" s="75"/>
      <c r="U21" s="75"/>
      <c r="V21" s="75"/>
    </row>
    <row r="22" spans="1:22" ht="15">
      <c r="A22" s="76" t="s">
        <v>874</v>
      </c>
      <c r="B22" s="75">
        <v>2</v>
      </c>
      <c r="C22" s="75" t="s">
        <v>1750</v>
      </c>
      <c r="D22" s="75">
        <v>2</v>
      </c>
      <c r="E22" s="75"/>
      <c r="F22" s="75"/>
      <c r="G22" s="75"/>
      <c r="H22" s="75"/>
      <c r="I22" s="75"/>
      <c r="J22" s="75"/>
      <c r="K22" s="75"/>
      <c r="L22" s="75"/>
      <c r="M22" s="75"/>
      <c r="N22" s="75"/>
      <c r="O22" s="75"/>
      <c r="P22" s="75"/>
      <c r="Q22" s="75"/>
      <c r="R22" s="75"/>
      <c r="S22" s="75"/>
      <c r="T22" s="75"/>
      <c r="U22" s="75"/>
      <c r="V22" s="75"/>
    </row>
    <row r="23" spans="1:22" ht="15">
      <c r="A23" s="76" t="s">
        <v>890</v>
      </c>
      <c r="B23" s="75">
        <v>2</v>
      </c>
      <c r="C23" s="75" t="s">
        <v>868</v>
      </c>
      <c r="D23" s="75">
        <v>1</v>
      </c>
      <c r="E23" s="75"/>
      <c r="F23" s="75"/>
      <c r="G23" s="75"/>
      <c r="H23" s="75"/>
      <c r="I23" s="75"/>
      <c r="J23" s="75"/>
      <c r="K23" s="75"/>
      <c r="L23" s="75"/>
      <c r="M23" s="75"/>
      <c r="N23" s="75"/>
      <c r="O23" s="75"/>
      <c r="P23" s="75"/>
      <c r="Q23" s="75"/>
      <c r="R23" s="75"/>
      <c r="S23" s="75"/>
      <c r="T23" s="75"/>
      <c r="U23" s="75"/>
      <c r="V23" s="75"/>
    </row>
    <row r="24" spans="1:22" ht="15">
      <c r="A24" s="76" t="s">
        <v>1750</v>
      </c>
      <c r="B24" s="75">
        <v>2</v>
      </c>
      <c r="C24" s="75" t="s">
        <v>869</v>
      </c>
      <c r="D24" s="75">
        <v>1</v>
      </c>
      <c r="E24" s="75"/>
      <c r="F24" s="75"/>
      <c r="G24" s="75"/>
      <c r="H24" s="75"/>
      <c r="I24" s="75"/>
      <c r="J24" s="75"/>
      <c r="K24" s="75"/>
      <c r="L24" s="75"/>
      <c r="M24" s="75"/>
      <c r="N24" s="75"/>
      <c r="O24" s="75"/>
      <c r="P24" s="75"/>
      <c r="Q24" s="75"/>
      <c r="R24" s="75"/>
      <c r="S24" s="75"/>
      <c r="T24" s="75"/>
      <c r="U24" s="75"/>
      <c r="V24" s="75"/>
    </row>
    <row r="27" spans="1:22" ht="14.4" customHeight="1">
      <c r="A27" s="7" t="s">
        <v>340</v>
      </c>
      <c r="B27" s="7" t="s">
        <v>336</v>
      </c>
      <c r="C27" s="7" t="s">
        <v>501</v>
      </c>
      <c r="D27" s="7" t="s">
        <v>473</v>
      </c>
      <c r="E27" s="7" t="s">
        <v>502</v>
      </c>
      <c r="F27" s="7" t="s">
        <v>475</v>
      </c>
      <c r="G27" s="75" t="s">
        <v>503</v>
      </c>
      <c r="H27" s="75" t="s">
        <v>477</v>
      </c>
      <c r="I27" s="75" t="s">
        <v>504</v>
      </c>
      <c r="J27" s="75" t="s">
        <v>479</v>
      </c>
      <c r="K27" s="7" t="s">
        <v>505</v>
      </c>
      <c r="L27" s="7" t="s">
        <v>481</v>
      </c>
      <c r="M27" s="7" t="s">
        <v>507</v>
      </c>
      <c r="N27" s="7" t="s">
        <v>483</v>
      </c>
      <c r="O27" s="7" t="s">
        <v>508</v>
      </c>
      <c r="P27" s="7" t="s">
        <v>485</v>
      </c>
      <c r="Q27" s="7" t="s">
        <v>509</v>
      </c>
      <c r="R27" s="7" t="s">
        <v>487</v>
      </c>
      <c r="S27" s="75" t="s">
        <v>510</v>
      </c>
      <c r="T27" s="75" t="s">
        <v>489</v>
      </c>
      <c r="U27" s="7" t="s">
        <v>511</v>
      </c>
      <c r="V27" s="7" t="s">
        <v>490</v>
      </c>
    </row>
    <row r="28" spans="1:22" ht="15">
      <c r="A28" s="75" t="s">
        <v>837</v>
      </c>
      <c r="B28" s="75">
        <v>12</v>
      </c>
      <c r="C28" s="75" t="s">
        <v>837</v>
      </c>
      <c r="D28" s="75">
        <v>12</v>
      </c>
      <c r="E28" s="75" t="s">
        <v>2018</v>
      </c>
      <c r="F28" s="75">
        <v>3</v>
      </c>
      <c r="G28" s="75"/>
      <c r="H28" s="75"/>
      <c r="I28" s="75"/>
      <c r="J28" s="75"/>
      <c r="K28" s="75" t="s">
        <v>526</v>
      </c>
      <c r="L28" s="75">
        <v>1</v>
      </c>
      <c r="M28" s="75" t="s">
        <v>2028</v>
      </c>
      <c r="N28" s="75">
        <v>1</v>
      </c>
      <c r="O28" s="75" t="s">
        <v>839</v>
      </c>
      <c r="P28" s="75">
        <v>1</v>
      </c>
      <c r="Q28" s="75" t="s">
        <v>843</v>
      </c>
      <c r="R28" s="75">
        <v>1</v>
      </c>
      <c r="S28" s="75"/>
      <c r="T28" s="75"/>
      <c r="U28" s="75" t="s">
        <v>644</v>
      </c>
      <c r="V28" s="75">
        <v>2</v>
      </c>
    </row>
    <row r="29" spans="1:22" ht="15">
      <c r="A29" s="76" t="s">
        <v>396</v>
      </c>
      <c r="B29" s="75">
        <v>7</v>
      </c>
      <c r="C29" s="75" t="s">
        <v>224</v>
      </c>
      <c r="D29" s="75">
        <v>6</v>
      </c>
      <c r="E29" s="75" t="s">
        <v>2020</v>
      </c>
      <c r="F29" s="75">
        <v>2</v>
      </c>
      <c r="G29" s="75"/>
      <c r="H29" s="75"/>
      <c r="I29" s="75"/>
      <c r="J29" s="75"/>
      <c r="K29" s="75" t="s">
        <v>396</v>
      </c>
      <c r="L29" s="75">
        <v>1</v>
      </c>
      <c r="M29" s="75" t="s">
        <v>2029</v>
      </c>
      <c r="N29" s="75">
        <v>1</v>
      </c>
      <c r="O29" s="75"/>
      <c r="P29" s="75"/>
      <c r="Q29" s="75"/>
      <c r="R29" s="75"/>
      <c r="S29" s="75"/>
      <c r="T29" s="75"/>
      <c r="U29" s="75" t="s">
        <v>2035</v>
      </c>
      <c r="V29" s="75">
        <v>1</v>
      </c>
    </row>
    <row r="30" spans="1:22" ht="15">
      <c r="A30" s="76" t="s">
        <v>224</v>
      </c>
      <c r="B30" s="75">
        <v>6</v>
      </c>
      <c r="C30" s="75" t="s">
        <v>232</v>
      </c>
      <c r="D30" s="75">
        <v>5</v>
      </c>
      <c r="E30" s="75" t="s">
        <v>2021</v>
      </c>
      <c r="F30" s="75">
        <v>2</v>
      </c>
      <c r="G30" s="75"/>
      <c r="H30" s="75"/>
      <c r="I30" s="75"/>
      <c r="J30" s="75"/>
      <c r="K30" s="75" t="s">
        <v>528</v>
      </c>
      <c r="L30" s="75">
        <v>1</v>
      </c>
      <c r="M30" s="75" t="s">
        <v>2030</v>
      </c>
      <c r="N30" s="75">
        <v>1</v>
      </c>
      <c r="O30" s="75"/>
      <c r="P30" s="75"/>
      <c r="Q30" s="75"/>
      <c r="R30" s="75"/>
      <c r="S30" s="75"/>
      <c r="T30" s="75"/>
      <c r="U30" s="75" t="s">
        <v>2036</v>
      </c>
      <c r="V30" s="75">
        <v>1</v>
      </c>
    </row>
    <row r="31" spans="1:22" ht="15">
      <c r="A31" s="76" t="s">
        <v>506</v>
      </c>
      <c r="B31" s="75">
        <v>5</v>
      </c>
      <c r="C31" s="75" t="s">
        <v>527</v>
      </c>
      <c r="D31" s="75">
        <v>4</v>
      </c>
      <c r="E31" s="75" t="s">
        <v>2022</v>
      </c>
      <c r="F31" s="75">
        <v>2</v>
      </c>
      <c r="G31" s="75"/>
      <c r="H31" s="75"/>
      <c r="I31" s="75"/>
      <c r="J31" s="75"/>
      <c r="K31" s="75" t="s">
        <v>2026</v>
      </c>
      <c r="L31" s="75">
        <v>1</v>
      </c>
      <c r="M31" s="75" t="s">
        <v>2031</v>
      </c>
      <c r="N31" s="75">
        <v>1</v>
      </c>
      <c r="O31" s="75"/>
      <c r="P31" s="75"/>
      <c r="Q31" s="75"/>
      <c r="R31" s="75"/>
      <c r="S31" s="75"/>
      <c r="T31" s="75"/>
      <c r="U31" s="113">
        <v>45065</v>
      </c>
      <c r="V31" s="75">
        <v>1</v>
      </c>
    </row>
    <row r="32" spans="1:22" ht="15">
      <c r="A32" s="76" t="s">
        <v>232</v>
      </c>
      <c r="B32" s="75">
        <v>5</v>
      </c>
      <c r="C32" s="75" t="s">
        <v>2017</v>
      </c>
      <c r="D32" s="75">
        <v>4</v>
      </c>
      <c r="E32" s="75" t="s">
        <v>850</v>
      </c>
      <c r="F32" s="75">
        <v>2</v>
      </c>
      <c r="G32" s="75"/>
      <c r="H32" s="75"/>
      <c r="I32" s="75"/>
      <c r="J32" s="75"/>
      <c r="K32" s="75" t="s">
        <v>2027</v>
      </c>
      <c r="L32" s="75">
        <v>1</v>
      </c>
      <c r="M32" s="75" t="s">
        <v>2032</v>
      </c>
      <c r="N32" s="75">
        <v>1</v>
      </c>
      <c r="O32" s="75"/>
      <c r="P32" s="75"/>
      <c r="Q32" s="75"/>
      <c r="R32" s="75"/>
      <c r="S32" s="75"/>
      <c r="T32" s="75"/>
      <c r="U32" s="114">
        <v>42143</v>
      </c>
      <c r="V32" s="75">
        <v>1</v>
      </c>
    </row>
    <row r="33" spans="1:22" ht="15">
      <c r="A33" s="76" t="s">
        <v>527</v>
      </c>
      <c r="B33" s="75">
        <v>4</v>
      </c>
      <c r="C33" s="75" t="s">
        <v>396</v>
      </c>
      <c r="D33" s="75">
        <v>4</v>
      </c>
      <c r="E33" s="75" t="s">
        <v>225</v>
      </c>
      <c r="F33" s="75">
        <v>1</v>
      </c>
      <c r="G33" s="75"/>
      <c r="H33" s="75"/>
      <c r="I33" s="75"/>
      <c r="J33" s="75"/>
      <c r="K33" s="75"/>
      <c r="L33" s="75"/>
      <c r="M33" s="75" t="s">
        <v>2033</v>
      </c>
      <c r="N33" s="75">
        <v>1</v>
      </c>
      <c r="O33" s="75"/>
      <c r="P33" s="75"/>
      <c r="Q33" s="75"/>
      <c r="R33" s="75"/>
      <c r="S33" s="75"/>
      <c r="T33" s="75"/>
      <c r="U33" s="114">
        <v>42509</v>
      </c>
      <c r="V33" s="75">
        <v>1</v>
      </c>
    </row>
    <row r="34" spans="1:22" ht="15">
      <c r="A34" s="76" t="s">
        <v>2017</v>
      </c>
      <c r="B34" s="75">
        <v>4</v>
      </c>
      <c r="C34" s="75" t="s">
        <v>2019</v>
      </c>
      <c r="D34" s="75">
        <v>3</v>
      </c>
      <c r="E34" s="101">
        <v>44044</v>
      </c>
      <c r="F34" s="75">
        <v>1</v>
      </c>
      <c r="G34" s="75"/>
      <c r="H34" s="75"/>
      <c r="I34" s="75"/>
      <c r="J34" s="75"/>
      <c r="K34" s="75"/>
      <c r="L34" s="75"/>
      <c r="M34" s="75" t="s">
        <v>2034</v>
      </c>
      <c r="N34" s="75">
        <v>1</v>
      </c>
      <c r="O34" s="75"/>
      <c r="P34" s="75"/>
      <c r="Q34" s="75"/>
      <c r="R34" s="75"/>
      <c r="S34" s="75"/>
      <c r="T34" s="75"/>
      <c r="U34" s="114">
        <v>42874</v>
      </c>
      <c r="V34" s="75">
        <v>1</v>
      </c>
    </row>
    <row r="35" spans="1:22" ht="15">
      <c r="A35" s="76" t="s">
        <v>2018</v>
      </c>
      <c r="B35" s="75">
        <v>3</v>
      </c>
      <c r="C35" s="75" t="s">
        <v>533</v>
      </c>
      <c r="D35" s="75">
        <v>3</v>
      </c>
      <c r="E35" s="75" t="s">
        <v>2023</v>
      </c>
      <c r="F35" s="75">
        <v>1</v>
      </c>
      <c r="G35" s="75"/>
      <c r="H35" s="75"/>
      <c r="I35" s="75"/>
      <c r="J35" s="75"/>
      <c r="K35" s="75"/>
      <c r="L35" s="75"/>
      <c r="M35" s="75" t="s">
        <v>396</v>
      </c>
      <c r="N35" s="75">
        <v>1</v>
      </c>
      <c r="O35" s="75"/>
      <c r="P35" s="75"/>
      <c r="Q35" s="75"/>
      <c r="R35" s="75"/>
      <c r="S35" s="75"/>
      <c r="T35" s="75"/>
      <c r="U35" s="114">
        <v>43239</v>
      </c>
      <c r="V35" s="75">
        <v>1</v>
      </c>
    </row>
    <row r="36" spans="1:22" ht="15">
      <c r="A36" s="76" t="s">
        <v>2019</v>
      </c>
      <c r="B36" s="75">
        <v>3</v>
      </c>
      <c r="C36" s="75" t="s">
        <v>530</v>
      </c>
      <c r="D36" s="75">
        <v>2</v>
      </c>
      <c r="E36" s="75" t="s">
        <v>2024</v>
      </c>
      <c r="F36" s="75">
        <v>1</v>
      </c>
      <c r="G36" s="75"/>
      <c r="H36" s="75"/>
      <c r="I36" s="75"/>
      <c r="J36" s="75"/>
      <c r="K36" s="75"/>
      <c r="L36" s="75"/>
      <c r="M36" s="75" t="s">
        <v>397</v>
      </c>
      <c r="N36" s="75">
        <v>1</v>
      </c>
      <c r="O36" s="75"/>
      <c r="P36" s="75"/>
      <c r="Q36" s="75"/>
      <c r="R36" s="75"/>
      <c r="S36" s="75"/>
      <c r="T36" s="75"/>
      <c r="U36" s="114">
        <v>43604</v>
      </c>
      <c r="V36" s="75">
        <v>1</v>
      </c>
    </row>
    <row r="37" spans="1:22" ht="15">
      <c r="A37" s="76" t="s">
        <v>533</v>
      </c>
      <c r="B37" s="75">
        <v>3</v>
      </c>
      <c r="C37" s="75" t="s">
        <v>506</v>
      </c>
      <c r="D37" s="75">
        <v>2</v>
      </c>
      <c r="E37" s="75" t="s">
        <v>2025</v>
      </c>
      <c r="F37" s="75">
        <v>1</v>
      </c>
      <c r="G37" s="75"/>
      <c r="H37" s="75"/>
      <c r="I37" s="75"/>
      <c r="J37" s="75"/>
      <c r="K37" s="75"/>
      <c r="L37" s="75"/>
      <c r="M37" s="75"/>
      <c r="N37" s="75"/>
      <c r="O37" s="75"/>
      <c r="P37" s="75"/>
      <c r="Q37" s="75"/>
      <c r="R37" s="75"/>
      <c r="S37" s="75"/>
      <c r="T37" s="75"/>
      <c r="U37" s="114">
        <v>43970</v>
      </c>
      <c r="V37" s="75">
        <v>1</v>
      </c>
    </row>
    <row r="40" spans="1:22" ht="14.4" customHeight="1">
      <c r="A40" s="7" t="s">
        <v>342</v>
      </c>
      <c r="B40" s="7" t="s">
        <v>336</v>
      </c>
      <c r="C40" s="7" t="s">
        <v>512</v>
      </c>
      <c r="D40" s="7" t="s">
        <v>473</v>
      </c>
      <c r="E40" s="7" t="s">
        <v>513</v>
      </c>
      <c r="F40" s="7" t="s">
        <v>475</v>
      </c>
      <c r="G40" s="7" t="s">
        <v>514</v>
      </c>
      <c r="H40" s="7" t="s">
        <v>477</v>
      </c>
      <c r="I40" s="75" t="s">
        <v>515</v>
      </c>
      <c r="J40" s="75" t="s">
        <v>479</v>
      </c>
      <c r="K40" s="7" t="s">
        <v>516</v>
      </c>
      <c r="L40" s="7" t="s">
        <v>481</v>
      </c>
      <c r="M40" s="75" t="s">
        <v>518</v>
      </c>
      <c r="N40" s="75" t="s">
        <v>483</v>
      </c>
      <c r="O40" s="7" t="s">
        <v>519</v>
      </c>
      <c r="P40" s="7" t="s">
        <v>485</v>
      </c>
      <c r="Q40" s="75" t="s">
        <v>520</v>
      </c>
      <c r="R40" s="75" t="s">
        <v>487</v>
      </c>
      <c r="S40" s="75" t="s">
        <v>521</v>
      </c>
      <c r="T40" s="75" t="s">
        <v>489</v>
      </c>
      <c r="U40" s="7" t="s">
        <v>522</v>
      </c>
      <c r="V40" s="7" t="s">
        <v>490</v>
      </c>
    </row>
    <row r="41" spans="1:22" ht="15">
      <c r="A41" s="79" t="s">
        <v>224</v>
      </c>
      <c r="B41" s="79">
        <v>81</v>
      </c>
      <c r="C41" s="79" t="s">
        <v>224</v>
      </c>
      <c r="D41" s="79">
        <v>55</v>
      </c>
      <c r="E41" s="79" t="s">
        <v>224</v>
      </c>
      <c r="F41" s="79">
        <v>8</v>
      </c>
      <c r="G41" s="79" t="s">
        <v>652</v>
      </c>
      <c r="H41" s="79">
        <v>2</v>
      </c>
      <c r="I41" s="79"/>
      <c r="J41" s="79"/>
      <c r="K41" s="79" t="s">
        <v>2045</v>
      </c>
      <c r="L41" s="79">
        <v>2</v>
      </c>
      <c r="M41" s="79"/>
      <c r="N41" s="79"/>
      <c r="O41" s="79" t="s">
        <v>525</v>
      </c>
      <c r="P41" s="79">
        <v>2</v>
      </c>
      <c r="Q41" s="79"/>
      <c r="R41" s="79"/>
      <c r="S41" s="79"/>
      <c r="T41" s="79"/>
      <c r="U41" s="79" t="s">
        <v>2048</v>
      </c>
      <c r="V41" s="79">
        <v>2</v>
      </c>
    </row>
    <row r="42" spans="1:22" ht="15">
      <c r="A42" s="80" t="s">
        <v>517</v>
      </c>
      <c r="B42" s="79">
        <v>14</v>
      </c>
      <c r="C42" s="79" t="s">
        <v>517</v>
      </c>
      <c r="D42" s="79">
        <v>13</v>
      </c>
      <c r="E42" s="79" t="s">
        <v>633</v>
      </c>
      <c r="F42" s="79">
        <v>5</v>
      </c>
      <c r="G42" s="79" t="s">
        <v>655</v>
      </c>
      <c r="H42" s="79">
        <v>2</v>
      </c>
      <c r="I42" s="79"/>
      <c r="J42" s="79"/>
      <c r="K42" s="79"/>
      <c r="L42" s="79"/>
      <c r="M42" s="79"/>
      <c r="N42" s="79"/>
      <c r="O42" s="79" t="s">
        <v>2046</v>
      </c>
      <c r="P42" s="79">
        <v>2</v>
      </c>
      <c r="Q42" s="79"/>
      <c r="R42" s="79"/>
      <c r="S42" s="79"/>
      <c r="T42" s="79"/>
      <c r="U42" s="79" t="s">
        <v>2049</v>
      </c>
      <c r="V42" s="79">
        <v>2</v>
      </c>
    </row>
    <row r="43" spans="1:22" ht="15">
      <c r="A43" s="80" t="s">
        <v>2040</v>
      </c>
      <c r="B43" s="79">
        <v>12</v>
      </c>
      <c r="C43" s="79" t="s">
        <v>2040</v>
      </c>
      <c r="D43" s="79">
        <v>12</v>
      </c>
      <c r="E43" s="79" t="s">
        <v>686</v>
      </c>
      <c r="F43" s="79">
        <v>4</v>
      </c>
      <c r="G43" s="79" t="s">
        <v>224</v>
      </c>
      <c r="H43" s="79">
        <v>2</v>
      </c>
      <c r="I43" s="79"/>
      <c r="J43" s="79"/>
      <c r="K43" s="79"/>
      <c r="L43" s="79"/>
      <c r="M43" s="79"/>
      <c r="N43" s="79"/>
      <c r="O43" s="79" t="s">
        <v>526</v>
      </c>
      <c r="P43" s="79">
        <v>2</v>
      </c>
      <c r="Q43" s="79"/>
      <c r="R43" s="79"/>
      <c r="S43" s="79"/>
      <c r="T43" s="79"/>
      <c r="U43" s="79" t="s">
        <v>224</v>
      </c>
      <c r="V43" s="79">
        <v>2</v>
      </c>
    </row>
    <row r="44" spans="1:22" ht="15">
      <c r="A44" s="80" t="s">
        <v>526</v>
      </c>
      <c r="B44" s="79">
        <v>10</v>
      </c>
      <c r="C44" s="79" t="s">
        <v>226</v>
      </c>
      <c r="D44" s="79">
        <v>8</v>
      </c>
      <c r="E44" s="79" t="s">
        <v>684</v>
      </c>
      <c r="F44" s="79">
        <v>4</v>
      </c>
      <c r="G44" s="79"/>
      <c r="H44" s="79"/>
      <c r="I44" s="79"/>
      <c r="J44" s="79"/>
      <c r="K44" s="79"/>
      <c r="L44" s="79"/>
      <c r="M44" s="79"/>
      <c r="N44" s="79"/>
      <c r="O44" s="79" t="s">
        <v>529</v>
      </c>
      <c r="P44" s="79">
        <v>2</v>
      </c>
      <c r="Q44" s="79"/>
      <c r="R44" s="79"/>
      <c r="S44" s="79"/>
      <c r="T44" s="79"/>
      <c r="U44" s="79"/>
      <c r="V44" s="79"/>
    </row>
    <row r="45" spans="1:22" ht="15">
      <c r="A45" s="80" t="s">
        <v>2041</v>
      </c>
      <c r="B45" s="79">
        <v>10</v>
      </c>
      <c r="C45" s="79" t="s">
        <v>344</v>
      </c>
      <c r="D45" s="79">
        <v>7</v>
      </c>
      <c r="E45" s="79" t="s">
        <v>685</v>
      </c>
      <c r="F45" s="79">
        <v>4</v>
      </c>
      <c r="G45" s="79"/>
      <c r="H45" s="79"/>
      <c r="I45" s="79"/>
      <c r="J45" s="79"/>
      <c r="K45" s="79"/>
      <c r="L45" s="79"/>
      <c r="M45" s="79"/>
      <c r="N45" s="79"/>
      <c r="O45" s="79" t="s">
        <v>2047</v>
      </c>
      <c r="P45" s="79">
        <v>2</v>
      </c>
      <c r="Q45" s="79"/>
      <c r="R45" s="79"/>
      <c r="S45" s="79"/>
      <c r="T45" s="79"/>
      <c r="U45" s="79"/>
      <c r="V45" s="79"/>
    </row>
    <row r="46" spans="1:22" ht="15">
      <c r="A46" s="80" t="s">
        <v>524</v>
      </c>
      <c r="B46" s="79">
        <v>9</v>
      </c>
      <c r="C46" s="79" t="s">
        <v>2042</v>
      </c>
      <c r="D46" s="79">
        <v>6</v>
      </c>
      <c r="E46" s="79" t="s">
        <v>683</v>
      </c>
      <c r="F46" s="79">
        <v>4</v>
      </c>
      <c r="G46" s="79"/>
      <c r="H46" s="79"/>
      <c r="I46" s="79"/>
      <c r="J46" s="79"/>
      <c r="K46" s="79"/>
      <c r="L46" s="79"/>
      <c r="M46" s="79"/>
      <c r="N46" s="79"/>
      <c r="O46" s="79" t="s">
        <v>224</v>
      </c>
      <c r="P46" s="79">
        <v>2</v>
      </c>
      <c r="Q46" s="79"/>
      <c r="R46" s="79"/>
      <c r="S46" s="79"/>
      <c r="T46" s="79"/>
      <c r="U46" s="79"/>
      <c r="V46" s="79"/>
    </row>
    <row r="47" spans="1:22" ht="15">
      <c r="A47" s="80" t="s">
        <v>344</v>
      </c>
      <c r="B47" s="79">
        <v>8</v>
      </c>
      <c r="C47" s="79" t="s">
        <v>524</v>
      </c>
      <c r="D47" s="79">
        <v>6</v>
      </c>
      <c r="E47" s="79" t="s">
        <v>687</v>
      </c>
      <c r="F47" s="79">
        <v>4</v>
      </c>
      <c r="G47" s="79"/>
      <c r="H47" s="79"/>
      <c r="I47" s="79"/>
      <c r="J47" s="79"/>
      <c r="K47" s="79"/>
      <c r="L47" s="79"/>
      <c r="M47" s="79"/>
      <c r="N47" s="79"/>
      <c r="O47" s="79" t="s">
        <v>2041</v>
      </c>
      <c r="P47" s="79">
        <v>2</v>
      </c>
      <c r="Q47" s="79"/>
      <c r="R47" s="79"/>
      <c r="S47" s="79"/>
      <c r="T47" s="79"/>
      <c r="U47" s="79"/>
      <c r="V47" s="79"/>
    </row>
    <row r="48" spans="1:22" ht="15">
      <c r="A48" s="80" t="s">
        <v>532</v>
      </c>
      <c r="B48" s="79">
        <v>8</v>
      </c>
      <c r="C48" s="79" t="s">
        <v>343</v>
      </c>
      <c r="D48" s="79">
        <v>5</v>
      </c>
      <c r="E48" s="79" t="s">
        <v>2044</v>
      </c>
      <c r="F48" s="79">
        <v>4</v>
      </c>
      <c r="G48" s="79"/>
      <c r="H48" s="79"/>
      <c r="I48" s="79"/>
      <c r="J48" s="79"/>
      <c r="K48" s="79"/>
      <c r="L48" s="79"/>
      <c r="M48" s="79"/>
      <c r="N48" s="79"/>
      <c r="O48" s="79" t="s">
        <v>701</v>
      </c>
      <c r="P48" s="79">
        <v>2</v>
      </c>
      <c r="Q48" s="79"/>
      <c r="R48" s="79"/>
      <c r="S48" s="79"/>
      <c r="T48" s="79"/>
      <c r="U48" s="79"/>
      <c r="V48" s="79"/>
    </row>
    <row r="49" spans="1:22" ht="15">
      <c r="A49" s="80" t="s">
        <v>226</v>
      </c>
      <c r="B49" s="79">
        <v>8</v>
      </c>
      <c r="C49" s="79" t="s">
        <v>2043</v>
      </c>
      <c r="D49" s="79">
        <v>5</v>
      </c>
      <c r="E49" s="79" t="s">
        <v>688</v>
      </c>
      <c r="F49" s="79">
        <v>4</v>
      </c>
      <c r="G49" s="79"/>
      <c r="H49" s="79"/>
      <c r="I49" s="79"/>
      <c r="J49" s="79"/>
      <c r="K49" s="79"/>
      <c r="L49" s="79"/>
      <c r="M49" s="79"/>
      <c r="N49" s="79"/>
      <c r="O49" s="79"/>
      <c r="P49" s="79"/>
      <c r="Q49" s="79"/>
      <c r="R49" s="79"/>
      <c r="S49" s="79"/>
      <c r="T49" s="79"/>
      <c r="U49" s="79"/>
      <c r="V49" s="79"/>
    </row>
    <row r="50" spans="1:22" ht="15">
      <c r="A50" s="80" t="s">
        <v>523</v>
      </c>
      <c r="B50" s="79">
        <v>7</v>
      </c>
      <c r="C50" s="79" t="s">
        <v>531</v>
      </c>
      <c r="D50" s="79">
        <v>5</v>
      </c>
      <c r="E50" s="79" t="s">
        <v>526</v>
      </c>
      <c r="F50" s="79">
        <v>3</v>
      </c>
      <c r="G50" s="79"/>
      <c r="H50" s="79"/>
      <c r="I50" s="79"/>
      <c r="J50" s="79"/>
      <c r="K50" s="79"/>
      <c r="L50" s="79"/>
      <c r="M50" s="79"/>
      <c r="N50" s="79"/>
      <c r="O50" s="79"/>
      <c r="P50" s="79"/>
      <c r="Q50" s="79"/>
      <c r="R50" s="79"/>
      <c r="S50" s="79"/>
      <c r="T50" s="79"/>
      <c r="U50" s="79"/>
      <c r="V50" s="79"/>
    </row>
    <row r="53" spans="1:22" ht="14.4" customHeight="1">
      <c r="A53" s="7" t="s">
        <v>346</v>
      </c>
      <c r="B53" s="7" t="s">
        <v>336</v>
      </c>
      <c r="C53" s="7" t="s">
        <v>536</v>
      </c>
      <c r="D53" s="7" t="s">
        <v>473</v>
      </c>
      <c r="E53" s="7" t="s">
        <v>537</v>
      </c>
      <c r="F53" s="7" t="s">
        <v>475</v>
      </c>
      <c r="G53" s="7" t="s">
        <v>538</v>
      </c>
      <c r="H53" s="7" t="s">
        <v>477</v>
      </c>
      <c r="I53" s="75" t="s">
        <v>539</v>
      </c>
      <c r="J53" s="75" t="s">
        <v>479</v>
      </c>
      <c r="K53" s="75" t="s">
        <v>540</v>
      </c>
      <c r="L53" s="75" t="s">
        <v>481</v>
      </c>
      <c r="M53" s="75" t="s">
        <v>541</v>
      </c>
      <c r="N53" s="75" t="s">
        <v>483</v>
      </c>
      <c r="O53" s="7" t="s">
        <v>542</v>
      </c>
      <c r="P53" s="7" t="s">
        <v>485</v>
      </c>
      <c r="Q53" s="75" t="s">
        <v>543</v>
      </c>
      <c r="R53" s="75" t="s">
        <v>487</v>
      </c>
      <c r="S53" s="75" t="s">
        <v>544</v>
      </c>
      <c r="T53" s="75" t="s">
        <v>489</v>
      </c>
      <c r="U53" s="75" t="s">
        <v>545</v>
      </c>
      <c r="V53" s="75" t="s">
        <v>490</v>
      </c>
    </row>
    <row r="54" spans="1:22" ht="15">
      <c r="A54" s="79" t="s">
        <v>2056</v>
      </c>
      <c r="B54" s="79">
        <v>8</v>
      </c>
      <c r="C54" s="79" t="s">
        <v>2056</v>
      </c>
      <c r="D54" s="79">
        <v>8</v>
      </c>
      <c r="E54" s="79" t="s">
        <v>2058</v>
      </c>
      <c r="F54" s="79">
        <v>4</v>
      </c>
      <c r="G54" s="79" t="s">
        <v>2073</v>
      </c>
      <c r="H54" s="79">
        <v>2</v>
      </c>
      <c r="I54" s="79"/>
      <c r="J54" s="79"/>
      <c r="K54" s="79"/>
      <c r="L54" s="79"/>
      <c r="M54" s="79"/>
      <c r="N54" s="79"/>
      <c r="O54" s="79" t="s">
        <v>2074</v>
      </c>
      <c r="P54" s="79">
        <v>2</v>
      </c>
      <c r="Q54" s="79"/>
      <c r="R54" s="79"/>
      <c r="S54" s="79"/>
      <c r="T54" s="79"/>
      <c r="U54" s="79"/>
      <c r="V54" s="79"/>
    </row>
    <row r="55" spans="1:22" ht="15">
      <c r="A55" s="80" t="s">
        <v>534</v>
      </c>
      <c r="B55" s="79">
        <v>5</v>
      </c>
      <c r="C55" s="79" t="s">
        <v>2057</v>
      </c>
      <c r="D55" s="79">
        <v>5</v>
      </c>
      <c r="E55" s="79" t="s">
        <v>2065</v>
      </c>
      <c r="F55" s="79">
        <v>4</v>
      </c>
      <c r="G55" s="79"/>
      <c r="H55" s="79"/>
      <c r="I55" s="79"/>
      <c r="J55" s="79"/>
      <c r="K55" s="79"/>
      <c r="L55" s="79"/>
      <c r="M55" s="79"/>
      <c r="N55" s="79"/>
      <c r="O55" s="79" t="s">
        <v>2075</v>
      </c>
      <c r="P55" s="79">
        <v>2</v>
      </c>
      <c r="Q55" s="79"/>
      <c r="R55" s="79"/>
      <c r="S55" s="79"/>
      <c r="T55" s="79"/>
      <c r="U55" s="79"/>
      <c r="V55" s="79"/>
    </row>
    <row r="56" spans="1:22" ht="15">
      <c r="A56" s="80" t="s">
        <v>535</v>
      </c>
      <c r="B56" s="79">
        <v>5</v>
      </c>
      <c r="C56" s="79" t="s">
        <v>347</v>
      </c>
      <c r="D56" s="79">
        <v>4</v>
      </c>
      <c r="E56" s="79" t="s">
        <v>2066</v>
      </c>
      <c r="F56" s="79">
        <v>4</v>
      </c>
      <c r="G56" s="79"/>
      <c r="H56" s="79"/>
      <c r="I56" s="79"/>
      <c r="J56" s="79"/>
      <c r="K56" s="79"/>
      <c r="L56" s="79"/>
      <c r="M56" s="79"/>
      <c r="N56" s="79"/>
      <c r="O56" s="79" t="s">
        <v>2076</v>
      </c>
      <c r="P56" s="79">
        <v>2</v>
      </c>
      <c r="Q56" s="79"/>
      <c r="R56" s="79"/>
      <c r="S56" s="79"/>
      <c r="T56" s="79"/>
      <c r="U56" s="79"/>
      <c r="V56" s="79"/>
    </row>
    <row r="57" spans="1:22" ht="15">
      <c r="A57" s="80" t="s">
        <v>2057</v>
      </c>
      <c r="B57" s="79">
        <v>5</v>
      </c>
      <c r="C57" s="79" t="s">
        <v>534</v>
      </c>
      <c r="D57" s="79">
        <v>4</v>
      </c>
      <c r="E57" s="79" t="s">
        <v>2067</v>
      </c>
      <c r="F57" s="79">
        <v>4</v>
      </c>
      <c r="G57" s="79"/>
      <c r="H57" s="79"/>
      <c r="I57" s="79"/>
      <c r="J57" s="79"/>
      <c r="K57" s="79"/>
      <c r="L57" s="79"/>
      <c r="M57" s="79"/>
      <c r="N57" s="79"/>
      <c r="O57" s="79" t="s">
        <v>2077</v>
      </c>
      <c r="P57" s="79">
        <v>2</v>
      </c>
      <c r="Q57" s="79"/>
      <c r="R57" s="79"/>
      <c r="S57" s="79"/>
      <c r="T57" s="79"/>
      <c r="U57" s="79"/>
      <c r="V57" s="79"/>
    </row>
    <row r="58" spans="1:22" ht="15">
      <c r="A58" s="80" t="s">
        <v>546</v>
      </c>
      <c r="B58" s="79">
        <v>5</v>
      </c>
      <c r="C58" s="79" t="s">
        <v>2059</v>
      </c>
      <c r="D58" s="79">
        <v>4</v>
      </c>
      <c r="E58" s="79" t="s">
        <v>2068</v>
      </c>
      <c r="F58" s="79">
        <v>4</v>
      </c>
      <c r="G58" s="79"/>
      <c r="H58" s="79"/>
      <c r="I58" s="79"/>
      <c r="J58" s="79"/>
      <c r="K58" s="79"/>
      <c r="L58" s="79"/>
      <c r="M58" s="79"/>
      <c r="N58" s="79"/>
      <c r="O58" s="79" t="s">
        <v>2078</v>
      </c>
      <c r="P58" s="79">
        <v>2</v>
      </c>
      <c r="Q58" s="79"/>
      <c r="R58" s="79"/>
      <c r="S58" s="79"/>
      <c r="T58" s="79"/>
      <c r="U58" s="79"/>
      <c r="V58" s="79"/>
    </row>
    <row r="59" spans="1:22" ht="15">
      <c r="A59" s="80" t="s">
        <v>347</v>
      </c>
      <c r="B59" s="79">
        <v>4</v>
      </c>
      <c r="C59" s="79" t="s">
        <v>2061</v>
      </c>
      <c r="D59" s="79">
        <v>4</v>
      </c>
      <c r="E59" s="79" t="s">
        <v>2060</v>
      </c>
      <c r="F59" s="79">
        <v>4</v>
      </c>
      <c r="G59" s="79"/>
      <c r="H59" s="79"/>
      <c r="I59" s="79"/>
      <c r="J59" s="79"/>
      <c r="K59" s="79"/>
      <c r="L59" s="79"/>
      <c r="M59" s="79"/>
      <c r="N59" s="79"/>
      <c r="O59" s="79"/>
      <c r="P59" s="79"/>
      <c r="Q59" s="79"/>
      <c r="R59" s="79"/>
      <c r="S59" s="79"/>
      <c r="T59" s="79"/>
      <c r="U59" s="79"/>
      <c r="V59" s="79"/>
    </row>
    <row r="60" spans="1:22" ht="15">
      <c r="A60" s="80" t="s">
        <v>2058</v>
      </c>
      <c r="B60" s="79">
        <v>4</v>
      </c>
      <c r="C60" s="79" t="s">
        <v>2062</v>
      </c>
      <c r="D60" s="79">
        <v>4</v>
      </c>
      <c r="E60" s="79" t="s">
        <v>2069</v>
      </c>
      <c r="F60" s="79">
        <v>4</v>
      </c>
      <c r="G60" s="79"/>
      <c r="H60" s="79"/>
      <c r="I60" s="79"/>
      <c r="J60" s="79"/>
      <c r="K60" s="79"/>
      <c r="L60" s="79"/>
      <c r="M60" s="79"/>
      <c r="N60" s="79"/>
      <c r="O60" s="79"/>
      <c r="P60" s="79"/>
      <c r="Q60" s="79"/>
      <c r="R60" s="79"/>
      <c r="S60" s="79"/>
      <c r="T60" s="79"/>
      <c r="U60" s="79"/>
      <c r="V60" s="79"/>
    </row>
    <row r="61" spans="1:22" ht="15">
      <c r="A61" s="80" t="s">
        <v>2059</v>
      </c>
      <c r="B61" s="79">
        <v>4</v>
      </c>
      <c r="C61" s="79" t="s">
        <v>2063</v>
      </c>
      <c r="D61" s="79">
        <v>4</v>
      </c>
      <c r="E61" s="79" t="s">
        <v>2070</v>
      </c>
      <c r="F61" s="79">
        <v>3</v>
      </c>
      <c r="G61" s="79"/>
      <c r="H61" s="79"/>
      <c r="I61" s="79"/>
      <c r="J61" s="79"/>
      <c r="K61" s="79"/>
      <c r="L61" s="79"/>
      <c r="M61" s="79"/>
      <c r="N61" s="79"/>
      <c r="O61" s="79"/>
      <c r="P61" s="79"/>
      <c r="Q61" s="79"/>
      <c r="R61" s="79"/>
      <c r="S61" s="79"/>
      <c r="T61" s="79"/>
      <c r="U61" s="79"/>
      <c r="V61" s="79"/>
    </row>
    <row r="62" spans="1:22" ht="15">
      <c r="A62" s="80" t="s">
        <v>2060</v>
      </c>
      <c r="B62" s="79">
        <v>4</v>
      </c>
      <c r="C62" s="79" t="s">
        <v>535</v>
      </c>
      <c r="D62" s="79">
        <v>4</v>
      </c>
      <c r="E62" s="79" t="s">
        <v>2071</v>
      </c>
      <c r="F62" s="79">
        <v>2</v>
      </c>
      <c r="G62" s="79"/>
      <c r="H62" s="79"/>
      <c r="I62" s="79"/>
      <c r="J62" s="79"/>
      <c r="K62" s="79"/>
      <c r="L62" s="79"/>
      <c r="M62" s="79"/>
      <c r="N62" s="79"/>
      <c r="O62" s="79"/>
      <c r="P62" s="79"/>
      <c r="Q62" s="79"/>
      <c r="R62" s="79"/>
      <c r="S62" s="79"/>
      <c r="T62" s="79"/>
      <c r="U62" s="79"/>
      <c r="V62" s="79"/>
    </row>
    <row r="63" spans="1:22" ht="15">
      <c r="A63" s="80" t="s">
        <v>2061</v>
      </c>
      <c r="B63" s="79">
        <v>4</v>
      </c>
      <c r="C63" s="79" t="s">
        <v>2064</v>
      </c>
      <c r="D63" s="79">
        <v>4</v>
      </c>
      <c r="E63" s="79" t="s">
        <v>2072</v>
      </c>
      <c r="F63" s="79">
        <v>2</v>
      </c>
      <c r="G63" s="79"/>
      <c r="H63" s="79"/>
      <c r="I63" s="79"/>
      <c r="J63" s="79"/>
      <c r="K63" s="79"/>
      <c r="L63" s="79"/>
      <c r="M63" s="79"/>
      <c r="N63" s="79"/>
      <c r="O63" s="79"/>
      <c r="P63" s="79"/>
      <c r="Q63" s="79"/>
      <c r="R63" s="79"/>
      <c r="S63" s="79"/>
      <c r="T63" s="79"/>
      <c r="U63" s="79"/>
      <c r="V63" s="79"/>
    </row>
    <row r="66" spans="1:22" ht="14.4" customHeight="1">
      <c r="A66" s="7" t="s">
        <v>349</v>
      </c>
      <c r="B66" s="7" t="s">
        <v>336</v>
      </c>
      <c r="C66" s="7" t="s">
        <v>547</v>
      </c>
      <c r="D66" s="7" t="s">
        <v>473</v>
      </c>
      <c r="E66" s="7" t="s">
        <v>548</v>
      </c>
      <c r="F66" s="7" t="s">
        <v>475</v>
      </c>
      <c r="G66" s="7" t="s">
        <v>551</v>
      </c>
      <c r="H66" s="7" t="s">
        <v>477</v>
      </c>
      <c r="I66" s="75" t="s">
        <v>553</v>
      </c>
      <c r="J66" s="75" t="s">
        <v>479</v>
      </c>
      <c r="K66" s="75" t="s">
        <v>555</v>
      </c>
      <c r="L66" s="75" t="s">
        <v>481</v>
      </c>
      <c r="M66" s="75" t="s">
        <v>557</v>
      </c>
      <c r="N66" s="75" t="s">
        <v>483</v>
      </c>
      <c r="O66" s="75" t="s">
        <v>559</v>
      </c>
      <c r="P66" s="75" t="s">
        <v>485</v>
      </c>
      <c r="Q66" s="75" t="s">
        <v>561</v>
      </c>
      <c r="R66" s="75" t="s">
        <v>487</v>
      </c>
      <c r="S66" s="7" t="s">
        <v>563</v>
      </c>
      <c r="T66" s="7" t="s">
        <v>489</v>
      </c>
      <c r="U66" s="75" t="s">
        <v>565</v>
      </c>
      <c r="V66" s="75" t="s">
        <v>490</v>
      </c>
    </row>
    <row r="67" spans="1:22" ht="15">
      <c r="A67" s="75" t="s">
        <v>224</v>
      </c>
      <c r="B67" s="75">
        <v>25</v>
      </c>
      <c r="C67" s="75" t="s">
        <v>224</v>
      </c>
      <c r="D67" s="75">
        <v>23</v>
      </c>
      <c r="E67" s="75" t="s">
        <v>633</v>
      </c>
      <c r="F67" s="75">
        <v>3</v>
      </c>
      <c r="G67" s="75" t="s">
        <v>655</v>
      </c>
      <c r="H67" s="75">
        <v>1</v>
      </c>
      <c r="I67" s="75"/>
      <c r="J67" s="75"/>
      <c r="K67" s="75"/>
      <c r="L67" s="75"/>
      <c r="M67" s="75"/>
      <c r="N67" s="75"/>
      <c r="O67" s="75"/>
      <c r="P67" s="75"/>
      <c r="Q67" s="75"/>
      <c r="R67" s="75"/>
      <c r="S67" s="75" t="s">
        <v>692</v>
      </c>
      <c r="T67" s="75">
        <v>1</v>
      </c>
      <c r="U67" s="75"/>
      <c r="V67" s="75"/>
    </row>
    <row r="68" spans="1:22" ht="15">
      <c r="A68" s="76" t="s">
        <v>633</v>
      </c>
      <c r="B68" s="75">
        <v>3</v>
      </c>
      <c r="C68" s="75" t="s">
        <v>644</v>
      </c>
      <c r="D68" s="75">
        <v>1</v>
      </c>
      <c r="E68" s="75"/>
      <c r="F68" s="75"/>
      <c r="G68" s="75" t="s">
        <v>654</v>
      </c>
      <c r="H68" s="75">
        <v>1</v>
      </c>
      <c r="I68" s="75"/>
      <c r="J68" s="75"/>
      <c r="K68" s="75"/>
      <c r="L68" s="75"/>
      <c r="M68" s="75"/>
      <c r="N68" s="75"/>
      <c r="O68" s="75"/>
      <c r="P68" s="75"/>
      <c r="Q68" s="75"/>
      <c r="R68" s="75"/>
      <c r="S68" s="75"/>
      <c r="T68" s="75"/>
      <c r="U68" s="75"/>
      <c r="V68" s="75"/>
    </row>
    <row r="69" spans="1:22" ht="15">
      <c r="A69" s="76" t="s">
        <v>644</v>
      </c>
      <c r="B69" s="75">
        <v>1</v>
      </c>
      <c r="C69" s="75" t="s">
        <v>661</v>
      </c>
      <c r="D69" s="75">
        <v>1</v>
      </c>
      <c r="E69" s="75"/>
      <c r="F69" s="75"/>
      <c r="G69" s="75"/>
      <c r="H69" s="75"/>
      <c r="I69" s="75"/>
      <c r="J69" s="75"/>
      <c r="K69" s="75"/>
      <c r="L69" s="75"/>
      <c r="M69" s="75"/>
      <c r="N69" s="75"/>
      <c r="O69" s="75"/>
      <c r="P69" s="75"/>
      <c r="Q69" s="75"/>
      <c r="R69" s="75"/>
      <c r="S69" s="75"/>
      <c r="T69" s="75"/>
      <c r="U69" s="75"/>
      <c r="V69" s="75"/>
    </row>
    <row r="70" spans="1:22" ht="15">
      <c r="A70" s="76" t="s">
        <v>698</v>
      </c>
      <c r="B70" s="75">
        <v>1</v>
      </c>
      <c r="C70" s="75" t="s">
        <v>663</v>
      </c>
      <c r="D70" s="75">
        <v>1</v>
      </c>
      <c r="E70" s="75"/>
      <c r="F70" s="75"/>
      <c r="G70" s="75"/>
      <c r="H70" s="75"/>
      <c r="I70" s="75"/>
      <c r="J70" s="75"/>
      <c r="K70" s="75"/>
      <c r="L70" s="75"/>
      <c r="M70" s="75"/>
      <c r="N70" s="75"/>
      <c r="O70" s="75"/>
      <c r="P70" s="75"/>
      <c r="Q70" s="75"/>
      <c r="R70" s="75"/>
      <c r="S70" s="75"/>
      <c r="T70" s="75"/>
      <c r="U70" s="75"/>
      <c r="V70" s="75"/>
    </row>
    <row r="71" spans="1:22" ht="15">
      <c r="A71" s="76" t="s">
        <v>692</v>
      </c>
      <c r="B71" s="75">
        <v>1</v>
      </c>
      <c r="C71" s="75" t="s">
        <v>2083</v>
      </c>
      <c r="D71" s="75">
        <v>1</v>
      </c>
      <c r="E71" s="75"/>
      <c r="F71" s="75"/>
      <c r="G71" s="75"/>
      <c r="H71" s="75"/>
      <c r="I71" s="75"/>
      <c r="J71" s="75"/>
      <c r="K71" s="75"/>
      <c r="L71" s="75"/>
      <c r="M71" s="75"/>
      <c r="N71" s="75"/>
      <c r="O71" s="75"/>
      <c r="P71" s="75"/>
      <c r="Q71" s="75"/>
      <c r="R71" s="75"/>
      <c r="S71" s="75"/>
      <c r="T71" s="75"/>
      <c r="U71" s="75"/>
      <c r="V71" s="75"/>
    </row>
    <row r="72" spans="1:22" ht="15">
      <c r="A72" s="76" t="s">
        <v>655</v>
      </c>
      <c r="B72" s="75">
        <v>1</v>
      </c>
      <c r="C72" s="75" t="s">
        <v>665</v>
      </c>
      <c r="D72" s="75">
        <v>1</v>
      </c>
      <c r="E72" s="75"/>
      <c r="F72" s="75"/>
      <c r="G72" s="75"/>
      <c r="H72" s="75"/>
      <c r="I72" s="75"/>
      <c r="J72" s="75"/>
      <c r="K72" s="75"/>
      <c r="L72" s="75"/>
      <c r="M72" s="75"/>
      <c r="N72" s="75"/>
      <c r="O72" s="75"/>
      <c r="P72" s="75"/>
      <c r="Q72" s="75"/>
      <c r="R72" s="75"/>
      <c r="S72" s="75"/>
      <c r="T72" s="75"/>
      <c r="U72" s="75"/>
      <c r="V72" s="75"/>
    </row>
    <row r="73" spans="1:22" ht="15">
      <c r="A73" s="76" t="s">
        <v>591</v>
      </c>
      <c r="B73" s="75">
        <v>1</v>
      </c>
      <c r="C73" s="75" t="s">
        <v>667</v>
      </c>
      <c r="D73" s="75">
        <v>1</v>
      </c>
      <c r="E73" s="75"/>
      <c r="F73" s="75"/>
      <c r="G73" s="75"/>
      <c r="H73" s="75"/>
      <c r="I73" s="75"/>
      <c r="J73" s="75"/>
      <c r="K73" s="75"/>
      <c r="L73" s="75"/>
      <c r="M73" s="75"/>
      <c r="N73" s="75"/>
      <c r="O73" s="75"/>
      <c r="P73" s="75"/>
      <c r="Q73" s="75"/>
      <c r="R73" s="75"/>
      <c r="S73" s="75"/>
      <c r="T73" s="75"/>
      <c r="U73" s="75"/>
      <c r="V73" s="75"/>
    </row>
    <row r="74" spans="1:22" ht="14.4" customHeight="1">
      <c r="A74" s="76" t="s">
        <v>679</v>
      </c>
      <c r="B74" s="75">
        <v>1</v>
      </c>
      <c r="C74" s="75" t="s">
        <v>668</v>
      </c>
      <c r="D74" s="75">
        <v>1</v>
      </c>
      <c r="E74" s="75"/>
      <c r="F74" s="75"/>
      <c r="G74" s="75"/>
      <c r="H74" s="75"/>
      <c r="I74" s="75"/>
      <c r="J74" s="75"/>
      <c r="K74" s="75"/>
      <c r="L74" s="75"/>
      <c r="M74" s="75"/>
      <c r="N74" s="75"/>
      <c r="O74" s="75"/>
      <c r="P74" s="75"/>
      <c r="Q74" s="75"/>
      <c r="R74" s="75"/>
      <c r="S74" s="75"/>
      <c r="T74" s="75"/>
      <c r="U74" s="75"/>
      <c r="V74" s="75"/>
    </row>
    <row r="75" spans="1:22" ht="15">
      <c r="A75" s="76" t="s">
        <v>394</v>
      </c>
      <c r="B75" s="75">
        <v>1</v>
      </c>
      <c r="C75" s="75" t="s">
        <v>2084</v>
      </c>
      <c r="D75" s="75">
        <v>1</v>
      </c>
      <c r="E75" s="75"/>
      <c r="F75" s="75"/>
      <c r="G75" s="75"/>
      <c r="H75" s="75"/>
      <c r="I75" s="75"/>
      <c r="J75" s="75"/>
      <c r="K75" s="75"/>
      <c r="L75" s="75"/>
      <c r="M75" s="75"/>
      <c r="N75" s="75"/>
      <c r="O75" s="75"/>
      <c r="P75" s="75"/>
      <c r="Q75" s="75"/>
      <c r="R75" s="75"/>
      <c r="S75" s="75"/>
      <c r="T75" s="75"/>
      <c r="U75" s="75"/>
      <c r="V75" s="75"/>
    </row>
    <row r="76" spans="1:22" ht="15">
      <c r="A76" s="76" t="s">
        <v>672</v>
      </c>
      <c r="B76" s="75">
        <v>1</v>
      </c>
      <c r="C76" s="75" t="s">
        <v>669</v>
      </c>
      <c r="D76" s="75">
        <v>1</v>
      </c>
      <c r="E76" s="75"/>
      <c r="F76" s="75"/>
      <c r="G76" s="75"/>
      <c r="H76" s="75"/>
      <c r="I76" s="75"/>
      <c r="J76" s="75"/>
      <c r="K76" s="75"/>
      <c r="L76" s="75"/>
      <c r="M76" s="75"/>
      <c r="N76" s="75"/>
      <c r="O76" s="75"/>
      <c r="P76" s="75"/>
      <c r="Q76" s="75"/>
      <c r="R76" s="75"/>
      <c r="S76" s="75"/>
      <c r="T76" s="75"/>
      <c r="U76" s="75"/>
      <c r="V76" s="75"/>
    </row>
    <row r="79" spans="1:22" ht="14.4" customHeight="1">
      <c r="A79" s="7" t="s">
        <v>350</v>
      </c>
      <c r="B79" s="7" t="s">
        <v>336</v>
      </c>
      <c r="C79" s="7" t="s">
        <v>549</v>
      </c>
      <c r="D79" s="7" t="s">
        <v>473</v>
      </c>
      <c r="E79" s="7" t="s">
        <v>550</v>
      </c>
      <c r="F79" s="7" t="s">
        <v>475</v>
      </c>
      <c r="G79" s="7" t="s">
        <v>552</v>
      </c>
      <c r="H79" s="7" t="s">
        <v>477</v>
      </c>
      <c r="I79" s="7" t="s">
        <v>554</v>
      </c>
      <c r="J79" s="7" t="s">
        <v>479</v>
      </c>
      <c r="K79" s="7" t="s">
        <v>556</v>
      </c>
      <c r="L79" s="7" t="s">
        <v>481</v>
      </c>
      <c r="M79" s="7" t="s">
        <v>558</v>
      </c>
      <c r="N79" s="7" t="s">
        <v>483</v>
      </c>
      <c r="O79" s="7" t="s">
        <v>560</v>
      </c>
      <c r="P79" s="7" t="s">
        <v>485</v>
      </c>
      <c r="Q79" s="7" t="s">
        <v>562</v>
      </c>
      <c r="R79" s="7" t="s">
        <v>487</v>
      </c>
      <c r="S79" s="7" t="s">
        <v>564</v>
      </c>
      <c r="T79" s="7" t="s">
        <v>489</v>
      </c>
      <c r="U79" s="7" t="s">
        <v>566</v>
      </c>
      <c r="V79" s="7" t="s">
        <v>490</v>
      </c>
    </row>
    <row r="80" spans="1:22" ht="15">
      <c r="A80" s="75" t="s">
        <v>224</v>
      </c>
      <c r="B80" s="75">
        <v>51</v>
      </c>
      <c r="C80" s="75" t="s">
        <v>224</v>
      </c>
      <c r="D80" s="75">
        <v>27</v>
      </c>
      <c r="E80" s="75" t="s">
        <v>224</v>
      </c>
      <c r="F80" s="75">
        <v>8</v>
      </c>
      <c r="G80" s="75" t="s">
        <v>224</v>
      </c>
      <c r="H80" s="75">
        <v>2</v>
      </c>
      <c r="I80" s="75" t="s">
        <v>728</v>
      </c>
      <c r="J80" s="75">
        <v>1</v>
      </c>
      <c r="K80" s="75" t="s">
        <v>2086</v>
      </c>
      <c r="L80" s="75">
        <v>1</v>
      </c>
      <c r="M80" s="75" t="s">
        <v>732</v>
      </c>
      <c r="N80" s="75">
        <v>1</v>
      </c>
      <c r="O80" s="75" t="s">
        <v>224</v>
      </c>
      <c r="P80" s="75">
        <v>2</v>
      </c>
      <c r="Q80" s="75" t="s">
        <v>2087</v>
      </c>
      <c r="R80" s="75">
        <v>1</v>
      </c>
      <c r="S80" s="75" t="s">
        <v>224</v>
      </c>
      <c r="T80" s="75">
        <v>1</v>
      </c>
      <c r="U80" s="75" t="s">
        <v>224</v>
      </c>
      <c r="V80" s="75">
        <v>2</v>
      </c>
    </row>
    <row r="81" spans="1:22" ht="15">
      <c r="A81" s="76" t="s">
        <v>682</v>
      </c>
      <c r="B81" s="75">
        <v>4</v>
      </c>
      <c r="C81" s="75" t="s">
        <v>682</v>
      </c>
      <c r="D81" s="75">
        <v>4</v>
      </c>
      <c r="E81" s="75" t="s">
        <v>688</v>
      </c>
      <c r="F81" s="75">
        <v>4</v>
      </c>
      <c r="G81" s="75" t="s">
        <v>689</v>
      </c>
      <c r="H81" s="75">
        <v>1</v>
      </c>
      <c r="I81" s="75" t="s">
        <v>224</v>
      </c>
      <c r="J81" s="75">
        <v>1</v>
      </c>
      <c r="K81" s="75" t="s">
        <v>224</v>
      </c>
      <c r="L81" s="75">
        <v>1</v>
      </c>
      <c r="M81" s="75" t="s">
        <v>224</v>
      </c>
      <c r="N81" s="75">
        <v>1</v>
      </c>
      <c r="O81" s="75" t="s">
        <v>701</v>
      </c>
      <c r="P81" s="75">
        <v>2</v>
      </c>
      <c r="Q81" s="75" t="s">
        <v>697</v>
      </c>
      <c r="R81" s="75">
        <v>1</v>
      </c>
      <c r="S81" s="75" t="s">
        <v>691</v>
      </c>
      <c r="T81" s="75">
        <v>1</v>
      </c>
      <c r="U81" s="75" t="s">
        <v>729</v>
      </c>
      <c r="V81" s="75">
        <v>1</v>
      </c>
    </row>
    <row r="82" spans="1:22" ht="15">
      <c r="A82" s="76" t="s">
        <v>688</v>
      </c>
      <c r="B82" s="75">
        <v>4</v>
      </c>
      <c r="C82" s="75" t="s">
        <v>673</v>
      </c>
      <c r="D82" s="75">
        <v>2</v>
      </c>
      <c r="E82" s="75" t="s">
        <v>687</v>
      </c>
      <c r="F82" s="75">
        <v>4</v>
      </c>
      <c r="G82" s="75" t="s">
        <v>653</v>
      </c>
      <c r="H82" s="75">
        <v>1</v>
      </c>
      <c r="I82" s="75" t="s">
        <v>2085</v>
      </c>
      <c r="J82" s="75">
        <v>1</v>
      </c>
      <c r="K82" s="75" t="s">
        <v>660</v>
      </c>
      <c r="L82" s="75">
        <v>1</v>
      </c>
      <c r="M82" s="75" t="s">
        <v>731</v>
      </c>
      <c r="N82" s="75">
        <v>1</v>
      </c>
      <c r="O82" s="75" t="s">
        <v>699</v>
      </c>
      <c r="P82" s="75">
        <v>1</v>
      </c>
      <c r="Q82" s="75" t="s">
        <v>2088</v>
      </c>
      <c r="R82" s="75">
        <v>1</v>
      </c>
      <c r="S82" s="75"/>
      <c r="T82" s="75"/>
      <c r="U82" s="75"/>
      <c r="V82" s="75"/>
    </row>
    <row r="83" spans="1:22" ht="15">
      <c r="A83" s="76" t="s">
        <v>687</v>
      </c>
      <c r="B83" s="75">
        <v>4</v>
      </c>
      <c r="C83" s="75" t="s">
        <v>662</v>
      </c>
      <c r="D83" s="75">
        <v>1</v>
      </c>
      <c r="E83" s="75" t="s">
        <v>686</v>
      </c>
      <c r="F83" s="75">
        <v>4</v>
      </c>
      <c r="G83" s="75" t="s">
        <v>652</v>
      </c>
      <c r="H83" s="75">
        <v>1</v>
      </c>
      <c r="I83" s="75" t="s">
        <v>727</v>
      </c>
      <c r="J83" s="75">
        <v>1</v>
      </c>
      <c r="K83" s="75" t="s">
        <v>659</v>
      </c>
      <c r="L83" s="75">
        <v>1</v>
      </c>
      <c r="M83" s="75" t="s">
        <v>730</v>
      </c>
      <c r="N83" s="75">
        <v>1</v>
      </c>
      <c r="O83" s="75" t="s">
        <v>700</v>
      </c>
      <c r="P83" s="75">
        <v>1</v>
      </c>
      <c r="Q83" s="75" t="s">
        <v>696</v>
      </c>
      <c r="R83" s="75">
        <v>1</v>
      </c>
      <c r="S83" s="75"/>
      <c r="T83" s="75"/>
      <c r="U83" s="75"/>
      <c r="V83" s="75"/>
    </row>
    <row r="84" spans="1:22" ht="15">
      <c r="A84" s="76" t="s">
        <v>686</v>
      </c>
      <c r="B84" s="75">
        <v>4</v>
      </c>
      <c r="C84" s="75" t="s">
        <v>649</v>
      </c>
      <c r="D84" s="75">
        <v>1</v>
      </c>
      <c r="E84" s="75" t="s">
        <v>685</v>
      </c>
      <c r="F84" s="75">
        <v>4</v>
      </c>
      <c r="G84" s="75" t="s">
        <v>651</v>
      </c>
      <c r="H84" s="75">
        <v>1</v>
      </c>
      <c r="I84" s="75" t="s">
        <v>726</v>
      </c>
      <c r="J84" s="75">
        <v>1</v>
      </c>
      <c r="K84" s="75" t="s">
        <v>658</v>
      </c>
      <c r="L84" s="75">
        <v>1</v>
      </c>
      <c r="M84" s="75" t="s">
        <v>391</v>
      </c>
      <c r="N84" s="75">
        <v>1</v>
      </c>
      <c r="O84" s="75"/>
      <c r="P84" s="75"/>
      <c r="Q84" s="75" t="s">
        <v>224</v>
      </c>
      <c r="R84" s="75">
        <v>1</v>
      </c>
      <c r="S84" s="75"/>
      <c r="T84" s="75"/>
      <c r="U84" s="75"/>
      <c r="V84" s="75"/>
    </row>
    <row r="85" spans="1:22" ht="15">
      <c r="A85" s="76" t="s">
        <v>685</v>
      </c>
      <c r="B85" s="75">
        <v>4</v>
      </c>
      <c r="C85" s="75" t="s">
        <v>666</v>
      </c>
      <c r="D85" s="75">
        <v>1</v>
      </c>
      <c r="E85" s="75" t="s">
        <v>684</v>
      </c>
      <c r="F85" s="75">
        <v>4</v>
      </c>
      <c r="G85" s="75" t="s">
        <v>655</v>
      </c>
      <c r="H85" s="75">
        <v>1</v>
      </c>
      <c r="I85" s="75" t="s">
        <v>725</v>
      </c>
      <c r="J85" s="75">
        <v>1</v>
      </c>
      <c r="K85" s="75" t="s">
        <v>657</v>
      </c>
      <c r="L85" s="75">
        <v>1</v>
      </c>
      <c r="M85" s="75"/>
      <c r="N85" s="75"/>
      <c r="O85" s="75"/>
      <c r="P85" s="75"/>
      <c r="Q85" s="75" t="s">
        <v>2089</v>
      </c>
      <c r="R85" s="75">
        <v>1</v>
      </c>
      <c r="S85" s="75"/>
      <c r="T85" s="75"/>
      <c r="U85" s="75"/>
      <c r="V85" s="75"/>
    </row>
    <row r="86" spans="1:22" ht="15">
      <c r="A86" s="76" t="s">
        <v>684</v>
      </c>
      <c r="B86" s="75">
        <v>4</v>
      </c>
      <c r="C86" s="75" t="s">
        <v>393</v>
      </c>
      <c r="D86" s="75">
        <v>1</v>
      </c>
      <c r="E86" s="75" t="s">
        <v>2044</v>
      </c>
      <c r="F86" s="75">
        <v>4</v>
      </c>
      <c r="G86" s="75" t="s">
        <v>650</v>
      </c>
      <c r="H86" s="75">
        <v>1</v>
      </c>
      <c r="I86" s="75" t="s">
        <v>724</v>
      </c>
      <c r="J86" s="75">
        <v>1</v>
      </c>
      <c r="K86" s="75" t="s">
        <v>656</v>
      </c>
      <c r="L86" s="75">
        <v>1</v>
      </c>
      <c r="M86" s="75"/>
      <c r="N86" s="75"/>
      <c r="O86" s="75"/>
      <c r="P86" s="75"/>
      <c r="Q86" s="75"/>
      <c r="R86" s="75"/>
      <c r="S86" s="75"/>
      <c r="T86" s="75"/>
      <c r="U86" s="75"/>
      <c r="V86" s="75"/>
    </row>
    <row r="87" spans="1:22" ht="14.4" customHeight="1">
      <c r="A87" s="76" t="s">
        <v>2044</v>
      </c>
      <c r="B87" s="75">
        <v>4</v>
      </c>
      <c r="C87" s="75" t="s">
        <v>395</v>
      </c>
      <c r="D87" s="75">
        <v>1</v>
      </c>
      <c r="E87" s="75" t="s">
        <v>683</v>
      </c>
      <c r="F87" s="75">
        <v>4</v>
      </c>
      <c r="G87" s="75"/>
      <c r="H87" s="75"/>
      <c r="I87" s="75"/>
      <c r="J87" s="75"/>
      <c r="K87" s="75"/>
      <c r="L87" s="75"/>
      <c r="M87" s="75"/>
      <c r="N87" s="75"/>
      <c r="O87" s="75"/>
      <c r="P87" s="75"/>
      <c r="Q87" s="75"/>
      <c r="R87" s="75"/>
      <c r="S87" s="75"/>
      <c r="T87" s="75"/>
      <c r="U87" s="75"/>
      <c r="V87" s="75"/>
    </row>
    <row r="88" spans="1:22" ht="15">
      <c r="A88" s="76" t="s">
        <v>683</v>
      </c>
      <c r="B88" s="75">
        <v>4</v>
      </c>
      <c r="C88" s="75" t="s">
        <v>674</v>
      </c>
      <c r="D88" s="75">
        <v>1</v>
      </c>
      <c r="E88" s="75" t="s">
        <v>635</v>
      </c>
      <c r="F88" s="75">
        <v>3</v>
      </c>
      <c r="G88" s="75"/>
      <c r="H88" s="75"/>
      <c r="I88" s="75"/>
      <c r="J88" s="75"/>
      <c r="K88" s="75"/>
      <c r="L88" s="75"/>
      <c r="M88" s="75"/>
      <c r="N88" s="75"/>
      <c r="O88" s="75"/>
      <c r="P88" s="75"/>
      <c r="Q88" s="75"/>
      <c r="R88" s="75"/>
      <c r="S88" s="75"/>
      <c r="T88" s="75"/>
      <c r="U88" s="75"/>
      <c r="V88" s="75"/>
    </row>
    <row r="89" spans="1:22" ht="15">
      <c r="A89" s="76" t="s">
        <v>635</v>
      </c>
      <c r="B89" s="75">
        <v>3</v>
      </c>
      <c r="C89" s="75" t="s">
        <v>675</v>
      </c>
      <c r="D89" s="75">
        <v>1</v>
      </c>
      <c r="E89" s="75" t="s">
        <v>392</v>
      </c>
      <c r="F89" s="75">
        <v>2</v>
      </c>
      <c r="G89" s="75"/>
      <c r="H89" s="75"/>
      <c r="I89" s="75"/>
      <c r="J89" s="75"/>
      <c r="K89" s="75"/>
      <c r="L89" s="75"/>
      <c r="M89" s="75"/>
      <c r="N89" s="75"/>
      <c r="O89" s="75"/>
      <c r="P89" s="75"/>
      <c r="Q89" s="75"/>
      <c r="R89" s="75"/>
      <c r="S89" s="75"/>
      <c r="T89" s="75"/>
      <c r="U89" s="75"/>
      <c r="V89" s="75"/>
    </row>
    <row r="92" spans="1:22" ht="14.4" customHeight="1">
      <c r="A92" s="7" t="s">
        <v>353</v>
      </c>
      <c r="B92" s="7" t="s">
        <v>336</v>
      </c>
      <c r="C92" s="7" t="s">
        <v>567</v>
      </c>
      <c r="D92" s="7" t="s">
        <v>473</v>
      </c>
      <c r="E92" s="7" t="s">
        <v>568</v>
      </c>
      <c r="F92" s="7" t="s">
        <v>475</v>
      </c>
      <c r="G92" s="7" t="s">
        <v>569</v>
      </c>
      <c r="H92" s="7" t="s">
        <v>477</v>
      </c>
      <c r="I92" s="7" t="s">
        <v>570</v>
      </c>
      <c r="J92" s="7" t="s">
        <v>479</v>
      </c>
      <c r="K92" s="7" t="s">
        <v>571</v>
      </c>
      <c r="L92" s="7" t="s">
        <v>481</v>
      </c>
      <c r="M92" s="7" t="s">
        <v>572</v>
      </c>
      <c r="N92" s="7" t="s">
        <v>483</v>
      </c>
      <c r="O92" s="7" t="s">
        <v>573</v>
      </c>
      <c r="P92" s="7" t="s">
        <v>485</v>
      </c>
      <c r="Q92" s="7" t="s">
        <v>574</v>
      </c>
      <c r="R92" s="7" t="s">
        <v>487</v>
      </c>
      <c r="S92" s="7" t="s">
        <v>575</v>
      </c>
      <c r="T92" s="7" t="s">
        <v>489</v>
      </c>
      <c r="U92" s="7" t="s">
        <v>576</v>
      </c>
      <c r="V92" s="7" t="s">
        <v>490</v>
      </c>
    </row>
    <row r="93" spans="1:22" ht="15">
      <c r="A93" s="87" t="s">
        <v>680</v>
      </c>
      <c r="B93" s="75">
        <v>527529</v>
      </c>
      <c r="C93" s="87" t="s">
        <v>680</v>
      </c>
      <c r="D93" s="75">
        <v>527529</v>
      </c>
      <c r="E93" s="87" t="s">
        <v>718</v>
      </c>
      <c r="F93" s="75">
        <v>56622</v>
      </c>
      <c r="G93" s="87" t="s">
        <v>653</v>
      </c>
      <c r="H93" s="75">
        <v>179290</v>
      </c>
      <c r="I93" s="87" t="s">
        <v>728</v>
      </c>
      <c r="J93" s="75">
        <v>241462</v>
      </c>
      <c r="K93" s="87" t="s">
        <v>656</v>
      </c>
      <c r="L93" s="75">
        <v>3092</v>
      </c>
      <c r="M93" s="87" t="s">
        <v>391</v>
      </c>
      <c r="N93" s="75">
        <v>46277</v>
      </c>
      <c r="O93" s="87" t="s">
        <v>632</v>
      </c>
      <c r="P93" s="75">
        <v>15197</v>
      </c>
      <c r="Q93" s="87" t="s">
        <v>621</v>
      </c>
      <c r="R93" s="75">
        <v>8934</v>
      </c>
      <c r="S93" s="87" t="s">
        <v>692</v>
      </c>
      <c r="T93" s="75">
        <v>36291</v>
      </c>
      <c r="U93" s="87" t="s">
        <v>644</v>
      </c>
      <c r="V93" s="75">
        <v>9444</v>
      </c>
    </row>
    <row r="94" spans="1:22" ht="15">
      <c r="A94" s="88" t="s">
        <v>601</v>
      </c>
      <c r="B94" s="75">
        <v>389559</v>
      </c>
      <c r="C94" s="87" t="s">
        <v>631</v>
      </c>
      <c r="D94" s="75">
        <v>326255</v>
      </c>
      <c r="E94" s="87" t="s">
        <v>685</v>
      </c>
      <c r="F94" s="75">
        <v>11748</v>
      </c>
      <c r="G94" s="87" t="s">
        <v>597</v>
      </c>
      <c r="H94" s="75">
        <v>41174</v>
      </c>
      <c r="I94" s="87" t="s">
        <v>726</v>
      </c>
      <c r="J94" s="75">
        <v>143979</v>
      </c>
      <c r="K94" s="87" t="s">
        <v>589</v>
      </c>
      <c r="L94" s="75">
        <v>2092</v>
      </c>
      <c r="M94" s="87" t="s">
        <v>731</v>
      </c>
      <c r="N94" s="75">
        <v>6446</v>
      </c>
      <c r="O94" s="87" t="s">
        <v>701</v>
      </c>
      <c r="P94" s="75">
        <v>5998</v>
      </c>
      <c r="Q94" s="87" t="s">
        <v>697</v>
      </c>
      <c r="R94" s="75">
        <v>6336</v>
      </c>
      <c r="S94" s="87" t="s">
        <v>609</v>
      </c>
      <c r="T94" s="75">
        <v>26984</v>
      </c>
      <c r="U94" s="87" t="s">
        <v>729</v>
      </c>
      <c r="V94" s="75">
        <v>1679</v>
      </c>
    </row>
    <row r="95" spans="1:22" ht="15">
      <c r="A95" s="88" t="s">
        <v>631</v>
      </c>
      <c r="B95" s="75">
        <v>326255</v>
      </c>
      <c r="C95" s="87" t="s">
        <v>605</v>
      </c>
      <c r="D95" s="75">
        <v>217999</v>
      </c>
      <c r="E95" s="87" t="s">
        <v>684</v>
      </c>
      <c r="F95" s="75">
        <v>9159</v>
      </c>
      <c r="G95" s="87" t="s">
        <v>654</v>
      </c>
      <c r="H95" s="75">
        <v>11752</v>
      </c>
      <c r="I95" s="87" t="s">
        <v>727</v>
      </c>
      <c r="J95" s="75">
        <v>3555</v>
      </c>
      <c r="K95" s="87" t="s">
        <v>660</v>
      </c>
      <c r="L95" s="75">
        <v>1748</v>
      </c>
      <c r="M95" s="87" t="s">
        <v>730</v>
      </c>
      <c r="N95" s="75">
        <v>38</v>
      </c>
      <c r="O95" s="87" t="s">
        <v>700</v>
      </c>
      <c r="P95" s="75">
        <v>427</v>
      </c>
      <c r="Q95" s="87" t="s">
        <v>696</v>
      </c>
      <c r="R95" s="75">
        <v>703</v>
      </c>
      <c r="S95" s="87" t="s">
        <v>691</v>
      </c>
      <c r="T95" s="75">
        <v>4096</v>
      </c>
      <c r="U95" s="87"/>
      <c r="V95" s="75"/>
    </row>
    <row r="96" spans="1:22" ht="15">
      <c r="A96" s="88" t="s">
        <v>728</v>
      </c>
      <c r="B96" s="75">
        <v>241462</v>
      </c>
      <c r="C96" s="87" t="s">
        <v>638</v>
      </c>
      <c r="D96" s="75">
        <v>186612</v>
      </c>
      <c r="E96" s="87" t="s">
        <v>634</v>
      </c>
      <c r="F96" s="75">
        <v>7754</v>
      </c>
      <c r="G96" s="87" t="s">
        <v>587</v>
      </c>
      <c r="H96" s="75">
        <v>8072</v>
      </c>
      <c r="I96" s="87" t="s">
        <v>642</v>
      </c>
      <c r="J96" s="75">
        <v>1654</v>
      </c>
      <c r="K96" s="87" t="s">
        <v>658</v>
      </c>
      <c r="L96" s="75">
        <v>1180</v>
      </c>
      <c r="M96" s="87" t="s">
        <v>732</v>
      </c>
      <c r="N96" s="75">
        <v>20</v>
      </c>
      <c r="O96" s="87" t="s">
        <v>699</v>
      </c>
      <c r="P96" s="75">
        <v>77</v>
      </c>
      <c r="Q96" s="87"/>
      <c r="R96" s="75"/>
      <c r="S96" s="87"/>
      <c r="T96" s="75"/>
      <c r="U96" s="87"/>
      <c r="V96" s="75"/>
    </row>
    <row r="97" spans="1:22" ht="15">
      <c r="A97" s="88" t="s">
        <v>605</v>
      </c>
      <c r="B97" s="75">
        <v>217999</v>
      </c>
      <c r="C97" s="87" t="s">
        <v>624</v>
      </c>
      <c r="D97" s="75">
        <v>151177</v>
      </c>
      <c r="E97" s="87" t="s">
        <v>687</v>
      </c>
      <c r="F97" s="75">
        <v>6653</v>
      </c>
      <c r="G97" s="87" t="s">
        <v>652</v>
      </c>
      <c r="H97" s="75">
        <v>4001</v>
      </c>
      <c r="I97" s="87" t="s">
        <v>724</v>
      </c>
      <c r="J97" s="75">
        <v>1164</v>
      </c>
      <c r="K97" s="87" t="s">
        <v>657</v>
      </c>
      <c r="L97" s="75">
        <v>641</v>
      </c>
      <c r="M97" s="87" t="s">
        <v>647</v>
      </c>
      <c r="N97" s="75">
        <v>6</v>
      </c>
      <c r="O97" s="87"/>
      <c r="P97" s="75"/>
      <c r="Q97" s="87"/>
      <c r="R97" s="75"/>
      <c r="S97" s="87"/>
      <c r="T97" s="75"/>
      <c r="U97" s="87"/>
      <c r="V97" s="75"/>
    </row>
    <row r="98" spans="1:22" ht="15">
      <c r="A98" s="88" t="s">
        <v>618</v>
      </c>
      <c r="B98" s="75">
        <v>211832</v>
      </c>
      <c r="C98" s="87" t="s">
        <v>675</v>
      </c>
      <c r="D98" s="75">
        <v>134159</v>
      </c>
      <c r="E98" s="87" t="s">
        <v>686</v>
      </c>
      <c r="F98" s="75">
        <v>5547</v>
      </c>
      <c r="G98" s="87" t="s">
        <v>650</v>
      </c>
      <c r="H98" s="75">
        <v>2187</v>
      </c>
      <c r="I98" s="87" t="s">
        <v>725</v>
      </c>
      <c r="J98" s="75">
        <v>32</v>
      </c>
      <c r="K98" s="87" t="s">
        <v>659</v>
      </c>
      <c r="L98" s="75">
        <v>366</v>
      </c>
      <c r="M98" s="87"/>
      <c r="N98" s="75"/>
      <c r="O98" s="87"/>
      <c r="P98" s="75"/>
      <c r="Q98" s="87"/>
      <c r="R98" s="75"/>
      <c r="S98" s="87"/>
      <c r="T98" s="75"/>
      <c r="U98" s="87"/>
      <c r="V98" s="75"/>
    </row>
    <row r="99" spans="1:22" ht="15">
      <c r="A99" s="88" t="s">
        <v>638</v>
      </c>
      <c r="B99" s="75">
        <v>186612</v>
      </c>
      <c r="C99" s="87" t="s">
        <v>394</v>
      </c>
      <c r="D99" s="75">
        <v>78940</v>
      </c>
      <c r="E99" s="87" t="s">
        <v>711</v>
      </c>
      <c r="F99" s="75">
        <v>5380</v>
      </c>
      <c r="G99" s="87" t="s">
        <v>655</v>
      </c>
      <c r="H99" s="75">
        <v>525</v>
      </c>
      <c r="I99" s="87"/>
      <c r="J99" s="75"/>
      <c r="K99" s="87"/>
      <c r="L99" s="75"/>
      <c r="M99" s="87"/>
      <c r="N99" s="75"/>
      <c r="O99" s="87"/>
      <c r="P99" s="75"/>
      <c r="Q99" s="87"/>
      <c r="R99" s="75"/>
      <c r="S99" s="87"/>
      <c r="T99" s="75"/>
      <c r="U99" s="87"/>
      <c r="V99" s="75"/>
    </row>
    <row r="100" spans="1:22" ht="15">
      <c r="A100" s="88" t="s">
        <v>653</v>
      </c>
      <c r="B100" s="75">
        <v>179290</v>
      </c>
      <c r="C100" s="87" t="s">
        <v>674</v>
      </c>
      <c r="D100" s="75">
        <v>65632</v>
      </c>
      <c r="E100" s="87" t="s">
        <v>633</v>
      </c>
      <c r="F100" s="75">
        <v>5273</v>
      </c>
      <c r="G100" s="87" t="s">
        <v>596</v>
      </c>
      <c r="H100" s="75">
        <v>398</v>
      </c>
      <c r="I100" s="87"/>
      <c r="J100" s="75"/>
      <c r="K100" s="87"/>
      <c r="L100" s="75"/>
      <c r="M100" s="87"/>
      <c r="N100" s="75"/>
      <c r="O100" s="87"/>
      <c r="P100" s="75"/>
      <c r="Q100" s="87"/>
      <c r="R100" s="75"/>
      <c r="S100" s="87"/>
      <c r="T100" s="75"/>
      <c r="U100" s="87"/>
      <c r="V100" s="75"/>
    </row>
    <row r="101" spans="1:22" ht="15">
      <c r="A101" s="88" t="s">
        <v>624</v>
      </c>
      <c r="B101" s="75">
        <v>151177</v>
      </c>
      <c r="C101" s="87" t="s">
        <v>630</v>
      </c>
      <c r="D101" s="75">
        <v>54680</v>
      </c>
      <c r="E101" s="87" t="s">
        <v>706</v>
      </c>
      <c r="F101" s="75">
        <v>5143</v>
      </c>
      <c r="G101" s="87" t="s">
        <v>689</v>
      </c>
      <c r="H101" s="75">
        <v>84</v>
      </c>
      <c r="I101" s="87"/>
      <c r="J101" s="75"/>
      <c r="K101" s="87"/>
      <c r="L101" s="75"/>
      <c r="M101" s="87"/>
      <c r="N101" s="75"/>
      <c r="O101" s="87"/>
      <c r="P101" s="75"/>
      <c r="Q101" s="87"/>
      <c r="R101" s="75"/>
      <c r="S101" s="87"/>
      <c r="T101" s="75"/>
      <c r="U101" s="87"/>
      <c r="V101" s="75"/>
    </row>
    <row r="102" spans="1:22" ht="15">
      <c r="A102" s="88" t="s">
        <v>726</v>
      </c>
      <c r="B102" s="75">
        <v>143979</v>
      </c>
      <c r="C102" s="87" t="s">
        <v>679</v>
      </c>
      <c r="D102" s="75">
        <v>51797</v>
      </c>
      <c r="E102" s="87" t="s">
        <v>392</v>
      </c>
      <c r="F102" s="75">
        <v>4118</v>
      </c>
      <c r="G102" s="87" t="s">
        <v>651</v>
      </c>
      <c r="H102" s="75">
        <v>54</v>
      </c>
      <c r="I102" s="87"/>
      <c r="J102" s="75"/>
      <c r="K102" s="87"/>
      <c r="L102" s="75"/>
      <c r="M102" s="87"/>
      <c r="N102" s="75"/>
      <c r="O102" s="87"/>
      <c r="P102" s="75"/>
      <c r="Q102" s="87"/>
      <c r="R102" s="75"/>
      <c r="S102" s="87"/>
      <c r="T102" s="75"/>
      <c r="U102" s="87"/>
      <c r="V102" s="75"/>
    </row>
  </sheetData>
  <hyperlinks>
    <hyperlink ref="A2" r:id="rId1" display="https://twitter.com/Inovies/status/1402693044516757504"/>
    <hyperlink ref="A3" r:id="rId2" display="https://statusbrew.com/"/>
    <hyperlink ref="A4" r:id="rId3" display="https://twitter.com/suryakotianu/status/938667558806286337"/>
    <hyperlink ref="A5" r:id="rId4" display="https://goo.gl/UDmV7L"/>
    <hyperlink ref="A6" r:id="rId5" display="http://cssnectar.com/"/>
    <hyperlink ref="A7" r:id="rId6" display="http://www.inovies.com/10-simple-ways-to-drive-better-quality-leads-from-your-website-78-inovies.html"/>
    <hyperlink ref="A8" r:id="rId7" display="https://www.dreamcreationsevents.com/event/tcpl-season-2/"/>
    <hyperlink ref="A9" r:id="rId8" display="https://commun.it/?aid=thankyou162"/>
    <hyperlink ref="A10" r:id="rId9" display="https://customerthink.com/will-you-become-one-with-growth-hacker-marketing/"/>
    <hyperlink ref="A11" r:id="rId10" display="http://webguruawards.com/winners"/>
    <hyperlink ref="C2" r:id="rId11" display="https://twitter.com/Inovies/status/1402693044516757504"/>
    <hyperlink ref="C3" r:id="rId12" display="https://statusbrew.com/"/>
    <hyperlink ref="C4" r:id="rId13" display="https://twitter.com/suryakotianu/status/938667558806286337"/>
    <hyperlink ref="C5" r:id="rId14" display="https://goo.gl/UDmV7L"/>
    <hyperlink ref="C6" r:id="rId15" display="http://www.inovies.com/10-simple-ways-to-drive-better-quality-leads-from-your-website-78-inovies.html"/>
    <hyperlink ref="C7" r:id="rId16" display="https://twitter.com/inovies/status/1402693044516757504"/>
    <hyperlink ref="C8" r:id="rId17" display="https://www.linkedin.com/pulse/its-time-raise-your-web-design-rates-nagendra-b"/>
    <hyperlink ref="C9" r:id="rId18" display="https://www.linkedin.com/pulse/chipping-people-you-ready-shelly-palmer"/>
    <hyperlink ref="C10" r:id="rId19" display="https://yourstory.com/2016/11/4ec59cb4da-i-would-love-to-turn-odds-to-my-favor/?utm_source=twitter"/>
    <hyperlink ref="C11" r:id="rId20" display="https://www.paypal-proserv.com/newmoney/celebrating-entrepreneurs/allprofiles.php?id=865"/>
    <hyperlink ref="E2" r:id="rId21" display="https://bit.ly/3fs59eV"/>
    <hyperlink ref="E3" r:id="rId22" display="https://bit.ly/39b0qy9"/>
    <hyperlink ref="E4" r:id="rId23" display="https://bit.ly/2ItxUwZ"/>
    <hyperlink ref="E5" r:id="rId24" display="http://topdevelopers.co/"/>
    <hyperlink ref="E6" r:id="rId25" display="https://bit.ly/3kr97ri"/>
    <hyperlink ref="G2" r:id="rId26" display="https://www.altereco.media/cW0"/>
    <hyperlink ref="K2" r:id="rId27" display="https://bit.ly/30r2Oga"/>
    <hyperlink ref="M2" r:id="rId28" display="https://www.dreamcreationsevents.com/event/tcpl-season-2/"/>
    <hyperlink ref="U2" r:id="rId29" display="http://webguruawards.com/winners"/>
    <hyperlink ref="U3" r:id="rId30" display="https://www.webguruawards.com/user/details/webdesignagency-1662"/>
  </hyperlinks>
  <printOptions/>
  <pageMargins left="0.7" right="0.7" top="0.75" bottom="0.75" header="0.3" footer="0.3"/>
  <pageSetup orientation="portrait" paperSize="9"/>
  <tableParts>
    <tablePart r:id="rId37"/>
    <tablePart r:id="rId36"/>
    <tablePart r:id="rId33"/>
    <tablePart r:id="rId34"/>
    <tablePart r:id="rId31"/>
    <tablePart r:id="rId32"/>
    <tablePart r:id="rId35"/>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37CA-CE25-4040-9E10-F3D4B579EB5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384</v>
      </c>
      <c r="B1" s="7" t="s">
        <v>17</v>
      </c>
    </row>
    <row r="2" spans="1:2" ht="15">
      <c r="A2" s="75" t="s">
        <v>385</v>
      </c>
      <c r="B2" s="75"/>
    </row>
    <row r="3" spans="1:2" ht="15">
      <c r="A3" s="76" t="s">
        <v>386</v>
      </c>
      <c r="B3" s="75"/>
    </row>
    <row r="4" spans="1:2" ht="15">
      <c r="A4" s="76" t="s">
        <v>387</v>
      </c>
      <c r="B4" s="75"/>
    </row>
    <row r="5" spans="1:2" ht="15">
      <c r="A5" s="76" t="s">
        <v>388</v>
      </c>
      <c r="B5" s="75"/>
    </row>
    <row r="6" spans="1:2" ht="15">
      <c r="A6" s="76" t="s">
        <v>389</v>
      </c>
      <c r="B6" s="75"/>
    </row>
    <row r="7" spans="1:2" ht="15">
      <c r="A7" s="76" t="s">
        <v>272</v>
      </c>
      <c r="B7" s="7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9A06FC-96E8-4316-A698-83FDFA8D76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2023-12-10T06:21:20Z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