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327"/>
  <workbookPr codeName="ThisWorkbook" defaultThemeVersion="124226"/>
  <bookViews>
    <workbookView xWindow="65416" yWindow="65416" windowWidth="29040" windowHeight="158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Export Options" sheetId="9" r:id="rId9"/>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<sst xmlns="http://schemas.openxmlformats.org/spreadsheetml/2006/main" count="776" uniqueCount="312">
  <si>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</si>
  <si>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</si>
  <si>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</si>
  <si>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</si>
  <si>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</si>
  <si>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</si>
  <si>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</si>
  <si>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</si>
  <si>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</si>
  <si>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</si>
  <si>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</si>
  <si>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</si>
  <si>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</si>
  <si>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</si>
  <si>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</si>
  <si>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</si>
  <si>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</si>
  <si>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</si>
  <si>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</si>
  <si>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</si>
  <si>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</si>
  <si>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</si>
  <si>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</si>
  <si>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</si>
  <si>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</si>
  <si>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</si>
  <si>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</si>
  <si>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</si>
  <si>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</si>
  <si>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</si>
  <si>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</si>
  <si>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</si>
  <si>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</si>
  <si>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</si>
  <si>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</si>
  <si>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</si>
  <si>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</si>
  <si>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</si>
  <si>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</si>
  <si>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</si>
  <si>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</si>
  <si>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</si>
  <si>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</si>
  <si>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</si>
  <si>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</si>
  <si>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</si>
  <si>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</si>
  <si>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</si>
  <si>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</si>
  <si>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</si>
  <si>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</si>
  <si>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</si>
  <si>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</si>
  <si>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</si>
  <si>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</si>
  <si>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</si>
  <si>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</si>
  <si>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</si>
  <si>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</si>
  <si>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</si>
  <si>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</si>
  <si>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</si>
  <si>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</si>
  <si>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</si>
  <si>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</si>
  <si>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</si>
  <si>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</si>
  <si>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</si>
  <si>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</si>
  <si>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</si>
  <si>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</si>
  <si>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</si>
  <si>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</si>
  <si>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</si>
  <si>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</si>
  <si>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</si>
  <si>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</si>
  <si>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</si>
  <si>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</si>
  <si>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</si>
  <si>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</si>
  <si>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</si>
  <si>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</si>
  <si>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</si>
  <si>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</si>
  <si>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</si>
  <si>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</si>
  <si>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</si>
  <si>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</si>
  <si>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</si>
  <si>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</si>
  <si>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</si>
  <si>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</si>
  <si>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</si>
  <si>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</si>
  <si>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</si>
  <si>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</si>
  <si>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</si>
  <si>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</si>
  <si>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</si>
  <si>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</si>
  <si>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</si>
  <si>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</si>
  <si>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</si>
  <si>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</si>
  <si>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</si>
  <si>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</si>
  <si>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</si>
  <si>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</si>
  <si>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</si>
  <si>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</si>
  <si>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</si>
  <si>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</si>
  <si>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</si>
  <si>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</si>
  <si>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</si>
  <si>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</si>
  <si>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</si>
  <si>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</si>
  <si>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</si>
  <si>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</si>
  <si>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</si>
  <si>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</si>
  <si>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</si>
  <si>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</si>
  <si>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</si>
  <si>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</si>
  <si>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</si>
  <si>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</si>
  <si>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</si>
  <si>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</si>
  <si>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</si>
  <si>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</si>
  <si>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</si>
  <si>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</si>
  <si>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</si>
  <si>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</si>
  <si>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</si>
  <si>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</si>
  <si>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</si>
  <si>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</si>
  <si>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</si>
  <si>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</si>
  <si>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</si>
  <si>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</si>
  <si>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</si>
  <si>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</si>
  <si>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</si>
  <si>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</si>
  <si>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</si>
  <si>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</si>
  <si>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</si>
  <si>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</si>
  <si>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</si>
  <si>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</si>
  <si>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</si>
  <si>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</si>
  <si>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</si>
  <si>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</si>
  <si>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</si>
  <si>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</si>
  <si>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</si>
  <si>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</si>
  <si>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</si>
  <si>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</si>
  <si>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</si>
  <si>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</si>
  <si>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</si>
  <si>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</si>
  <si>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</si>
  <si>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</si>
  <si>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</si>
  <si>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</si>
  <si>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</si>
  <si>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</si>
  <si>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</si>
  <si>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Type</t>
  </si>
  <si>
    <t>Matchings Count</t>
  </si>
  <si>
    <t>weight</t>
  </si>
  <si>
    <t>largestautomobilebrand_7bd9ba9c7afb18529ac23979f477ff77</t>
  </si>
  <si>
    <t>largestautomobilebrand_5166fd3fee463b7c9992293e84f098f0</t>
  </si>
  <si>
    <t>largestautomobilebrand_9a383cb464987caac79cb2b8ac736106</t>
  </si>
  <si>
    <t>largestautomobilebrand_8928603cd5f39e8583cf8becbc180bd2</t>
  </si>
  <si>
    <t>largestautomobilebrand_3aedf5237c0c737cc170939aba424d3b</t>
  </si>
  <si>
    <t>largestautomobilebrand_2ab3343875e56dc0a15cbb6a98570cf2</t>
  </si>
  <si>
    <t>largestautomobilebrand_5106b150c5915290c74ce0aa7e8404e6</t>
  </si>
  <si>
    <t>largestautomobilebrand_80ca06abfa1a5104af9a770f485dad07</t>
  </si>
  <si>
    <t>largestautomobilebrand_2c05cdb8eb62ea77b449593eea3b15f9</t>
  </si>
  <si>
    <t>largestautomobilebrand_71913f59e458e026d6609cdb5a7cc53d</t>
  </si>
  <si>
    <t>largestsuppliers_b503b86ca960c5ab473b8e47ed9af302</t>
  </si>
  <si>
    <t>largestsuppliers_512728d73619b8379223140be0433357</t>
  </si>
  <si>
    <t>largestsuppliers_141e545582b5a2cab34abc42de957b40</t>
  </si>
  <si>
    <t>largestsuppliers_c68b0a49abcde562b6fd3ed6716a35c4</t>
  </si>
  <si>
    <t>largestsuppliers_378ba3e66bc6347cb201a5f84a5123f7</t>
  </si>
  <si>
    <t>largestsuppliers_c186e9ae8cafab5df5c8d80cfa7b0fa1</t>
  </si>
  <si>
    <t>largestsuppliers_5dac1b5914537a1bcd5ac55b181e8512</t>
  </si>
  <si>
    <t>largestsuppliers_12c6c8c01e598f2770fc9f5a0955e438</t>
  </si>
  <si>
    <t>largestsuppliers_02f9db0e6deb583da7c9a19c1cf01cf7</t>
  </si>
  <si>
    <t>largestsuppliers_a5ab7d0fdab891ee976ce81bec8aa141</t>
  </si>
  <si>
    <t>largestsuppliers_4ba4923343c83b611f67a8d20a0a483f</t>
  </si>
  <si>
    <t>largestsuppliers_3088189e2f3628ff40da061ab4305c6e</t>
  </si>
  <si>
    <t>largestsuppliers_f366d2db3a9995e6e2ae2cad19beeb09</t>
  </si>
  <si>
    <t>largestsuppliers_cbbef2fa826d068bbdb9483d1d6b16c2</t>
  </si>
  <si>
    <t>largestsuppliers_cdb7219584836f6baf2a3053c4fc6587</t>
  </si>
  <si>
    <t>largestsuppliers_68f8a4796424400485d95d7456a5cb1a</t>
  </si>
  <si>
    <t>largestsuppliers_3ed6887de049a39622af24399a79412e</t>
  </si>
  <si>
    <t>largestsuppliers_236491fced68687570f6ac2cea088342</t>
  </si>
  <si>
    <t>largestsuppliers_637b6a17391174ebd8504d3462a471a2</t>
  </si>
  <si>
    <t>largestsuppliers_f4569552b803e0017f9324ff4bf9db61</t>
  </si>
  <si>
    <t>largestsuppliers_202b24c0d1bfb97ed1a0298bd11f0d75</t>
  </si>
  <si>
    <t>largestsuppliers_7241d092fd95156d216a6fbaf5a2dcc1</t>
  </si>
  <si>
    <t>largestsuppliers_cfb07376b20e07dc6c29f51a64fc4d9c</t>
  </si>
  <si>
    <t>largestsuppliers_913cc7685bc11b5d47ddfa3f614cde8b</t>
  </si>
  <si>
    <t>largestsuppliers_4a09345f80d8a4f0c7dfab0586f7b227</t>
  </si>
  <si>
    <t>largestsuppliers_6e4a858cbdbd6f9cf51f2fd89d8c7558</t>
  </si>
  <si>
    <t>Occurrences Count</t>
  </si>
  <si>
    <t>Largest Suppliers</t>
  </si>
  <si>
    <t>Largest Automobile Brand</t>
  </si>
  <si>
    <t>hella</t>
  </si>
  <si>
    <t>zf friedrichshafen</t>
  </si>
  <si>
    <t>mahle</t>
  </si>
  <si>
    <t>continental</t>
  </si>
  <si>
    <t>bosch</t>
  </si>
  <si>
    <t>toyota</t>
  </si>
  <si>
    <t>yazaki</t>
  </si>
  <si>
    <t>sumitomo electric industries</t>
  </si>
  <si>
    <t>panasonic</t>
  </si>
  <si>
    <t>denso</t>
  </si>
  <si>
    <t>aisin seiki</t>
  </si>
  <si>
    <t>renault-nissan-mitsubishi alliance</t>
  </si>
  <si>
    <t>magna international</t>
  </si>
  <si>
    <t>nissan</t>
  </si>
  <si>
    <t>calsonic kansei</t>
  </si>
  <si>
    <t>hitachi automotive systems</t>
  </si>
  <si>
    <t>hyundai-kia</t>
  </si>
  <si>
    <t>mando</t>
  </si>
  <si>
    <t>kumho electric</t>
  </si>
  <si>
    <t>hyundai wia</t>
  </si>
  <si>
    <t>hyundai mobis</t>
  </si>
  <si>
    <t>halla group</t>
  </si>
  <si>
    <t>honda</t>
  </si>
  <si>
    <t>showa corporation</t>
  </si>
  <si>
    <t>keihin</t>
  </si>
  <si>
    <t>general motors</t>
  </si>
  <si>
    <t>lear</t>
  </si>
  <si>
    <t>delphi technologies</t>
  </si>
  <si>
    <t>ford</t>
  </si>
  <si>
    <t>valeo</t>
  </si>
  <si>
    <t>fiat chrysler automobiles (fca)</t>
  </si>
  <si>
    <t>magneti marelli</t>
  </si>
  <si>
    <t>bmw</t>
  </si>
  <si>
    <t>schaeffler group</t>
  </si>
  <si>
    <t>robert bosch gmbh</t>
  </si>
  <si>
    <t>volkswagen</t>
  </si>
  <si>
    <t>Directed</t>
  </si>
  <si>
    <t xml:space="preserve">&lt;?xml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&lt;ExportToEmailUserSettings&gt;
      &lt;setting name="SmtpUserName" serializeAs="String"&gt;
        &lt;value&gt;email@domain.abc&lt;/value&gt;
      &lt;/setting&gt;
      &lt;setting name="SpaceDelimitedToAddresses" serializeAs="String"&gt;
        &lt;value&gt;email@domain.abc&lt;/value&gt;
      &lt;/setting&gt;
      &lt;setting name="ExportWorkbookAndSettings" serializeAs="String"&gt;
        &lt;value&gt;True&lt;/value&gt;
      &lt;/setting&gt;
      &lt;setting name="ExportGraphML" serializeAs="String"&gt;
        &lt;value&gt;False&lt;/value&gt;
      &lt;/setting&gt;
      &lt;setting name="SmtpPort" serializeAs="String"&gt;
        &lt;value&gt;587&lt;/value&gt;
      &lt;/setting&gt;
      &lt;setting name="UseSslForSmtp" serializeAs="String"&gt;
        &lt;value&gt;True&lt;/value&gt;
      &lt;/setting&gt;
      &lt;setting name="UseFixedAspectRatio" serializeAs="String"&gt;
        &lt;value&gt;False&lt;/value&gt;
      &lt;/setting&gt;
      &lt;setting name="MessageBody" serializeAs="String"&gt;
        &lt;value&gt;&amp;lt;img src="http://www.nodexlgraphgallery.org/Images/SiteLogo.png" /&amp;gt;
This graph was brought to you by NodeXL Pro.
{Graph Image}
{Graph Summary}
For more information, go to &amp;lt;a href="https://nodexlgraphgallery.org/Pages/Registration.aspx"&amp;gt;NodeXL Pro&amp;lt;/a&amp;gt;.&lt;/value&gt;
      &lt;/setting&gt;
      &lt;setting name="SmtpHost" serializeAs="String"&gt;
        &lt;value&gt;mail.domain.abc&lt;/value&gt;
      &lt;/setting&gt;
      &lt;setting name="FromAddress" serializeAs="String"&gt;
        &lt;value&gt;email@domain.abc&lt;/value&gt;
      &lt;/setting&gt;
    &lt;/ExportToEmailUserSettings&gt;
    &lt;GraphImageUserSettings2&gt;
      &lt;setting name="ImageSize" serializeAs="String"&gt;
        &lt;value&gt;4096, 3072&lt;/value&gt;
    </t>
  </si>
  <si>
    <t>Workbook Settings 2</t>
  </si>
  <si>
    <t>Workbook Settings 3</t>
  </si>
  <si>
    <t>Workbook Settings 4</t>
  </si>
  <si>
    <t>Edge Weight</t>
  </si>
  <si>
    <t>G1</t>
  </si>
  <si>
    <t>G2</t>
  </si>
  <si>
    <t>G3</t>
  </si>
  <si>
    <t>G4</t>
  </si>
  <si>
    <t>0, 12, 96</t>
  </si>
  <si>
    <t>0, 136, 227</t>
  </si>
  <si>
    <t>0, 100, 50</t>
  </si>
  <si>
    <t>0, 176, 22</t>
  </si>
  <si>
    <t>Vertex Group</t>
  </si>
  <si>
    <t>Vertex 1 Group</t>
  </si>
  <si>
    <t>Vertex 2 Group</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</si>
  <si>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</si>
  <si>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</si>
  <si>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</si>
  <si>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</si>
  <si>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</si>
  <si>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</si>
  <si>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</si>
  <si>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</si>
  <si>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</si>
  <si>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</si>
  <si>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</si>
  <si>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</si>
  <si>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</si>
  <si>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</si>
  <si>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</si>
  <si>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</si>
  <si>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</si>
  <si>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</si>
  <si>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</si>
  <si>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</si>
  <si>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1.0.1.514</t>
  </si>
  <si>
    <t>Key</t>
  </si>
  <si>
    <t>Action Label</t>
  </si>
  <si>
    <t>Action URL</t>
  </si>
  <si>
    <t>Brand Logo</t>
  </si>
  <si>
    <t>Brand URL</t>
  </si>
  <si>
    <t>Hashtag</t>
  </si>
  <si>
    <t>URL</t>
  </si>
  <si>
    <t>192, 192, 192</t>
  </si>
  <si>
    <t>Edge Weight▓1▓1▓0▓True▓Silver▓Red▓▓Edge Weight▓1▓1▓0▓3▓10▓False▓Edge Weight▓1▓1▓0▓50▓20▓False▓▓0▓0▓0▓True▓Black▓Black▓▓Betweenness Centrality▓0▓130.02197▓3▓100▓1000▓False▓▓0▓0▓0▓0▓0▓False▓▓0▓0▓0▓0▓0▓False▓▓0▓0▓0▓0▓0▓False</t>
  </si>
  <si>
    <t>GraphSource░GraphMaker▓ImportDescription░Jacomy Mathieu, Sciences Po Medialab and WebAtlas▓GroupingDescription░The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</si>
  <si>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name="UseControlSize" serializeAs="String"&gt;
        &lt;value&gt;False&lt;/value&gt;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&lt;value&gt;False&lt;/value&gt;
      &lt;/setting&gt;
      &lt;setting name="IncludeFooter" serializeAs="String"&gt;
        &lt;value&gt;True&lt;/value&gt;
      &lt;/setting&gt;
      &lt;setting name="FooterText" serializeAs="String"&gt;
        &lt;value&gt;Network graph created with NodeXL Pro from the Social Media Research Foundation (https://www.smrfoundation.org)&lt;/value&gt;
      &lt;/setting&gt;
    &lt;/GraphImageUserSettings2&gt;
    &lt;AutomatedGraphImageUserSettings&gt;
      &lt;setting name="IncludeFooter" serializeAs="String"&gt;
        &lt;value&gt;True&lt;/value&gt;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&lt;value&gt;Network graph created with NodeXL Pro from the Social Media Research Foundation (https://www.smrfoundation.org)&lt;/value&gt;
      &lt;/setting&gt;
      &lt;setting name="ImageFormat" serializeAs="String"&gt;
        &lt;value&gt;Png&lt;/value&gt;
      &lt;/setting&gt;
    &lt;/AutomatedGraphImageUserSettings&gt;
    &lt;AutoScaleUserSettings&gt;
      &lt;setting name="AutoScale" serializeAs="String"&gt;
        &lt;value&gt;True&lt;/value&gt;
      &lt;/setting&gt;
    &lt;/AutoScaleUserSettings&gt;
    &lt;ImportDataUserSettings&gt;
      &lt;setting name="SaveImportDescription" serializeAs="String"&gt;
        &lt;value&gt;True&lt;/value&gt;
      &lt;/setting&gt;
      &lt;setting name="AutomateAfterImport" serializeAs="String"&gt;
        &lt;value&gt;False&lt;/value&gt;
      &lt;/setting&gt;
      &lt;setting name="ClearTablesBeforeImport" serializeAs="String"&gt;
        &lt;value&gt;True&lt;/value&gt;
      &lt;/setting&gt;
    &lt;/ImportDataUserSettings&gt;
    &lt;AutomateTasksUserSettings&gt;
      &lt;setting name="AutomateThisWorkbookOnly" serializeAs="String"&gt;
        &lt;value&gt;True&lt;/value&gt;
      &lt;/setting&gt;
      &lt;setting name="FolderToAutomate" serializeAs="String"&gt;
        &lt;value /&gt;
      &lt;/setting&gt;
      &lt;setting name="TasksToRun" serializeAs="String"&gt;
        &lt;value&gt;MergeDuplicateEdges, CalculateGraphMetrics, AutoFillWorkbook, CalculateClusters, ReadWorkbook&lt;/value&gt;
      &lt;/setting&gt;
    &lt;/AutomateTasksUserSettings&gt;
    &lt;GraphMetricUserSettings&gt;
      &lt;setting name="GraphMetricsToCalculate" serializeAs="String"&gt;
        &lt;value&gt;InDegree, OutDegree, Degree, ClusteringCoefficient, BrandesFastCentralities, EigenvectorCentrality, PageRank, OverallMetrics, GroupMetrics, EdgeReciprocation, ReciprocatedVertexPairRatio&lt;/value&gt;
      &lt;/setting&gt;
      &lt;setting name="OverallMetricsUserSettings" serializeAs="String"&gt;
        &lt;value /&gt;
      &lt;/setting&gt;
    &lt;/GraphMetricUserSettings&gt;
    &lt;LayoutUserSettings&gt;
      &lt;setting name="FruchtermanReingoldIterations" serializeAs="String"&gt;
        &lt;value&gt;25&lt;/value&gt;
      &lt;/setting&gt;
      &lt;setting name="IntergroupEdgeStyle" serializeAs="String"&gt;
        &lt;value&gt;Show&lt;/value&gt;
      &lt;/setting&gt;
      &lt;setting name="FruchtermanReingoldC" serializeAs="String"&gt;
        &lt;value&gt;5&lt;/value&gt;
      &lt;/setting&gt;
      &lt;setting name="BoxLayoutAlgorithm" serializeAs="String"&gt;
        &lt;value&gt;Treemap&lt;/value&gt;
      &lt;/setting&gt;
      &lt;setting name="ImproveLayoutOfGroups" serializeAs="String"&gt;
        &lt;value&gt;False&lt;/value&gt;
      &lt;/setting&gt;
      &lt;setting name="LayoutStyle" serializeAs="String"&gt;
        &lt;value&gt;Normal&lt;/value&gt;
      &lt;/setting&gt;
      &lt;setting name="GroupRectanglePenWidth" serializeAs="String"&gt;
        &lt;value&gt;1&lt;/value&gt;
      &lt;/setting&gt;
      &lt;setting name="Margin" serializeAs="String"&gt;
        &lt;value&gt;6&lt;/value&gt;
      &lt;/setting&gt;
      &lt;setting name="Layout" serializeAs="String"&gt;
        &lt;value&gt;HarelKorenFastMultiscale&lt;/value&gt;
      &lt;/setting&gt;
    &lt;/LayoutUserSettings&gt;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&lt;value&gt;Betweenness Centrality&lt;/value&gt;
      &lt;/setting&gt;
      &lt;setting name="VertexRadiusSourceColumnName" serializeAs="String"&gt;
        &lt;value&gt;Betweenness Centrality&lt;/value&gt;
      &lt;/setting&gt;
      &lt;setting name="EdgeColorDetails" serializeAs="String"&gt;
        &lt;value&gt;False False 0 0 Silver Red True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t>
  </si>
  <si>
    <t>Marked?</t>
  </si>
  <si>
    <t>GraphMaker</t>
  </si>
  <si>
    <t>Jacomy Mathieu, Sciences Po Medialab and WebAtlas</t>
  </si>
  <si>
    <t>The graph was laid out using the Harel-Koren Fast Multiscale layout algorithm.</t>
  </si>
  <si>
    <t>The graph's vertices were grouped by cluster using the Clauset-Newman-Moore cluster algorithm.</t>
  </si>
  <si>
    <t>Radius" serializeAs="String"&gt;
        &lt;value&gt;1.5&lt;/value&gt;
      &lt;/setting&gt;
      &lt;setting name="EdgeWidth" serializeAs="String"&gt;
        &lt;value&gt;1&lt;/value&gt;
      &lt;/setting&gt;
      &lt;setting name="RelativeArrowSize" serializeAs="String"&gt;
        &lt;value&gt;3&lt;/value&gt;
      &lt;/setting&gt;
      &lt;setting name="VertexEffect" serializeAs="String"&gt;
        &lt;value&gt;DropShadow&lt;/value&gt;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36pt White BottomCenter 25 2147483647 Black True 350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&lt;value&gt;Disk&lt;/value&gt;
      &lt;/setting&gt;
      &lt;setting name="EdgeCurveStyle" serializeAs="String"&gt;
        &lt;value&gt;Straight&lt;/value&gt;
      &lt;/setting&gt;
    &lt;/GeneralUserSettings4&gt;
  &lt;/userSettings&gt;
&lt;/configuration&gt;</t>
  </si>
  <si>
    <t>https://nodexlgraphgallery.org/Pages/Graph.aspx?graphID=292018</t>
  </si>
  <si>
    <t>https://nodexlgraphgallery.org/Images/Image.ashx?graphID=292018&amp;type=f</t>
  </si>
  <si>
    <t>ollapsedSourceColumnName" serializeAs="String"&gt;
        &lt;value /&gt;
      &lt;/setting&gt;
      &lt;setting name="VertexLabelPositionDetails" serializeAs="String"&gt;
        &lt;value&gt;GreaterThan 1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3 10 True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 /&gt;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0 0 100 1000 True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0 50 20 True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&lt;ColumnGroupUserSettings&gt;
      &lt;setting name="ColumnGroupsToShow" serializeAs="String"&gt;
        &lt;value&gt;EdgeDoNotHide, EdgeVisualAttributes, EdgeGraphMetrics, EdgeOtherColumns, VertexDoNotHide, VertexVisualAttributes, VertexGraphMetrics, VertexOtherColumns, GroupDoNotHide, GroupVisualAttributes, GroupGraphMetrics, GroupEdgeDoNotHide, GroupEdgeGraphMetrics&lt;/value&gt;
      &lt;/setting&gt;
    &lt;/ColumnGroupUserSettings&gt;
    &lt;ClusterUserSettings&gt;
      &lt;setting name="PutNeighborlessVerticesInOneCluster" serializeAs="String"&gt;
        &lt;value&gt;True&lt;/value&gt;
      &lt;/setting&gt;
      &lt;setting name="ClusterAlgorithm" serializeAs="String"&gt;
        &lt;value&gt;ClausetNewmanMoore&lt;/value&gt;
      &lt;/setting&gt;
    &lt;/ClusterUserSettings&gt;
    &lt;GraphZoomAndScaleUserSettings&gt;
      &lt;setting name="GraphScale" serializeAs="String"&gt;
        &lt;value&gt;0.34&lt;/value&gt;
      &lt;/setting&gt;
    &lt;/GraphZoomAndScaleUserSettings&gt;
    &lt;GeneralUserSettings4&gt;
      &lt;setting name="NewWorkbookGraphDirectedness" serializeAs="String"&gt;
        &lt;value&gt;Directed&lt;/value&gt;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name="ReadGroupLabels" serializeAs="String"&gt;
        &lt;value&gt;True&lt;/value&gt;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</si>
</sst>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10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49" fontId="6" fillId="5" borderId="1" xfId="25" applyNumberFormat="1" applyAlignment="1">
      <alignment/>
    </xf>
    <xf numFmtId="49" fontId="6" fillId="5" borderId="11" xfId="25" applyNumberFormat="1" applyBorder="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116">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78" formatCode="General"/>
      <border>
        <left style="thin">
          <color theme="0"/>
        </left>
      </border>
    </dxf>
    <dxf>
      <numFmt numFmtId="178" formatCode="General"/>
      <border>
        <right style="thin">
          <color theme="0"/>
        </right>
      </border>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dxf>
    <dxf>
      <numFmt numFmtId="179" formatCode="@"/>
    </dxf>
    <dxf>
      <numFmt numFmtId="178" formatCode="General"/>
    </dxf>
    <dxf>
      <numFmt numFmtId="178" formatCode="General"/>
    </dxf>
    <dxf>
      <numFmt numFmtId="177" formatCode="0"/>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15"/>
      <tableStyleElement type="headerRow" dxfId="114"/>
    </tableStyle>
    <tableStyle name="NodeXL Table" pivot="0" count="1">
      <tableStyleElement type="headerRow" dxfId="11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9296518"/>
        <c:axId val="62342071"/>
      </c:barChart>
      <c:catAx>
        <c:axId val="2929651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342071"/>
        <c:crosses val="autoZero"/>
        <c:auto val="1"/>
        <c:lblOffset val="100"/>
        <c:noMultiLvlLbl val="0"/>
      </c:catAx>
      <c:valAx>
        <c:axId val="62342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965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4207728"/>
        <c:axId val="16542961"/>
      </c:barChart>
      <c:catAx>
        <c:axId val="2420772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6542961"/>
        <c:crosses val="autoZero"/>
        <c:auto val="1"/>
        <c:lblOffset val="100"/>
        <c:noMultiLvlLbl val="0"/>
      </c:catAx>
      <c:valAx>
        <c:axId val="165429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077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4668922"/>
        <c:axId val="64911435"/>
      </c:barChart>
      <c:catAx>
        <c:axId val="1466892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911435"/>
        <c:crosses val="autoZero"/>
        <c:auto val="1"/>
        <c:lblOffset val="100"/>
        <c:noMultiLvlLbl val="0"/>
      </c:catAx>
      <c:valAx>
        <c:axId val="649114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6689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7332004"/>
        <c:axId val="23334853"/>
      </c:barChart>
      <c:catAx>
        <c:axId val="4733200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334853"/>
        <c:crosses val="autoZero"/>
        <c:auto val="1"/>
        <c:lblOffset val="100"/>
        <c:noMultiLvlLbl val="0"/>
      </c:catAx>
      <c:valAx>
        <c:axId val="233348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3320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8687086"/>
        <c:axId val="11074911"/>
      </c:barChart>
      <c:catAx>
        <c:axId val="868708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1074911"/>
        <c:crosses val="autoZero"/>
        <c:auto val="1"/>
        <c:lblOffset val="100"/>
        <c:noMultiLvlLbl val="0"/>
      </c:catAx>
      <c:valAx>
        <c:axId val="110749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870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2565336"/>
        <c:axId val="24652569"/>
      </c:barChart>
      <c:catAx>
        <c:axId val="3256533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652569"/>
        <c:crosses val="autoZero"/>
        <c:auto val="1"/>
        <c:lblOffset val="100"/>
        <c:noMultiLvlLbl val="0"/>
      </c:catAx>
      <c:valAx>
        <c:axId val="246525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653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0546530"/>
        <c:axId val="50701043"/>
      </c:barChart>
      <c:catAx>
        <c:axId val="2054653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701043"/>
        <c:crosses val="autoZero"/>
        <c:auto val="1"/>
        <c:lblOffset val="100"/>
        <c:noMultiLvlLbl val="0"/>
      </c:catAx>
      <c:valAx>
        <c:axId val="507010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5465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3656204"/>
        <c:axId val="13143789"/>
      </c:barChart>
      <c:catAx>
        <c:axId val="5365620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3143789"/>
        <c:crosses val="autoZero"/>
        <c:auto val="1"/>
        <c:lblOffset val="100"/>
        <c:noMultiLvlLbl val="0"/>
      </c:catAx>
      <c:valAx>
        <c:axId val="131437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562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1185238"/>
        <c:axId val="58013959"/>
      </c:barChart>
      <c:catAx>
        <c:axId val="51185238"/>
        <c:scaling>
          <c:orientation val="minMax"/>
        </c:scaling>
        <c:axPos val="b"/>
        <c:delete val="1"/>
        <c:majorTickMark val="out"/>
        <c:minorTickMark val="none"/>
        <c:tickLblPos val="none"/>
        <c:crossAx val="58013959"/>
        <c:crosses val="autoZero"/>
        <c:auto val="1"/>
        <c:lblOffset val="100"/>
        <c:noMultiLvlLbl val="0"/>
      </c:catAx>
      <c:valAx>
        <c:axId val="58013959"/>
        <c:scaling>
          <c:orientation val="minMax"/>
        </c:scaling>
        <c:axPos val="l"/>
        <c:delete val="1"/>
        <c:majorTickMark val="out"/>
        <c:minorTickMark val="none"/>
        <c:tickLblPos val="none"/>
        <c:crossAx val="5118523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T52" totalsRowShown="0" headerRowDxfId="112" dataDxfId="111">
  <autoFilter ref="A2:T52"/>
  <tableColumns count="20">
    <tableColumn id="1" name="Vertex 1" dataDxfId="58"/>
    <tableColumn id="2" name="Vertex 2" dataDxfId="56"/>
    <tableColumn id="3" name="Color" dataDxfId="57"/>
    <tableColumn id="4" name="Width" dataDxfId="110"/>
    <tableColumn id="11" name="Style" dataDxfId="109"/>
    <tableColumn id="5" name="Opacity" dataDxfId="108"/>
    <tableColumn id="6" name="Visibility" dataDxfId="107"/>
    <tableColumn id="10" name="Label" dataDxfId="106"/>
    <tableColumn id="12" name="Label Text Color" dataDxfId="105"/>
    <tableColumn id="13" name="Label Font Size" dataDxfId="104"/>
    <tableColumn id="14" name="Reciprocated?" dataDxfId="20"/>
    <tableColumn id="7" name="ID" dataDxfId="103"/>
    <tableColumn id="9" name="Dynamic Filter" dataDxfId="102"/>
    <tableColumn id="8" name="Add Your Own Columns Here" dataDxfId="55"/>
    <tableColumn id="15" name="Type" dataDxfId="54"/>
    <tableColumn id="16" name="Matchings Count" dataDxfId="53"/>
    <tableColumn id="17" name="weight" dataDxfId="52"/>
    <tableColumn id="18" name="Edge Weight"/>
    <tableColumn id="19" name="Vertex 1 Group" dataDxfId="37">
      <calculatedColumnFormula>REPLACE(INDEX(GroupVertices[Group], MATCH(Edges[[#This Row],[Vertex 1]],GroupVertices[Vertex],0)),1,1,"")</calculatedColumnFormula>
    </tableColumn>
    <tableColumn id="20" name="Vertex 2 Group" dataDxfId="36">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1" totalsRowShown="0" headerRowDxfId="19" dataDxfId="18">
  <autoFilter ref="A2:C11"/>
  <tableColumns count="3">
    <tableColumn id="1" name="Group 1" dataDxfId="17"/>
    <tableColumn id="2" name="Group 2" dataDxfId="16"/>
    <tableColumn id="3" name="Edges" dataDxfId="15"/>
  </tableColumns>
  <tableStyleInfo name="NodeXL Table" showFirstColumn="0" showLastColumn="0" showRowStripes="1" showColumnStripes="0"/>
</table>
</file>

<file path=xl/tables/table12.xml><?xml version="1.0" encoding="utf-8"?>
<table xmlns="http://schemas.openxmlformats.org/spreadsheetml/2006/main" id="11" name="ExportOptions" displayName="ExportOptions" ref="A1:B7" totalsRowShown="0" headerRowDxfId="12" dataDxfId="11">
  <autoFilter ref="A1:B7"/>
  <tableColumns count="2">
    <tableColumn id="1" name="Key" dataDxfId="10"/>
    <tableColumn id="2" name="Value" dataDxfId="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G38" totalsRowShown="0" headerRowDxfId="101" dataDxfId="100">
  <autoFilter ref="A2:AG38"/>
  <sortState ref="A3:AF38">
    <sortCondition sortBy="value" ref="AD3:AD38"/>
  </sortState>
  <tableColumns count="33">
    <tableColumn id="1" name="Vertex" dataDxfId="99"/>
    <tableColumn id="2" name="Color" dataDxfId="98"/>
    <tableColumn id="5" name="Shape" dataDxfId="97"/>
    <tableColumn id="6" name="Size" dataDxfId="96"/>
    <tableColumn id="4" name="Opacity" dataDxfId="95"/>
    <tableColumn id="7" name="Image File" dataDxfId="94"/>
    <tableColumn id="3" name="Visibility" dataDxfId="49"/>
    <tableColumn id="10" name="Label" dataDxfId="47"/>
    <tableColumn id="16" name="Label Fill Color" dataDxfId="48"/>
    <tableColumn id="9" name="Label Position" dataDxfId="93"/>
    <tableColumn id="8" name="Tooltip" dataDxfId="92"/>
    <tableColumn id="18" name="Layout Order" dataDxfId="91"/>
    <tableColumn id="13" name="X" dataDxfId="90"/>
    <tableColumn id="14" name="Y" dataDxfId="89"/>
    <tableColumn id="12" name="Locked?" dataDxfId="88"/>
    <tableColumn id="19" name="Polar R" dataDxfId="87"/>
    <tableColumn id="20" name="Polar Angle" dataDxfId="86"/>
    <tableColumn id="21" name="Degree" dataDxfId="6"/>
    <tableColumn id="22" name="In-Degree" dataDxfId="5"/>
    <tableColumn id="23" name="Out-Degree" dataDxfId="3"/>
    <tableColumn id="24" name="Betweenness Centrality" dataDxfId="4"/>
    <tableColumn id="25" name="Closeness Centrality" dataDxfId="8"/>
    <tableColumn id="26" name="Eigenvector Centrality" dataDxfId="7"/>
    <tableColumn id="15" name="PageRank" dataDxfId="2"/>
    <tableColumn id="27" name="Clustering Coefficient" dataDxfId="0"/>
    <tableColumn id="29" name="Reciprocated Vertex Pair Ratio" dataDxfId="1"/>
    <tableColumn id="11" name="ID" dataDxfId="85"/>
    <tableColumn id="28" name="Dynamic Filter" dataDxfId="84"/>
    <tableColumn id="17" name="Add Your Own Columns Here" dataDxfId="51"/>
    <tableColumn id="30" name="Type" dataDxfId="50"/>
    <tableColumn id="31" name="Occurrences Count" dataDxfId="39"/>
    <tableColumn id="32" name="Vertex Group" dataDxfId="38">
      <calculatedColumnFormula>REPLACE(INDEX(GroupVertices[Group], MATCH(Vertices[[#This Row],[Vertex]],GroupVertices[Vertex],0)),1,1,"")</calculatedColumnFormula>
    </tableColumn>
    <tableColumn id="33" name="Marked?"/>
  </tableColumns>
  <tableStyleInfo name="NodeXL Table" showFirstColumn="0" showLastColumn="0" showRowStripes="0" showColumnStripes="0"/>
</table>
</file>

<file path=xl/tables/table3.xml><?xml version="1.0" encoding="utf-8"?>
<table xmlns="http://schemas.openxmlformats.org/spreadsheetml/2006/main" id="4" name="Groups" displayName="Groups" ref="A2:X6" totalsRowShown="0" headerRowDxfId="83">
  <autoFilter ref="A2:X6"/>
  <tableColumns count="24">
    <tableColumn id="1" name="Group" dataDxfId="46"/>
    <tableColumn id="2" name="Vertex Color" dataDxfId="45"/>
    <tableColumn id="3" name="Vertex Shape" dataDxfId="43"/>
    <tableColumn id="22" name="Visibility" dataDxfId="44"/>
    <tableColumn id="4" name="Collapsed?"/>
    <tableColumn id="18" name="Label" dataDxfId="82"/>
    <tableColumn id="20" name="Collapsed X"/>
    <tableColumn id="21" name="Collapsed Y"/>
    <tableColumn id="6" name="ID" dataDxfId="81"/>
    <tableColumn id="19" name="Collapsed Properties" dataDxfId="35"/>
    <tableColumn id="5" name="Vertices" dataDxfId="34"/>
    <tableColumn id="7" name="Unique Edges" dataDxfId="33"/>
    <tableColumn id="8" name="Edges With Duplicates" dataDxfId="32"/>
    <tableColumn id="9" name="Total Edges" dataDxfId="31"/>
    <tableColumn id="10" name="Self-Loops" dataDxfId="30"/>
    <tableColumn id="24" name="Reciprocated Vertex Pair Ratio" dataDxfId="29"/>
    <tableColumn id="25" name="Reciprocated Edge Ratio" dataDxfId="28"/>
    <tableColumn id="11" name="Connected Components" dataDxfId="27"/>
    <tableColumn id="12" name="Single-Vertex Connected Components" dataDxfId="26"/>
    <tableColumn id="13" name="Maximum Vertices in a Connected Component" dataDxfId="25"/>
    <tableColumn id="14" name="Maximum Edges in a Connected Component" dataDxfId="24"/>
    <tableColumn id="15" name="Maximum Geodesic Distance (Diameter)" dataDxfId="23"/>
    <tableColumn id="16" name="Average Geodesic Distance" dataDxfId="22"/>
    <tableColumn id="17" name="Graph Density" dataDxfId="2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7" totalsRowShown="0" headerRowDxfId="80" dataDxfId="79">
  <autoFilter ref="A1:C37"/>
  <tableColumns count="3">
    <tableColumn id="1" name="Group" dataDxfId="42"/>
    <tableColumn id="2" name="Vertex" dataDxfId="41"/>
    <tableColumn id="3" name="Vertex ID" dataDxfId="4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4"/>
    <tableColumn id="2" name="Value" dataDxfId="1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78"/>
    <tableColumn id="2" name="Degree Frequency" dataDxfId="77">
      <calculatedColumnFormula>COUNTIF(Vertices[Degree], "&gt;= " &amp; D2) - COUNTIF(Vertices[Degree], "&gt;=" &amp; D3)</calculatedColumnFormula>
    </tableColumn>
    <tableColumn id="3" name="In-Degree Bin" dataDxfId="76"/>
    <tableColumn id="4" name="In-Degree Frequency" dataDxfId="75">
      <calculatedColumnFormula>COUNTIF(Vertices[In-Degree], "&gt;= " &amp; F2) - COUNTIF(Vertices[In-Degree], "&gt;=" &amp; F3)</calculatedColumnFormula>
    </tableColumn>
    <tableColumn id="5" name="Out-Degree Bin" dataDxfId="74"/>
    <tableColumn id="6" name="Out-Degree Frequency" dataDxfId="73">
      <calculatedColumnFormula>COUNTIF(Vertices[Out-Degree], "&gt;= " &amp; H2) - COUNTIF(Vertices[Out-Degree], "&gt;=" &amp; H3)</calculatedColumnFormula>
    </tableColumn>
    <tableColumn id="7" name="Betweenness Centrality Bin" dataDxfId="72"/>
    <tableColumn id="8" name="Betweenness Centrality Frequency" dataDxfId="71">
      <calculatedColumnFormula>COUNTIF(Vertices[Betweenness Centrality], "&gt;= " &amp; J2) - COUNTIF(Vertices[Betweenness Centrality], "&gt;=" &amp; J3)</calculatedColumnFormula>
    </tableColumn>
    <tableColumn id="9" name="Closeness Centrality Bin" dataDxfId="70"/>
    <tableColumn id="10" name="Closeness Centrality Frequency" dataDxfId="69">
      <calculatedColumnFormula>COUNTIF(Vertices[Closeness Centrality], "&gt;= " &amp; L2) - COUNTIF(Vertices[Closeness Centrality], "&gt;=" &amp; L3)</calculatedColumnFormula>
    </tableColumn>
    <tableColumn id="11" name="Eigenvector Centrality Bin" dataDxfId="68"/>
    <tableColumn id="12" name="Eigenvector Centrality Frequency" dataDxfId="67">
      <calculatedColumnFormula>COUNTIF(Vertices[Eigenvector Centrality], "&gt;= " &amp; N2) - COUNTIF(Vertices[Eigenvector Centrality], "&gt;=" &amp; N3)</calculatedColumnFormula>
    </tableColumn>
    <tableColumn id="18" name="PageRank Bin" dataDxfId="66"/>
    <tableColumn id="17" name="PageRank Frequency" dataDxfId="65">
      <calculatedColumnFormula>COUNTIF(Vertices[Eigenvector Centrality], "&gt;= " &amp; P2) - COUNTIF(Vertices[Eigenvector Centrality], "&gt;=" &amp; P3)</calculatedColumnFormula>
    </tableColumn>
    <tableColumn id="13" name="Clustering Coefficient Bin" dataDxfId="64"/>
    <tableColumn id="14" name="Clustering Coefficient Frequency" dataDxfId="63">
      <calculatedColumnFormula>COUNTIF(Vertices[Clustering Coefficient], "&gt;= " &amp; R2) - COUNTIF(Vertices[Clustering Coefficient], "&gt;=" &amp; R3)</calculatedColumnFormula>
    </tableColumn>
    <tableColumn id="15" name="Dynamic Filter Bin" dataDxfId="62"/>
    <tableColumn id="16" name="Dynamic Filter Frequency" dataDxfId="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1" totalsRowShown="0" headerRowDxfId="60">
  <autoFilter ref="J1:K11"/>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customWidth="1"/>
    <col min="4" max="4" width="8.7109375" style="2" customWidth="1"/>
    <col min="5" max="5" width="7.7109375" style="2" customWidth="1"/>
    <col min="6" max="6" width="9.8515625" style="2" customWidth="1"/>
    <col min="7" max="7" width="11.00390625" style="0"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7.57421875" style="0" bestFit="1" customWidth="1"/>
    <col min="16" max="16" width="12.28125" style="0" bestFit="1" customWidth="1"/>
    <col min="17" max="17" width="9.421875" style="0" bestFit="1" customWidth="1"/>
    <col min="18" max="18" width="14.421875" style="0" customWidth="1"/>
    <col min="19" max="20" width="10.7109375" style="0" bestFit="1" customWidth="1"/>
  </cols>
  <sheetData>
    <row r="1" spans="3:14" ht="15">
      <c r="C1" s="15" t="s">
        <v>39</v>
      </c>
      <c r="D1" s="16"/>
      <c r="E1" s="16"/>
      <c r="F1" s="16"/>
      <c r="G1" s="15"/>
      <c r="H1" s="13" t="s">
        <v>43</v>
      </c>
      <c r="I1" s="61"/>
      <c r="J1" s="61"/>
      <c r="K1" s="31" t="s">
        <v>42</v>
      </c>
      <c r="L1" s="17" t="s">
        <v>40</v>
      </c>
      <c r="M1" s="17"/>
      <c r="N1" s="14" t="s">
        <v>41</v>
      </c>
    </row>
    <row r="2" spans="1:20"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t="s">
        <v>259</v>
      </c>
      <c r="S2" s="7" t="s">
        <v>269</v>
      </c>
      <c r="T2" s="7" t="s">
        <v>270</v>
      </c>
    </row>
    <row r="3" spans="1:20" ht="15" customHeight="1">
      <c r="A3" s="78" t="s">
        <v>179</v>
      </c>
      <c r="B3" s="78" t="s">
        <v>214</v>
      </c>
      <c r="C3" s="49" t="s">
        <v>299</v>
      </c>
      <c r="D3" s="50">
        <v>3</v>
      </c>
      <c r="E3" s="62"/>
      <c r="F3" s="51">
        <v>50</v>
      </c>
      <c r="G3" s="49"/>
      <c r="H3" s="53"/>
      <c r="I3" s="52"/>
      <c r="J3" s="52"/>
      <c r="K3" s="32" t="s">
        <v>65</v>
      </c>
      <c r="L3" s="58">
        <v>3</v>
      </c>
      <c r="M3" s="58"/>
      <c r="N3" s="59"/>
      <c r="O3" s="79"/>
      <c r="P3" s="79">
        <v>1</v>
      </c>
      <c r="Q3" s="79"/>
      <c r="R3">
        <v>1</v>
      </c>
      <c r="S3" s="79" t="str">
        <f>REPLACE(INDEX(GroupVertices[Group],MATCH(Edges[[#This Row],[Vertex 1]],GroupVertices[Vertex],0)),1,1,"")</f>
        <v>3</v>
      </c>
      <c r="T3" s="79" t="str">
        <f>REPLACE(INDEX(GroupVertices[Group],MATCH(Edges[[#This Row],[Vertex 2]],GroupVertices[Vertex],0)),1,1,"")</f>
        <v>3</v>
      </c>
    </row>
    <row r="4" spans="1:20" ht="15" customHeight="1">
      <c r="A4" s="78" t="s">
        <v>179</v>
      </c>
      <c r="B4" s="78" t="s">
        <v>189</v>
      </c>
      <c r="C4" s="49" t="s">
        <v>299</v>
      </c>
      <c r="D4" s="50">
        <v>3</v>
      </c>
      <c r="E4" s="62"/>
      <c r="F4" s="51">
        <v>50</v>
      </c>
      <c r="G4" s="49"/>
      <c r="H4" s="53"/>
      <c r="I4" s="52"/>
      <c r="J4" s="52"/>
      <c r="K4" s="32" t="s">
        <v>65</v>
      </c>
      <c r="L4" s="77">
        <v>4</v>
      </c>
      <c r="M4" s="77"/>
      <c r="N4" s="59"/>
      <c r="O4" s="80"/>
      <c r="P4" s="80">
        <v>1</v>
      </c>
      <c r="Q4" s="80"/>
      <c r="R4">
        <v>1</v>
      </c>
      <c r="S4" s="79" t="str">
        <f>REPLACE(INDEX(GroupVertices[Group],MATCH(Edges[[#This Row],[Vertex 1]],GroupVertices[Vertex],0)),1,1,"")</f>
        <v>3</v>
      </c>
      <c r="T4" s="79" t="str">
        <f>REPLACE(INDEX(GroupVertices[Group],MATCH(Edges[[#This Row],[Vertex 2]],GroupVertices[Vertex],0)),1,1,"")</f>
        <v>3</v>
      </c>
    </row>
    <row r="5" spans="1:20" ht="45">
      <c r="A5" s="78" t="s">
        <v>179</v>
      </c>
      <c r="B5" s="78" t="s">
        <v>190</v>
      </c>
      <c r="C5" s="49" t="s">
        <v>299</v>
      </c>
      <c r="D5" s="50">
        <v>3</v>
      </c>
      <c r="E5" s="62"/>
      <c r="F5" s="51">
        <v>50</v>
      </c>
      <c r="G5" s="49"/>
      <c r="H5" s="53"/>
      <c r="I5" s="52"/>
      <c r="J5" s="52"/>
      <c r="K5" s="32" t="s">
        <v>65</v>
      </c>
      <c r="L5" s="77">
        <v>5</v>
      </c>
      <c r="M5" s="77"/>
      <c r="N5" s="59"/>
      <c r="O5" s="80"/>
      <c r="P5" s="80">
        <v>1</v>
      </c>
      <c r="Q5" s="80"/>
      <c r="R5">
        <v>1</v>
      </c>
      <c r="S5" s="79" t="str">
        <f>REPLACE(INDEX(GroupVertices[Group],MATCH(Edges[[#This Row],[Vertex 1]],GroupVertices[Vertex],0)),1,1,"")</f>
        <v>3</v>
      </c>
      <c r="T5" s="79" t="str">
        <f>REPLACE(INDEX(GroupVertices[Group],MATCH(Edges[[#This Row],[Vertex 2]],GroupVertices[Vertex],0)),1,1,"")</f>
        <v>3</v>
      </c>
    </row>
    <row r="6" spans="1:20" ht="45">
      <c r="A6" s="78" t="s">
        <v>179</v>
      </c>
      <c r="B6" s="78" t="s">
        <v>191</v>
      </c>
      <c r="C6" s="49" t="s">
        <v>299</v>
      </c>
      <c r="D6" s="50">
        <v>3</v>
      </c>
      <c r="E6" s="62"/>
      <c r="F6" s="51">
        <v>50</v>
      </c>
      <c r="G6" s="49"/>
      <c r="H6" s="53"/>
      <c r="I6" s="52"/>
      <c r="J6" s="52"/>
      <c r="K6" s="32" t="s">
        <v>65</v>
      </c>
      <c r="L6" s="77">
        <v>6</v>
      </c>
      <c r="M6" s="77"/>
      <c r="N6" s="59"/>
      <c r="O6" s="80"/>
      <c r="P6" s="80">
        <v>1</v>
      </c>
      <c r="Q6" s="80"/>
      <c r="R6">
        <v>1</v>
      </c>
      <c r="S6" s="79" t="str">
        <f>REPLACE(INDEX(GroupVertices[Group],MATCH(Edges[[#This Row],[Vertex 1]],GroupVertices[Vertex],0)),1,1,"")</f>
        <v>3</v>
      </c>
      <c r="T6" s="79" t="str">
        <f>REPLACE(INDEX(GroupVertices[Group],MATCH(Edges[[#This Row],[Vertex 2]],GroupVertices[Vertex],0)),1,1,"")</f>
        <v>3</v>
      </c>
    </row>
    <row r="7" spans="1:20" ht="45">
      <c r="A7" s="78" t="s">
        <v>179</v>
      </c>
      <c r="B7" s="78" t="s">
        <v>192</v>
      </c>
      <c r="C7" s="49" t="s">
        <v>299</v>
      </c>
      <c r="D7" s="50">
        <v>3</v>
      </c>
      <c r="E7" s="62"/>
      <c r="F7" s="51">
        <v>50</v>
      </c>
      <c r="G7" s="49"/>
      <c r="H7" s="53"/>
      <c r="I7" s="52"/>
      <c r="J7" s="52"/>
      <c r="K7" s="32" t="s">
        <v>65</v>
      </c>
      <c r="L7" s="77">
        <v>7</v>
      </c>
      <c r="M7" s="77"/>
      <c r="N7" s="59"/>
      <c r="O7" s="80"/>
      <c r="P7" s="80">
        <v>1</v>
      </c>
      <c r="Q7" s="80"/>
      <c r="R7">
        <v>1</v>
      </c>
      <c r="S7" s="79" t="str">
        <f>REPLACE(INDEX(GroupVertices[Group],MATCH(Edges[[#This Row],[Vertex 1]],GroupVertices[Vertex],0)),1,1,"")</f>
        <v>3</v>
      </c>
      <c r="T7" s="79" t="str">
        <f>REPLACE(INDEX(GroupVertices[Group],MATCH(Edges[[#This Row],[Vertex 2]],GroupVertices[Vertex],0)),1,1,"")</f>
        <v>2</v>
      </c>
    </row>
    <row r="8" spans="1:20" ht="45">
      <c r="A8" s="78" t="s">
        <v>180</v>
      </c>
      <c r="B8" s="78" t="s">
        <v>193</v>
      </c>
      <c r="C8" s="49" t="s">
        <v>299</v>
      </c>
      <c r="D8" s="50">
        <v>3</v>
      </c>
      <c r="E8" s="62"/>
      <c r="F8" s="51">
        <v>50</v>
      </c>
      <c r="G8" s="49"/>
      <c r="H8" s="53"/>
      <c r="I8" s="52"/>
      <c r="J8" s="52"/>
      <c r="K8" s="32" t="s">
        <v>65</v>
      </c>
      <c r="L8" s="77">
        <v>8</v>
      </c>
      <c r="M8" s="77"/>
      <c r="N8" s="59"/>
      <c r="O8" s="80"/>
      <c r="P8" s="80">
        <v>1</v>
      </c>
      <c r="Q8" s="80"/>
      <c r="R8">
        <v>1</v>
      </c>
      <c r="S8" s="79" t="str">
        <f>REPLACE(INDEX(GroupVertices[Group],MATCH(Edges[[#This Row],[Vertex 1]],GroupVertices[Vertex],0)),1,1,"")</f>
        <v>1</v>
      </c>
      <c r="T8" s="79" t="str">
        <f>REPLACE(INDEX(GroupVertices[Group],MATCH(Edges[[#This Row],[Vertex 2]],GroupVertices[Vertex],0)),1,1,"")</f>
        <v>1</v>
      </c>
    </row>
    <row r="9" spans="1:20" ht="45">
      <c r="A9" s="78" t="s">
        <v>180</v>
      </c>
      <c r="B9" s="78" t="s">
        <v>194</v>
      </c>
      <c r="C9" s="49" t="s">
        <v>299</v>
      </c>
      <c r="D9" s="50">
        <v>3</v>
      </c>
      <c r="E9" s="62"/>
      <c r="F9" s="51">
        <v>50</v>
      </c>
      <c r="G9" s="49"/>
      <c r="H9" s="53"/>
      <c r="I9" s="52"/>
      <c r="J9" s="52"/>
      <c r="K9" s="32" t="s">
        <v>65</v>
      </c>
      <c r="L9" s="77">
        <v>9</v>
      </c>
      <c r="M9" s="77"/>
      <c r="N9" s="59"/>
      <c r="O9" s="80"/>
      <c r="P9" s="80">
        <v>1</v>
      </c>
      <c r="Q9" s="80"/>
      <c r="R9">
        <v>1</v>
      </c>
      <c r="S9" s="79" t="str">
        <f>REPLACE(INDEX(GroupVertices[Group],MATCH(Edges[[#This Row],[Vertex 1]],GroupVertices[Vertex],0)),1,1,"")</f>
        <v>1</v>
      </c>
      <c r="T9" s="79" t="str">
        <f>REPLACE(INDEX(GroupVertices[Group],MATCH(Edges[[#This Row],[Vertex 2]],GroupVertices[Vertex],0)),1,1,"")</f>
        <v>1</v>
      </c>
    </row>
    <row r="10" spans="1:20" ht="45">
      <c r="A10" s="78" t="s">
        <v>180</v>
      </c>
      <c r="B10" s="78" t="s">
        <v>195</v>
      </c>
      <c r="C10" s="49" t="s">
        <v>299</v>
      </c>
      <c r="D10" s="50">
        <v>3</v>
      </c>
      <c r="E10" s="62"/>
      <c r="F10" s="51">
        <v>50</v>
      </c>
      <c r="G10" s="49"/>
      <c r="H10" s="53"/>
      <c r="I10" s="52"/>
      <c r="J10" s="52"/>
      <c r="K10" s="32" t="s">
        <v>65</v>
      </c>
      <c r="L10" s="77">
        <v>10</v>
      </c>
      <c r="M10" s="77"/>
      <c r="N10" s="59"/>
      <c r="O10" s="80"/>
      <c r="P10" s="80">
        <v>1</v>
      </c>
      <c r="Q10" s="80"/>
      <c r="R10">
        <v>1</v>
      </c>
      <c r="S10" s="79" t="str">
        <f>REPLACE(INDEX(GroupVertices[Group],MATCH(Edges[[#This Row],[Vertex 1]],GroupVertices[Vertex],0)),1,1,"")</f>
        <v>1</v>
      </c>
      <c r="T10" s="79" t="str">
        <f>REPLACE(INDEX(GroupVertices[Group],MATCH(Edges[[#This Row],[Vertex 2]],GroupVertices[Vertex],0)),1,1,"")</f>
        <v>1</v>
      </c>
    </row>
    <row r="11" spans="1:20" ht="45">
      <c r="A11" s="78" t="s">
        <v>180</v>
      </c>
      <c r="B11" s="78" t="s">
        <v>196</v>
      </c>
      <c r="C11" s="49" t="s">
        <v>299</v>
      </c>
      <c r="D11" s="50">
        <v>3</v>
      </c>
      <c r="E11" s="62"/>
      <c r="F11" s="51">
        <v>50</v>
      </c>
      <c r="G11" s="49"/>
      <c r="H11" s="53"/>
      <c r="I11" s="52"/>
      <c r="J11" s="52"/>
      <c r="K11" s="32" t="s">
        <v>65</v>
      </c>
      <c r="L11" s="77">
        <v>11</v>
      </c>
      <c r="M11" s="77"/>
      <c r="N11" s="59"/>
      <c r="O11" s="80"/>
      <c r="P11" s="80">
        <v>1</v>
      </c>
      <c r="Q11" s="80"/>
      <c r="R11">
        <v>1</v>
      </c>
      <c r="S11" s="79" t="str">
        <f>REPLACE(INDEX(GroupVertices[Group],MATCH(Edges[[#This Row],[Vertex 1]],GroupVertices[Vertex],0)),1,1,"")</f>
        <v>1</v>
      </c>
      <c r="T11" s="79" t="str">
        <f>REPLACE(INDEX(GroupVertices[Group],MATCH(Edges[[#This Row],[Vertex 2]],GroupVertices[Vertex],0)),1,1,"")</f>
        <v>1</v>
      </c>
    </row>
    <row r="12" spans="1:20" ht="45">
      <c r="A12" s="78" t="s">
        <v>180</v>
      </c>
      <c r="B12" s="78" t="s">
        <v>197</v>
      </c>
      <c r="C12" s="49" t="s">
        <v>299</v>
      </c>
      <c r="D12" s="50">
        <v>3</v>
      </c>
      <c r="E12" s="62"/>
      <c r="F12" s="51">
        <v>50</v>
      </c>
      <c r="G12" s="49"/>
      <c r="H12" s="53"/>
      <c r="I12" s="52"/>
      <c r="J12" s="52"/>
      <c r="K12" s="32" t="s">
        <v>65</v>
      </c>
      <c r="L12" s="77">
        <v>12</v>
      </c>
      <c r="M12" s="77"/>
      <c r="N12" s="59"/>
      <c r="O12" s="80"/>
      <c r="P12" s="80">
        <v>1</v>
      </c>
      <c r="Q12" s="80"/>
      <c r="R12">
        <v>1</v>
      </c>
      <c r="S12" s="79" t="str">
        <f>REPLACE(INDEX(GroupVertices[Group],MATCH(Edges[[#This Row],[Vertex 1]],GroupVertices[Vertex],0)),1,1,"")</f>
        <v>1</v>
      </c>
      <c r="T12" s="79" t="str">
        <f>REPLACE(INDEX(GroupVertices[Group],MATCH(Edges[[#This Row],[Vertex 2]],GroupVertices[Vertex],0)),1,1,"")</f>
        <v>1</v>
      </c>
    </row>
    <row r="13" spans="1:20" ht="45">
      <c r="A13" s="78" t="s">
        <v>181</v>
      </c>
      <c r="B13" s="78" t="s">
        <v>198</v>
      </c>
      <c r="C13" s="49" t="s">
        <v>299</v>
      </c>
      <c r="D13" s="50">
        <v>3</v>
      </c>
      <c r="E13" s="62"/>
      <c r="F13" s="51">
        <v>50</v>
      </c>
      <c r="G13" s="49"/>
      <c r="H13" s="53"/>
      <c r="I13" s="52"/>
      <c r="J13" s="52"/>
      <c r="K13" s="32" t="s">
        <v>65</v>
      </c>
      <c r="L13" s="77">
        <v>13</v>
      </c>
      <c r="M13" s="77"/>
      <c r="N13" s="59"/>
      <c r="O13" s="80"/>
      <c r="P13" s="80">
        <v>1</v>
      </c>
      <c r="Q13" s="80"/>
      <c r="R13">
        <v>1</v>
      </c>
      <c r="S13" s="79" t="str">
        <f>REPLACE(INDEX(GroupVertices[Group],MATCH(Edges[[#This Row],[Vertex 1]],GroupVertices[Vertex],0)),1,1,"")</f>
        <v>1</v>
      </c>
      <c r="T13" s="79" t="str">
        <f>REPLACE(INDEX(GroupVertices[Group],MATCH(Edges[[#This Row],[Vertex 2]],GroupVertices[Vertex],0)),1,1,"")</f>
        <v>2</v>
      </c>
    </row>
    <row r="14" spans="1:20" ht="45">
      <c r="A14" s="78" t="s">
        <v>181</v>
      </c>
      <c r="B14" s="78" t="s">
        <v>196</v>
      </c>
      <c r="C14" s="49" t="s">
        <v>299</v>
      </c>
      <c r="D14" s="50">
        <v>3</v>
      </c>
      <c r="E14" s="62"/>
      <c r="F14" s="51">
        <v>50</v>
      </c>
      <c r="G14" s="49"/>
      <c r="H14" s="53"/>
      <c r="I14" s="52"/>
      <c r="J14" s="52"/>
      <c r="K14" s="32" t="s">
        <v>65</v>
      </c>
      <c r="L14" s="77">
        <v>14</v>
      </c>
      <c r="M14" s="77"/>
      <c r="N14" s="59"/>
      <c r="O14" s="80"/>
      <c r="P14" s="80">
        <v>1</v>
      </c>
      <c r="Q14" s="80"/>
      <c r="R14">
        <v>1</v>
      </c>
      <c r="S14" s="79" t="str">
        <f>REPLACE(INDEX(GroupVertices[Group],MATCH(Edges[[#This Row],[Vertex 1]],GroupVertices[Vertex],0)),1,1,"")</f>
        <v>1</v>
      </c>
      <c r="T14" s="79" t="str">
        <f>REPLACE(INDEX(GroupVertices[Group],MATCH(Edges[[#This Row],[Vertex 2]],GroupVertices[Vertex],0)),1,1,"")</f>
        <v>1</v>
      </c>
    </row>
    <row r="15" spans="1:20" ht="45">
      <c r="A15" s="78" t="s">
        <v>181</v>
      </c>
      <c r="B15" s="78" t="s">
        <v>191</v>
      </c>
      <c r="C15" s="49" t="s">
        <v>299</v>
      </c>
      <c r="D15" s="50">
        <v>3</v>
      </c>
      <c r="E15" s="62"/>
      <c r="F15" s="51">
        <v>50</v>
      </c>
      <c r="G15" s="49"/>
      <c r="H15" s="53"/>
      <c r="I15" s="52"/>
      <c r="J15" s="52"/>
      <c r="K15" s="32" t="s">
        <v>65</v>
      </c>
      <c r="L15" s="77">
        <v>15</v>
      </c>
      <c r="M15" s="77"/>
      <c r="N15" s="59"/>
      <c r="O15" s="80"/>
      <c r="P15" s="80">
        <v>1</v>
      </c>
      <c r="Q15" s="80"/>
      <c r="R15">
        <v>1</v>
      </c>
      <c r="S15" s="79" t="str">
        <f>REPLACE(INDEX(GroupVertices[Group],MATCH(Edges[[#This Row],[Vertex 1]],GroupVertices[Vertex],0)),1,1,"")</f>
        <v>1</v>
      </c>
      <c r="T15" s="79" t="str">
        <f>REPLACE(INDEX(GroupVertices[Group],MATCH(Edges[[#This Row],[Vertex 2]],GroupVertices[Vertex],0)),1,1,"")</f>
        <v>3</v>
      </c>
    </row>
    <row r="16" spans="1:20" ht="45">
      <c r="A16" s="78" t="s">
        <v>181</v>
      </c>
      <c r="B16" s="78" t="s">
        <v>192</v>
      </c>
      <c r="C16" s="49" t="s">
        <v>299</v>
      </c>
      <c r="D16" s="50">
        <v>3</v>
      </c>
      <c r="E16" s="62"/>
      <c r="F16" s="51">
        <v>50</v>
      </c>
      <c r="G16" s="49"/>
      <c r="H16" s="53"/>
      <c r="I16" s="52"/>
      <c r="J16" s="52"/>
      <c r="K16" s="32" t="s">
        <v>65</v>
      </c>
      <c r="L16" s="77">
        <v>16</v>
      </c>
      <c r="M16" s="77"/>
      <c r="N16" s="59"/>
      <c r="O16" s="80"/>
      <c r="P16" s="80">
        <v>1</v>
      </c>
      <c r="Q16" s="80"/>
      <c r="R16">
        <v>1</v>
      </c>
      <c r="S16" s="79" t="str">
        <f>REPLACE(INDEX(GroupVertices[Group],MATCH(Edges[[#This Row],[Vertex 1]],GroupVertices[Vertex],0)),1,1,"")</f>
        <v>1</v>
      </c>
      <c r="T16" s="79" t="str">
        <f>REPLACE(INDEX(GroupVertices[Group],MATCH(Edges[[#This Row],[Vertex 2]],GroupVertices[Vertex],0)),1,1,"")</f>
        <v>2</v>
      </c>
    </row>
    <row r="17" spans="1:20" ht="45">
      <c r="A17" s="78" t="s">
        <v>181</v>
      </c>
      <c r="B17" s="78" t="s">
        <v>197</v>
      </c>
      <c r="C17" s="49" t="s">
        <v>299</v>
      </c>
      <c r="D17" s="50">
        <v>3</v>
      </c>
      <c r="E17" s="62"/>
      <c r="F17" s="51">
        <v>50</v>
      </c>
      <c r="G17" s="49"/>
      <c r="H17" s="53"/>
      <c r="I17" s="52"/>
      <c r="J17" s="52"/>
      <c r="K17" s="32" t="s">
        <v>65</v>
      </c>
      <c r="L17" s="77">
        <v>17</v>
      </c>
      <c r="M17" s="77"/>
      <c r="N17" s="59"/>
      <c r="O17" s="80"/>
      <c r="P17" s="80">
        <v>1</v>
      </c>
      <c r="Q17" s="80"/>
      <c r="R17">
        <v>1</v>
      </c>
      <c r="S17" s="79" t="str">
        <f>REPLACE(INDEX(GroupVertices[Group],MATCH(Edges[[#This Row],[Vertex 1]],GroupVertices[Vertex],0)),1,1,"")</f>
        <v>1</v>
      </c>
      <c r="T17" s="79" t="str">
        <f>REPLACE(INDEX(GroupVertices[Group],MATCH(Edges[[#This Row],[Vertex 2]],GroupVertices[Vertex],0)),1,1,"")</f>
        <v>1</v>
      </c>
    </row>
    <row r="18" spans="1:20" ht="45">
      <c r="A18" s="78" t="s">
        <v>182</v>
      </c>
      <c r="B18" s="78" t="s">
        <v>195</v>
      </c>
      <c r="C18" s="49" t="s">
        <v>299</v>
      </c>
      <c r="D18" s="50">
        <v>3</v>
      </c>
      <c r="E18" s="62"/>
      <c r="F18" s="51">
        <v>50</v>
      </c>
      <c r="G18" s="49"/>
      <c r="H18" s="53"/>
      <c r="I18" s="52"/>
      <c r="J18" s="52"/>
      <c r="K18" s="32" t="s">
        <v>65</v>
      </c>
      <c r="L18" s="77">
        <v>18</v>
      </c>
      <c r="M18" s="77"/>
      <c r="N18" s="59"/>
      <c r="O18" s="80"/>
      <c r="P18" s="80">
        <v>1</v>
      </c>
      <c r="Q18" s="80"/>
      <c r="R18">
        <v>1</v>
      </c>
      <c r="S18" s="79" t="str">
        <f>REPLACE(INDEX(GroupVertices[Group],MATCH(Edges[[#This Row],[Vertex 1]],GroupVertices[Vertex],0)),1,1,"")</f>
        <v>1</v>
      </c>
      <c r="T18" s="79" t="str">
        <f>REPLACE(INDEX(GroupVertices[Group],MATCH(Edges[[#This Row],[Vertex 2]],GroupVertices[Vertex],0)),1,1,"")</f>
        <v>1</v>
      </c>
    </row>
    <row r="19" spans="1:20" ht="45">
      <c r="A19" s="78" t="s">
        <v>182</v>
      </c>
      <c r="B19" s="78" t="s">
        <v>199</v>
      </c>
      <c r="C19" s="49" t="s">
        <v>299</v>
      </c>
      <c r="D19" s="50">
        <v>3</v>
      </c>
      <c r="E19" s="62"/>
      <c r="F19" s="51">
        <v>50</v>
      </c>
      <c r="G19" s="49"/>
      <c r="H19" s="53"/>
      <c r="I19" s="52"/>
      <c r="J19" s="52"/>
      <c r="K19" s="32" t="s">
        <v>65</v>
      </c>
      <c r="L19" s="77">
        <v>19</v>
      </c>
      <c r="M19" s="77"/>
      <c r="N19" s="59"/>
      <c r="O19" s="80"/>
      <c r="P19" s="80">
        <v>1</v>
      </c>
      <c r="Q19" s="80"/>
      <c r="R19">
        <v>1</v>
      </c>
      <c r="S19" s="79" t="str">
        <f>REPLACE(INDEX(GroupVertices[Group],MATCH(Edges[[#This Row],[Vertex 1]],GroupVertices[Vertex],0)),1,1,"")</f>
        <v>1</v>
      </c>
      <c r="T19" s="79" t="str">
        <f>REPLACE(INDEX(GroupVertices[Group],MATCH(Edges[[#This Row],[Vertex 2]],GroupVertices[Vertex],0)),1,1,"")</f>
        <v>1</v>
      </c>
    </row>
    <row r="20" spans="1:20" ht="45">
      <c r="A20" s="78" t="s">
        <v>182</v>
      </c>
      <c r="B20" s="78" t="s">
        <v>200</v>
      </c>
      <c r="C20" s="49" t="s">
        <v>299</v>
      </c>
      <c r="D20" s="50">
        <v>3</v>
      </c>
      <c r="E20" s="62"/>
      <c r="F20" s="51">
        <v>50</v>
      </c>
      <c r="G20" s="49"/>
      <c r="H20" s="53"/>
      <c r="I20" s="52"/>
      <c r="J20" s="52"/>
      <c r="K20" s="32" t="s">
        <v>65</v>
      </c>
      <c r="L20" s="77">
        <v>20</v>
      </c>
      <c r="M20" s="77"/>
      <c r="N20" s="59"/>
      <c r="O20" s="80"/>
      <c r="P20" s="80">
        <v>1</v>
      </c>
      <c r="Q20" s="80"/>
      <c r="R20">
        <v>1</v>
      </c>
      <c r="S20" s="79" t="str">
        <f>REPLACE(INDEX(GroupVertices[Group],MATCH(Edges[[#This Row],[Vertex 1]],GroupVertices[Vertex],0)),1,1,"")</f>
        <v>1</v>
      </c>
      <c r="T20" s="79" t="str">
        <f>REPLACE(INDEX(GroupVertices[Group],MATCH(Edges[[#This Row],[Vertex 2]],GroupVertices[Vertex],0)),1,1,"")</f>
        <v>1</v>
      </c>
    </row>
    <row r="21" spans="1:20" ht="45">
      <c r="A21" s="78" t="s">
        <v>182</v>
      </c>
      <c r="B21" s="78" t="s">
        <v>196</v>
      </c>
      <c r="C21" s="49" t="s">
        <v>299</v>
      </c>
      <c r="D21" s="50">
        <v>3</v>
      </c>
      <c r="E21" s="62"/>
      <c r="F21" s="51">
        <v>50</v>
      </c>
      <c r="G21" s="49"/>
      <c r="H21" s="53"/>
      <c r="I21" s="52"/>
      <c r="J21" s="52"/>
      <c r="K21" s="32" t="s">
        <v>65</v>
      </c>
      <c r="L21" s="77">
        <v>21</v>
      </c>
      <c r="M21" s="77"/>
      <c r="N21" s="59"/>
      <c r="O21" s="80"/>
      <c r="P21" s="80">
        <v>1</v>
      </c>
      <c r="Q21" s="80"/>
      <c r="R21">
        <v>1</v>
      </c>
      <c r="S21" s="79" t="str">
        <f>REPLACE(INDEX(GroupVertices[Group],MATCH(Edges[[#This Row],[Vertex 1]],GroupVertices[Vertex],0)),1,1,"")</f>
        <v>1</v>
      </c>
      <c r="T21" s="79" t="str">
        <f>REPLACE(INDEX(GroupVertices[Group],MATCH(Edges[[#This Row],[Vertex 2]],GroupVertices[Vertex],0)),1,1,"")</f>
        <v>1</v>
      </c>
    </row>
    <row r="22" spans="1:20" ht="45">
      <c r="A22" s="78" t="s">
        <v>182</v>
      </c>
      <c r="B22" s="78" t="s">
        <v>197</v>
      </c>
      <c r="C22" s="49" t="s">
        <v>299</v>
      </c>
      <c r="D22" s="50">
        <v>3</v>
      </c>
      <c r="E22" s="62"/>
      <c r="F22" s="51">
        <v>50</v>
      </c>
      <c r="G22" s="49"/>
      <c r="H22" s="53"/>
      <c r="I22" s="52"/>
      <c r="J22" s="52"/>
      <c r="K22" s="32" t="s">
        <v>65</v>
      </c>
      <c r="L22" s="77">
        <v>22</v>
      </c>
      <c r="M22" s="77"/>
      <c r="N22" s="59"/>
      <c r="O22" s="80"/>
      <c r="P22" s="80">
        <v>1</v>
      </c>
      <c r="Q22" s="80"/>
      <c r="R22">
        <v>1</v>
      </c>
      <c r="S22" s="79" t="str">
        <f>REPLACE(INDEX(GroupVertices[Group],MATCH(Edges[[#This Row],[Vertex 1]],GroupVertices[Vertex],0)),1,1,"")</f>
        <v>1</v>
      </c>
      <c r="T22" s="79" t="str">
        <f>REPLACE(INDEX(GroupVertices[Group],MATCH(Edges[[#This Row],[Vertex 2]],GroupVertices[Vertex],0)),1,1,"")</f>
        <v>1</v>
      </c>
    </row>
    <row r="23" spans="1:20" ht="45">
      <c r="A23" s="78" t="s">
        <v>183</v>
      </c>
      <c r="B23" s="78" t="s">
        <v>201</v>
      </c>
      <c r="C23" s="49" t="s">
        <v>299</v>
      </c>
      <c r="D23" s="50">
        <v>3</v>
      </c>
      <c r="E23" s="62"/>
      <c r="F23" s="51">
        <v>50</v>
      </c>
      <c r="G23" s="49"/>
      <c r="H23" s="53"/>
      <c r="I23" s="52"/>
      <c r="J23" s="52"/>
      <c r="K23" s="32" t="s">
        <v>65</v>
      </c>
      <c r="L23" s="77">
        <v>23</v>
      </c>
      <c r="M23" s="77"/>
      <c r="N23" s="59"/>
      <c r="O23" s="80"/>
      <c r="P23" s="80">
        <v>1</v>
      </c>
      <c r="Q23" s="80"/>
      <c r="R23">
        <v>1</v>
      </c>
      <c r="S23" s="79" t="str">
        <f>REPLACE(INDEX(GroupVertices[Group],MATCH(Edges[[#This Row],[Vertex 1]],GroupVertices[Vertex],0)),1,1,"")</f>
        <v>4</v>
      </c>
      <c r="T23" s="79" t="str">
        <f>REPLACE(INDEX(GroupVertices[Group],MATCH(Edges[[#This Row],[Vertex 2]],GroupVertices[Vertex],0)),1,1,"")</f>
        <v>4</v>
      </c>
    </row>
    <row r="24" spans="1:20" ht="45">
      <c r="A24" s="78" t="s">
        <v>183</v>
      </c>
      <c r="B24" s="78" t="s">
        <v>202</v>
      </c>
      <c r="C24" s="49" t="s">
        <v>299</v>
      </c>
      <c r="D24" s="50">
        <v>3</v>
      </c>
      <c r="E24" s="62"/>
      <c r="F24" s="51">
        <v>50</v>
      </c>
      <c r="G24" s="49"/>
      <c r="H24" s="53"/>
      <c r="I24" s="52"/>
      <c r="J24" s="52"/>
      <c r="K24" s="32" t="s">
        <v>65</v>
      </c>
      <c r="L24" s="77">
        <v>24</v>
      </c>
      <c r="M24" s="77"/>
      <c r="N24" s="59"/>
      <c r="O24" s="80"/>
      <c r="P24" s="80">
        <v>1</v>
      </c>
      <c r="Q24" s="80"/>
      <c r="R24">
        <v>1</v>
      </c>
      <c r="S24" s="79" t="str">
        <f>REPLACE(INDEX(GroupVertices[Group],MATCH(Edges[[#This Row],[Vertex 1]],GroupVertices[Vertex],0)),1,1,"")</f>
        <v>4</v>
      </c>
      <c r="T24" s="79" t="str">
        <f>REPLACE(INDEX(GroupVertices[Group],MATCH(Edges[[#This Row],[Vertex 2]],GroupVertices[Vertex],0)),1,1,"")</f>
        <v>4</v>
      </c>
    </row>
    <row r="25" spans="1:20" ht="45">
      <c r="A25" s="78" t="s">
        <v>183</v>
      </c>
      <c r="B25" s="78" t="s">
        <v>203</v>
      </c>
      <c r="C25" s="49" t="s">
        <v>299</v>
      </c>
      <c r="D25" s="50">
        <v>3</v>
      </c>
      <c r="E25" s="62"/>
      <c r="F25" s="51">
        <v>50</v>
      </c>
      <c r="G25" s="49"/>
      <c r="H25" s="53"/>
      <c r="I25" s="52"/>
      <c r="J25" s="52"/>
      <c r="K25" s="32" t="s">
        <v>65</v>
      </c>
      <c r="L25" s="77">
        <v>25</v>
      </c>
      <c r="M25" s="77"/>
      <c r="N25" s="59"/>
      <c r="O25" s="80"/>
      <c r="P25" s="80">
        <v>1</v>
      </c>
      <c r="Q25" s="80"/>
      <c r="R25">
        <v>1</v>
      </c>
      <c r="S25" s="79" t="str">
        <f>REPLACE(INDEX(GroupVertices[Group],MATCH(Edges[[#This Row],[Vertex 1]],GroupVertices[Vertex],0)),1,1,"")</f>
        <v>4</v>
      </c>
      <c r="T25" s="79" t="str">
        <f>REPLACE(INDEX(GroupVertices[Group],MATCH(Edges[[#This Row],[Vertex 2]],GroupVertices[Vertex],0)),1,1,"")</f>
        <v>4</v>
      </c>
    </row>
    <row r="26" spans="1:20" ht="45">
      <c r="A26" s="78" t="s">
        <v>183</v>
      </c>
      <c r="B26" s="78" t="s">
        <v>204</v>
      </c>
      <c r="C26" s="49" t="s">
        <v>299</v>
      </c>
      <c r="D26" s="50">
        <v>3</v>
      </c>
      <c r="E26" s="62"/>
      <c r="F26" s="51">
        <v>50</v>
      </c>
      <c r="G26" s="49"/>
      <c r="H26" s="53"/>
      <c r="I26" s="52"/>
      <c r="J26" s="52"/>
      <c r="K26" s="32" t="s">
        <v>65</v>
      </c>
      <c r="L26" s="77">
        <v>26</v>
      </c>
      <c r="M26" s="77"/>
      <c r="N26" s="59"/>
      <c r="O26" s="80"/>
      <c r="P26" s="80">
        <v>1</v>
      </c>
      <c r="Q26" s="80"/>
      <c r="R26">
        <v>1</v>
      </c>
      <c r="S26" s="79" t="str">
        <f>REPLACE(INDEX(GroupVertices[Group],MATCH(Edges[[#This Row],[Vertex 1]],GroupVertices[Vertex],0)),1,1,"")</f>
        <v>4</v>
      </c>
      <c r="T26" s="79" t="str">
        <f>REPLACE(INDEX(GroupVertices[Group],MATCH(Edges[[#This Row],[Vertex 2]],GroupVertices[Vertex],0)),1,1,"")</f>
        <v>4</v>
      </c>
    </row>
    <row r="27" spans="1:20" ht="45">
      <c r="A27" s="78" t="s">
        <v>183</v>
      </c>
      <c r="B27" s="78" t="s">
        <v>205</v>
      </c>
      <c r="C27" s="49" t="s">
        <v>299</v>
      </c>
      <c r="D27" s="50">
        <v>3</v>
      </c>
      <c r="E27" s="62"/>
      <c r="F27" s="51">
        <v>50</v>
      </c>
      <c r="G27" s="49"/>
      <c r="H27" s="53"/>
      <c r="I27" s="52"/>
      <c r="J27" s="52"/>
      <c r="K27" s="32" t="s">
        <v>65</v>
      </c>
      <c r="L27" s="77">
        <v>27</v>
      </c>
      <c r="M27" s="77"/>
      <c r="N27" s="59"/>
      <c r="O27" s="80"/>
      <c r="P27" s="80">
        <v>1</v>
      </c>
      <c r="Q27" s="80"/>
      <c r="R27">
        <v>1</v>
      </c>
      <c r="S27" s="79" t="str">
        <f>REPLACE(INDEX(GroupVertices[Group],MATCH(Edges[[#This Row],[Vertex 1]],GroupVertices[Vertex],0)),1,1,"")</f>
        <v>4</v>
      </c>
      <c r="T27" s="79" t="str">
        <f>REPLACE(INDEX(GroupVertices[Group],MATCH(Edges[[#This Row],[Vertex 2]],GroupVertices[Vertex],0)),1,1,"")</f>
        <v>4</v>
      </c>
    </row>
    <row r="28" spans="1:20" ht="45">
      <c r="A28" s="78" t="s">
        <v>184</v>
      </c>
      <c r="B28" s="78" t="s">
        <v>206</v>
      </c>
      <c r="C28" s="49" t="s">
        <v>299</v>
      </c>
      <c r="D28" s="50">
        <v>3</v>
      </c>
      <c r="E28" s="62"/>
      <c r="F28" s="51">
        <v>50</v>
      </c>
      <c r="G28" s="49"/>
      <c r="H28" s="53"/>
      <c r="I28" s="52"/>
      <c r="J28" s="52"/>
      <c r="K28" s="32" t="s">
        <v>65</v>
      </c>
      <c r="L28" s="77">
        <v>28</v>
      </c>
      <c r="M28" s="77"/>
      <c r="N28" s="59"/>
      <c r="O28" s="80"/>
      <c r="P28" s="80">
        <v>1</v>
      </c>
      <c r="Q28" s="80"/>
      <c r="R28">
        <v>1</v>
      </c>
      <c r="S28" s="79" t="str">
        <f>REPLACE(INDEX(GroupVertices[Group],MATCH(Edges[[#This Row],[Vertex 1]],GroupVertices[Vertex],0)),1,1,"")</f>
        <v>1</v>
      </c>
      <c r="T28" s="79" t="str">
        <f>REPLACE(INDEX(GroupVertices[Group],MATCH(Edges[[#This Row],[Vertex 2]],GroupVertices[Vertex],0)),1,1,"")</f>
        <v>1</v>
      </c>
    </row>
    <row r="29" spans="1:20" ht="45">
      <c r="A29" s="78" t="s">
        <v>184</v>
      </c>
      <c r="B29" s="78" t="s">
        <v>207</v>
      </c>
      <c r="C29" s="49" t="s">
        <v>299</v>
      </c>
      <c r="D29" s="50">
        <v>3</v>
      </c>
      <c r="E29" s="62"/>
      <c r="F29" s="51">
        <v>50</v>
      </c>
      <c r="G29" s="49"/>
      <c r="H29" s="53"/>
      <c r="I29" s="52"/>
      <c r="J29" s="52"/>
      <c r="K29" s="32" t="s">
        <v>65</v>
      </c>
      <c r="L29" s="77">
        <v>29</v>
      </c>
      <c r="M29" s="77"/>
      <c r="N29" s="59"/>
      <c r="O29" s="80"/>
      <c r="P29" s="80">
        <v>1</v>
      </c>
      <c r="Q29" s="80"/>
      <c r="R29">
        <v>1</v>
      </c>
      <c r="S29" s="79" t="str">
        <f>REPLACE(INDEX(GroupVertices[Group],MATCH(Edges[[#This Row],[Vertex 1]],GroupVertices[Vertex],0)),1,1,"")</f>
        <v>1</v>
      </c>
      <c r="T29" s="79" t="str">
        <f>REPLACE(INDEX(GroupVertices[Group],MATCH(Edges[[#This Row],[Vertex 2]],GroupVertices[Vertex],0)),1,1,"")</f>
        <v>1</v>
      </c>
    </row>
    <row r="30" spans="1:20" ht="45">
      <c r="A30" s="78" t="s">
        <v>184</v>
      </c>
      <c r="B30" s="78" t="s">
        <v>200</v>
      </c>
      <c r="C30" s="49" t="s">
        <v>299</v>
      </c>
      <c r="D30" s="50">
        <v>3</v>
      </c>
      <c r="E30" s="62"/>
      <c r="F30" s="51">
        <v>50</v>
      </c>
      <c r="G30" s="49"/>
      <c r="H30" s="53"/>
      <c r="I30" s="52"/>
      <c r="J30" s="52"/>
      <c r="K30" s="32" t="s">
        <v>65</v>
      </c>
      <c r="L30" s="77">
        <v>30</v>
      </c>
      <c r="M30" s="77"/>
      <c r="N30" s="59"/>
      <c r="O30" s="80"/>
      <c r="P30" s="80">
        <v>1</v>
      </c>
      <c r="Q30" s="80"/>
      <c r="R30">
        <v>1</v>
      </c>
      <c r="S30" s="79" t="str">
        <f>REPLACE(INDEX(GroupVertices[Group],MATCH(Edges[[#This Row],[Vertex 1]],GroupVertices[Vertex],0)),1,1,"")</f>
        <v>1</v>
      </c>
      <c r="T30" s="79" t="str">
        <f>REPLACE(INDEX(GroupVertices[Group],MATCH(Edges[[#This Row],[Vertex 2]],GroupVertices[Vertex],0)),1,1,"")</f>
        <v>1</v>
      </c>
    </row>
    <row r="31" spans="1:20" ht="45">
      <c r="A31" s="78" t="s">
        <v>184</v>
      </c>
      <c r="B31" s="78" t="s">
        <v>197</v>
      </c>
      <c r="C31" s="49" t="s">
        <v>299</v>
      </c>
      <c r="D31" s="50">
        <v>3</v>
      </c>
      <c r="E31" s="62"/>
      <c r="F31" s="51">
        <v>50</v>
      </c>
      <c r="G31" s="49"/>
      <c r="H31" s="53"/>
      <c r="I31" s="52"/>
      <c r="J31" s="52"/>
      <c r="K31" s="32" t="s">
        <v>65</v>
      </c>
      <c r="L31" s="77">
        <v>31</v>
      </c>
      <c r="M31" s="77"/>
      <c r="N31" s="59"/>
      <c r="O31" s="80"/>
      <c r="P31" s="80">
        <v>1</v>
      </c>
      <c r="Q31" s="80"/>
      <c r="R31">
        <v>1</v>
      </c>
      <c r="S31" s="79" t="str">
        <f>REPLACE(INDEX(GroupVertices[Group],MATCH(Edges[[#This Row],[Vertex 1]],GroupVertices[Vertex],0)),1,1,"")</f>
        <v>1</v>
      </c>
      <c r="T31" s="79" t="str">
        <f>REPLACE(INDEX(GroupVertices[Group],MATCH(Edges[[#This Row],[Vertex 2]],GroupVertices[Vertex],0)),1,1,"")</f>
        <v>1</v>
      </c>
    </row>
    <row r="32" spans="1:20" ht="45">
      <c r="A32" s="78" t="s">
        <v>184</v>
      </c>
      <c r="B32" s="78" t="s">
        <v>196</v>
      </c>
      <c r="C32" s="49" t="s">
        <v>299</v>
      </c>
      <c r="D32" s="50">
        <v>3</v>
      </c>
      <c r="E32" s="62"/>
      <c r="F32" s="51">
        <v>50</v>
      </c>
      <c r="G32" s="49"/>
      <c r="H32" s="53"/>
      <c r="I32" s="52"/>
      <c r="J32" s="52"/>
      <c r="K32" s="32" t="s">
        <v>65</v>
      </c>
      <c r="L32" s="77">
        <v>32</v>
      </c>
      <c r="M32" s="77"/>
      <c r="N32" s="59"/>
      <c r="O32" s="80"/>
      <c r="P32" s="80">
        <v>1</v>
      </c>
      <c r="Q32" s="80"/>
      <c r="R32">
        <v>1</v>
      </c>
      <c r="S32" s="79" t="str">
        <f>REPLACE(INDEX(GroupVertices[Group],MATCH(Edges[[#This Row],[Vertex 1]],GroupVertices[Vertex],0)),1,1,"")</f>
        <v>1</v>
      </c>
      <c r="T32" s="79" t="str">
        <f>REPLACE(INDEX(GroupVertices[Group],MATCH(Edges[[#This Row],[Vertex 2]],GroupVertices[Vertex],0)),1,1,"")</f>
        <v>1</v>
      </c>
    </row>
    <row r="33" spans="1:20" ht="45">
      <c r="A33" s="78" t="s">
        <v>185</v>
      </c>
      <c r="B33" s="78" t="s">
        <v>208</v>
      </c>
      <c r="C33" s="49" t="s">
        <v>299</v>
      </c>
      <c r="D33" s="50">
        <v>3</v>
      </c>
      <c r="E33" s="62"/>
      <c r="F33" s="51">
        <v>50</v>
      </c>
      <c r="G33" s="49"/>
      <c r="H33" s="53"/>
      <c r="I33" s="52"/>
      <c r="J33" s="52"/>
      <c r="K33" s="32" t="s">
        <v>65</v>
      </c>
      <c r="L33" s="77">
        <v>33</v>
      </c>
      <c r="M33" s="77"/>
      <c r="N33" s="59"/>
      <c r="O33" s="80"/>
      <c r="P33" s="80">
        <v>1</v>
      </c>
      <c r="Q33" s="80"/>
      <c r="R33">
        <v>1</v>
      </c>
      <c r="S33" s="79" t="str">
        <f>REPLACE(INDEX(GroupVertices[Group],MATCH(Edges[[#This Row],[Vertex 1]],GroupVertices[Vertex],0)),1,1,"")</f>
        <v>2</v>
      </c>
      <c r="T33" s="79" t="str">
        <f>REPLACE(INDEX(GroupVertices[Group],MATCH(Edges[[#This Row],[Vertex 2]],GroupVertices[Vertex],0)),1,1,"")</f>
        <v>2</v>
      </c>
    </row>
    <row r="34" spans="1:20" ht="45">
      <c r="A34" s="78" t="s">
        <v>185</v>
      </c>
      <c r="B34" s="78" t="s">
        <v>209</v>
      </c>
      <c r="C34" s="49" t="s">
        <v>299</v>
      </c>
      <c r="D34" s="50">
        <v>3</v>
      </c>
      <c r="E34" s="62"/>
      <c r="F34" s="51">
        <v>50</v>
      </c>
      <c r="G34" s="49"/>
      <c r="H34" s="53"/>
      <c r="I34" s="52"/>
      <c r="J34" s="52"/>
      <c r="K34" s="32" t="s">
        <v>65</v>
      </c>
      <c r="L34" s="77">
        <v>34</v>
      </c>
      <c r="M34" s="77"/>
      <c r="N34" s="59"/>
      <c r="O34" s="80"/>
      <c r="P34" s="80">
        <v>1</v>
      </c>
      <c r="Q34" s="80"/>
      <c r="R34">
        <v>1</v>
      </c>
      <c r="S34" s="79" t="str">
        <f>REPLACE(INDEX(GroupVertices[Group],MATCH(Edges[[#This Row],[Vertex 1]],GroupVertices[Vertex],0)),1,1,"")</f>
        <v>2</v>
      </c>
      <c r="T34" s="79" t="str">
        <f>REPLACE(INDEX(GroupVertices[Group],MATCH(Edges[[#This Row],[Vertex 2]],GroupVertices[Vertex],0)),1,1,"")</f>
        <v>2</v>
      </c>
    </row>
    <row r="35" spans="1:20" ht="45">
      <c r="A35" s="78" t="s">
        <v>185</v>
      </c>
      <c r="B35" s="78" t="s">
        <v>189</v>
      </c>
      <c r="C35" s="49" t="s">
        <v>299</v>
      </c>
      <c r="D35" s="50">
        <v>3</v>
      </c>
      <c r="E35" s="62"/>
      <c r="F35" s="51">
        <v>50</v>
      </c>
      <c r="G35" s="49"/>
      <c r="H35" s="53"/>
      <c r="I35" s="52"/>
      <c r="J35" s="52"/>
      <c r="K35" s="32" t="s">
        <v>65</v>
      </c>
      <c r="L35" s="77">
        <v>35</v>
      </c>
      <c r="M35" s="77"/>
      <c r="N35" s="59"/>
      <c r="O35" s="80"/>
      <c r="P35" s="80">
        <v>1</v>
      </c>
      <c r="Q35" s="80"/>
      <c r="R35">
        <v>1</v>
      </c>
      <c r="S35" s="79" t="str">
        <f>REPLACE(INDEX(GroupVertices[Group],MATCH(Edges[[#This Row],[Vertex 1]],GroupVertices[Vertex],0)),1,1,"")</f>
        <v>2</v>
      </c>
      <c r="T35" s="79" t="str">
        <f>REPLACE(INDEX(GroupVertices[Group],MATCH(Edges[[#This Row],[Vertex 2]],GroupVertices[Vertex],0)),1,1,"")</f>
        <v>3</v>
      </c>
    </row>
    <row r="36" spans="1:20" ht="45">
      <c r="A36" s="78" t="s">
        <v>185</v>
      </c>
      <c r="B36" s="78" t="s">
        <v>198</v>
      </c>
      <c r="C36" s="49" t="s">
        <v>299</v>
      </c>
      <c r="D36" s="50">
        <v>3</v>
      </c>
      <c r="E36" s="62"/>
      <c r="F36" s="51">
        <v>50</v>
      </c>
      <c r="G36" s="49"/>
      <c r="H36" s="53"/>
      <c r="I36" s="52"/>
      <c r="J36" s="52"/>
      <c r="K36" s="32" t="s">
        <v>65</v>
      </c>
      <c r="L36" s="77">
        <v>36</v>
      </c>
      <c r="M36" s="77"/>
      <c r="N36" s="59"/>
      <c r="O36" s="80"/>
      <c r="P36" s="80">
        <v>1</v>
      </c>
      <c r="Q36" s="80"/>
      <c r="R36">
        <v>1</v>
      </c>
      <c r="S36" s="79" t="str">
        <f>REPLACE(INDEX(GroupVertices[Group],MATCH(Edges[[#This Row],[Vertex 1]],GroupVertices[Vertex],0)),1,1,"")</f>
        <v>2</v>
      </c>
      <c r="T36" s="79" t="str">
        <f>REPLACE(INDEX(GroupVertices[Group],MATCH(Edges[[#This Row],[Vertex 2]],GroupVertices[Vertex],0)),1,1,"")</f>
        <v>2</v>
      </c>
    </row>
    <row r="37" spans="1:20" ht="45">
      <c r="A37" s="78" t="s">
        <v>185</v>
      </c>
      <c r="B37" s="78" t="s">
        <v>192</v>
      </c>
      <c r="C37" s="49" t="s">
        <v>299</v>
      </c>
      <c r="D37" s="50">
        <v>3</v>
      </c>
      <c r="E37" s="62"/>
      <c r="F37" s="51">
        <v>50</v>
      </c>
      <c r="G37" s="49"/>
      <c r="H37" s="53"/>
      <c r="I37" s="52"/>
      <c r="J37" s="52"/>
      <c r="K37" s="32" t="s">
        <v>65</v>
      </c>
      <c r="L37" s="77">
        <v>37</v>
      </c>
      <c r="M37" s="77"/>
      <c r="N37" s="59"/>
      <c r="O37" s="80"/>
      <c r="P37" s="80">
        <v>1</v>
      </c>
      <c r="Q37" s="80"/>
      <c r="R37">
        <v>1</v>
      </c>
      <c r="S37" s="79" t="str">
        <f>REPLACE(INDEX(GroupVertices[Group],MATCH(Edges[[#This Row],[Vertex 1]],GroupVertices[Vertex],0)),1,1,"")</f>
        <v>2</v>
      </c>
      <c r="T37" s="79" t="str">
        <f>REPLACE(INDEX(GroupVertices[Group],MATCH(Edges[[#This Row],[Vertex 2]],GroupVertices[Vertex],0)),1,1,"")</f>
        <v>2</v>
      </c>
    </row>
    <row r="38" spans="1:20" ht="45">
      <c r="A38" s="78" t="s">
        <v>186</v>
      </c>
      <c r="B38" s="78" t="s">
        <v>198</v>
      </c>
      <c r="C38" s="49" t="s">
        <v>299</v>
      </c>
      <c r="D38" s="50">
        <v>3</v>
      </c>
      <c r="E38" s="62"/>
      <c r="F38" s="51">
        <v>50</v>
      </c>
      <c r="G38" s="49"/>
      <c r="H38" s="53"/>
      <c r="I38" s="52"/>
      <c r="J38" s="52"/>
      <c r="K38" s="32" t="s">
        <v>65</v>
      </c>
      <c r="L38" s="77">
        <v>38</v>
      </c>
      <c r="M38" s="77"/>
      <c r="N38" s="59"/>
      <c r="O38" s="80"/>
      <c r="P38" s="80">
        <v>1</v>
      </c>
      <c r="Q38" s="80"/>
      <c r="R38">
        <v>1</v>
      </c>
      <c r="S38" s="79" t="str">
        <f>REPLACE(INDEX(GroupVertices[Group],MATCH(Edges[[#This Row],[Vertex 1]],GroupVertices[Vertex],0)),1,1,"")</f>
        <v>2</v>
      </c>
      <c r="T38" s="79" t="str">
        <f>REPLACE(INDEX(GroupVertices[Group],MATCH(Edges[[#This Row],[Vertex 2]],GroupVertices[Vertex],0)),1,1,"")</f>
        <v>2</v>
      </c>
    </row>
    <row r="39" spans="1:20" ht="45">
      <c r="A39" s="78" t="s">
        <v>186</v>
      </c>
      <c r="B39" s="78" t="s">
        <v>189</v>
      </c>
      <c r="C39" s="49" t="s">
        <v>299</v>
      </c>
      <c r="D39" s="50">
        <v>3</v>
      </c>
      <c r="E39" s="62"/>
      <c r="F39" s="51">
        <v>50</v>
      </c>
      <c r="G39" s="49"/>
      <c r="H39" s="53"/>
      <c r="I39" s="52"/>
      <c r="J39" s="52"/>
      <c r="K39" s="32" t="s">
        <v>65</v>
      </c>
      <c r="L39" s="77">
        <v>39</v>
      </c>
      <c r="M39" s="77"/>
      <c r="N39" s="59"/>
      <c r="O39" s="80"/>
      <c r="P39" s="80">
        <v>1</v>
      </c>
      <c r="Q39" s="80"/>
      <c r="R39">
        <v>1</v>
      </c>
      <c r="S39" s="79" t="str">
        <f>REPLACE(INDEX(GroupVertices[Group],MATCH(Edges[[#This Row],[Vertex 1]],GroupVertices[Vertex],0)),1,1,"")</f>
        <v>2</v>
      </c>
      <c r="T39" s="79" t="str">
        <f>REPLACE(INDEX(GroupVertices[Group],MATCH(Edges[[#This Row],[Vertex 2]],GroupVertices[Vertex],0)),1,1,"")</f>
        <v>3</v>
      </c>
    </row>
    <row r="40" spans="1:20" ht="45">
      <c r="A40" s="78" t="s">
        <v>186</v>
      </c>
      <c r="B40" s="78" t="s">
        <v>210</v>
      </c>
      <c r="C40" s="49" t="s">
        <v>299</v>
      </c>
      <c r="D40" s="50">
        <v>3</v>
      </c>
      <c r="E40" s="62"/>
      <c r="F40" s="51">
        <v>50</v>
      </c>
      <c r="G40" s="49"/>
      <c r="H40" s="53"/>
      <c r="I40" s="52"/>
      <c r="J40" s="52"/>
      <c r="K40" s="32" t="s">
        <v>65</v>
      </c>
      <c r="L40" s="77">
        <v>40</v>
      </c>
      <c r="M40" s="77"/>
      <c r="N40" s="59"/>
      <c r="O40" s="80"/>
      <c r="P40" s="80">
        <v>1</v>
      </c>
      <c r="Q40" s="80"/>
      <c r="R40">
        <v>1</v>
      </c>
      <c r="S40" s="79" t="str">
        <f>REPLACE(INDEX(GroupVertices[Group],MATCH(Edges[[#This Row],[Vertex 1]],GroupVertices[Vertex],0)),1,1,"")</f>
        <v>2</v>
      </c>
      <c r="T40" s="79" t="str">
        <f>REPLACE(INDEX(GroupVertices[Group],MATCH(Edges[[#This Row],[Vertex 2]],GroupVertices[Vertex],0)),1,1,"")</f>
        <v>2</v>
      </c>
    </row>
    <row r="41" spans="1:20" ht="45">
      <c r="A41" s="78" t="s">
        <v>186</v>
      </c>
      <c r="B41" s="78" t="s">
        <v>196</v>
      </c>
      <c r="C41" s="49" t="s">
        <v>299</v>
      </c>
      <c r="D41" s="50">
        <v>3</v>
      </c>
      <c r="E41" s="62"/>
      <c r="F41" s="51">
        <v>50</v>
      </c>
      <c r="G41" s="49"/>
      <c r="H41" s="53"/>
      <c r="I41" s="52"/>
      <c r="J41" s="52"/>
      <c r="K41" s="32" t="s">
        <v>65</v>
      </c>
      <c r="L41" s="77">
        <v>41</v>
      </c>
      <c r="M41" s="77"/>
      <c r="N41" s="59"/>
      <c r="O41" s="80"/>
      <c r="P41" s="80">
        <v>1</v>
      </c>
      <c r="Q41" s="80"/>
      <c r="R41">
        <v>1</v>
      </c>
      <c r="S41" s="79" t="str">
        <f>REPLACE(INDEX(GroupVertices[Group],MATCH(Edges[[#This Row],[Vertex 1]],GroupVertices[Vertex],0)),1,1,"")</f>
        <v>2</v>
      </c>
      <c r="T41" s="79" t="str">
        <f>REPLACE(INDEX(GroupVertices[Group],MATCH(Edges[[#This Row],[Vertex 2]],GroupVertices[Vertex],0)),1,1,"")</f>
        <v>1</v>
      </c>
    </row>
    <row r="42" spans="1:20" ht="45">
      <c r="A42" s="78" t="s">
        <v>186</v>
      </c>
      <c r="B42" s="78" t="s">
        <v>192</v>
      </c>
      <c r="C42" s="49" t="s">
        <v>299</v>
      </c>
      <c r="D42" s="50">
        <v>3</v>
      </c>
      <c r="E42" s="62"/>
      <c r="F42" s="51">
        <v>50</v>
      </c>
      <c r="G42" s="49"/>
      <c r="H42" s="53"/>
      <c r="I42" s="52"/>
      <c r="J42" s="52"/>
      <c r="K42" s="32" t="s">
        <v>65</v>
      </c>
      <c r="L42" s="77">
        <v>42</v>
      </c>
      <c r="M42" s="77"/>
      <c r="N42" s="59"/>
      <c r="O42" s="80"/>
      <c r="P42" s="80">
        <v>1</v>
      </c>
      <c r="Q42" s="80"/>
      <c r="R42">
        <v>1</v>
      </c>
      <c r="S42" s="79" t="str">
        <f>REPLACE(INDEX(GroupVertices[Group],MATCH(Edges[[#This Row],[Vertex 1]],GroupVertices[Vertex],0)),1,1,"")</f>
        <v>2</v>
      </c>
      <c r="T42" s="79" t="str">
        <f>REPLACE(INDEX(GroupVertices[Group],MATCH(Edges[[#This Row],[Vertex 2]],GroupVertices[Vertex],0)),1,1,"")</f>
        <v>2</v>
      </c>
    </row>
    <row r="43" spans="1:20" ht="45">
      <c r="A43" s="78" t="s">
        <v>187</v>
      </c>
      <c r="B43" s="78" t="s">
        <v>210</v>
      </c>
      <c r="C43" s="49" t="s">
        <v>299</v>
      </c>
      <c r="D43" s="50">
        <v>3</v>
      </c>
      <c r="E43" s="62"/>
      <c r="F43" s="51">
        <v>50</v>
      </c>
      <c r="G43" s="49"/>
      <c r="H43" s="53"/>
      <c r="I43" s="52"/>
      <c r="J43" s="52"/>
      <c r="K43" s="32" t="s">
        <v>65</v>
      </c>
      <c r="L43" s="77">
        <v>43</v>
      </c>
      <c r="M43" s="77"/>
      <c r="N43" s="59"/>
      <c r="O43" s="80"/>
      <c r="P43" s="80">
        <v>1</v>
      </c>
      <c r="Q43" s="80"/>
      <c r="R43">
        <v>1</v>
      </c>
      <c r="S43" s="79" t="str">
        <f>REPLACE(INDEX(GroupVertices[Group],MATCH(Edges[[#This Row],[Vertex 1]],GroupVertices[Vertex],0)),1,1,"")</f>
        <v>2</v>
      </c>
      <c r="T43" s="79" t="str">
        <f>REPLACE(INDEX(GroupVertices[Group],MATCH(Edges[[#This Row],[Vertex 2]],GroupVertices[Vertex],0)),1,1,"")</f>
        <v>2</v>
      </c>
    </row>
    <row r="44" spans="1:20" ht="45">
      <c r="A44" s="78" t="s">
        <v>187</v>
      </c>
      <c r="B44" s="78" t="s">
        <v>211</v>
      </c>
      <c r="C44" s="49" t="s">
        <v>299</v>
      </c>
      <c r="D44" s="50">
        <v>3</v>
      </c>
      <c r="E44" s="62"/>
      <c r="F44" s="51">
        <v>50</v>
      </c>
      <c r="G44" s="49"/>
      <c r="H44" s="53"/>
      <c r="I44" s="52"/>
      <c r="J44" s="52"/>
      <c r="K44" s="32" t="s">
        <v>65</v>
      </c>
      <c r="L44" s="77">
        <v>44</v>
      </c>
      <c r="M44" s="77"/>
      <c r="N44" s="59"/>
      <c r="O44" s="80"/>
      <c r="P44" s="80">
        <v>1</v>
      </c>
      <c r="Q44" s="80"/>
      <c r="R44">
        <v>1</v>
      </c>
      <c r="S44" s="79" t="str">
        <f>REPLACE(INDEX(GroupVertices[Group],MATCH(Edges[[#This Row],[Vertex 1]],GroupVertices[Vertex],0)),1,1,"")</f>
        <v>2</v>
      </c>
      <c r="T44" s="79" t="str">
        <f>REPLACE(INDEX(GroupVertices[Group],MATCH(Edges[[#This Row],[Vertex 2]],GroupVertices[Vertex],0)),1,1,"")</f>
        <v>2</v>
      </c>
    </row>
    <row r="45" spans="1:20" ht="45">
      <c r="A45" s="78" t="s">
        <v>187</v>
      </c>
      <c r="B45" s="78" t="s">
        <v>196</v>
      </c>
      <c r="C45" s="49" t="s">
        <v>299</v>
      </c>
      <c r="D45" s="50">
        <v>3</v>
      </c>
      <c r="E45" s="62"/>
      <c r="F45" s="51">
        <v>50</v>
      </c>
      <c r="G45" s="49"/>
      <c r="H45" s="53"/>
      <c r="I45" s="52"/>
      <c r="J45" s="52"/>
      <c r="K45" s="32" t="s">
        <v>65</v>
      </c>
      <c r="L45" s="77">
        <v>45</v>
      </c>
      <c r="M45" s="77"/>
      <c r="N45" s="59"/>
      <c r="O45" s="80"/>
      <c r="P45" s="80">
        <v>1</v>
      </c>
      <c r="Q45" s="80"/>
      <c r="R45">
        <v>1</v>
      </c>
      <c r="S45" s="79" t="str">
        <f>REPLACE(INDEX(GroupVertices[Group],MATCH(Edges[[#This Row],[Vertex 1]],GroupVertices[Vertex],0)),1,1,"")</f>
        <v>2</v>
      </c>
      <c r="T45" s="79" t="str">
        <f>REPLACE(INDEX(GroupVertices[Group],MATCH(Edges[[#This Row],[Vertex 2]],GroupVertices[Vertex],0)),1,1,"")</f>
        <v>1</v>
      </c>
    </row>
    <row r="46" spans="1:20" ht="45">
      <c r="A46" s="78" t="s">
        <v>187</v>
      </c>
      <c r="B46" s="78" t="s">
        <v>192</v>
      </c>
      <c r="C46" s="49" t="s">
        <v>299</v>
      </c>
      <c r="D46" s="50">
        <v>3</v>
      </c>
      <c r="E46" s="62"/>
      <c r="F46" s="51">
        <v>50</v>
      </c>
      <c r="G46" s="49"/>
      <c r="H46" s="53"/>
      <c r="I46" s="52"/>
      <c r="J46" s="52"/>
      <c r="K46" s="32" t="s">
        <v>65</v>
      </c>
      <c r="L46" s="77">
        <v>46</v>
      </c>
      <c r="M46" s="77"/>
      <c r="N46" s="59"/>
      <c r="O46" s="80"/>
      <c r="P46" s="80">
        <v>1</v>
      </c>
      <c r="Q46" s="80"/>
      <c r="R46">
        <v>1</v>
      </c>
      <c r="S46" s="79" t="str">
        <f>REPLACE(INDEX(GroupVertices[Group],MATCH(Edges[[#This Row],[Vertex 1]],GroupVertices[Vertex],0)),1,1,"")</f>
        <v>2</v>
      </c>
      <c r="T46" s="79" t="str">
        <f>REPLACE(INDEX(GroupVertices[Group],MATCH(Edges[[#This Row],[Vertex 2]],GroupVertices[Vertex],0)),1,1,"")</f>
        <v>2</v>
      </c>
    </row>
    <row r="47" spans="1:20" ht="45">
      <c r="A47" s="78" t="s">
        <v>187</v>
      </c>
      <c r="B47" s="78" t="s">
        <v>189</v>
      </c>
      <c r="C47" s="49" t="s">
        <v>299</v>
      </c>
      <c r="D47" s="50">
        <v>3</v>
      </c>
      <c r="E47" s="62"/>
      <c r="F47" s="51">
        <v>50</v>
      </c>
      <c r="G47" s="49"/>
      <c r="H47" s="53"/>
      <c r="I47" s="52"/>
      <c r="J47" s="52"/>
      <c r="K47" s="32" t="s">
        <v>65</v>
      </c>
      <c r="L47" s="77">
        <v>47</v>
      </c>
      <c r="M47" s="77"/>
      <c r="N47" s="59"/>
      <c r="O47" s="80"/>
      <c r="P47" s="80">
        <v>1</v>
      </c>
      <c r="Q47" s="80"/>
      <c r="R47">
        <v>1</v>
      </c>
      <c r="S47" s="79" t="str">
        <f>REPLACE(INDEX(GroupVertices[Group],MATCH(Edges[[#This Row],[Vertex 1]],GroupVertices[Vertex],0)),1,1,"")</f>
        <v>2</v>
      </c>
      <c r="T47" s="79" t="str">
        <f>REPLACE(INDEX(GroupVertices[Group],MATCH(Edges[[#This Row],[Vertex 2]],GroupVertices[Vertex],0)),1,1,"")</f>
        <v>3</v>
      </c>
    </row>
    <row r="48" spans="1:20" ht="45">
      <c r="A48" s="78" t="s">
        <v>188</v>
      </c>
      <c r="B48" s="78" t="s">
        <v>189</v>
      </c>
      <c r="C48" s="49" t="s">
        <v>299</v>
      </c>
      <c r="D48" s="50">
        <v>3</v>
      </c>
      <c r="E48" s="62"/>
      <c r="F48" s="51">
        <v>50</v>
      </c>
      <c r="G48" s="49"/>
      <c r="H48" s="53"/>
      <c r="I48" s="52"/>
      <c r="J48" s="52"/>
      <c r="K48" s="32" t="s">
        <v>65</v>
      </c>
      <c r="L48" s="77">
        <v>48</v>
      </c>
      <c r="M48" s="77"/>
      <c r="N48" s="59"/>
      <c r="O48" s="80"/>
      <c r="P48" s="80">
        <v>1</v>
      </c>
      <c r="Q48" s="80"/>
      <c r="R48">
        <v>1</v>
      </c>
      <c r="S48" s="79" t="str">
        <f>REPLACE(INDEX(GroupVertices[Group],MATCH(Edges[[#This Row],[Vertex 1]],GroupVertices[Vertex],0)),1,1,"")</f>
        <v>3</v>
      </c>
      <c r="T48" s="79" t="str">
        <f>REPLACE(INDEX(GroupVertices[Group],MATCH(Edges[[#This Row],[Vertex 2]],GroupVertices[Vertex],0)),1,1,"")</f>
        <v>3</v>
      </c>
    </row>
    <row r="49" spans="1:20" ht="45">
      <c r="A49" s="78" t="s">
        <v>188</v>
      </c>
      <c r="B49" s="78" t="s">
        <v>212</v>
      </c>
      <c r="C49" s="49" t="s">
        <v>299</v>
      </c>
      <c r="D49" s="50">
        <v>3</v>
      </c>
      <c r="E49" s="62"/>
      <c r="F49" s="51">
        <v>50</v>
      </c>
      <c r="G49" s="49"/>
      <c r="H49" s="53"/>
      <c r="I49" s="52"/>
      <c r="J49" s="52"/>
      <c r="K49" s="32" t="s">
        <v>65</v>
      </c>
      <c r="L49" s="77">
        <v>49</v>
      </c>
      <c r="M49" s="77"/>
      <c r="N49" s="59"/>
      <c r="O49" s="80"/>
      <c r="P49" s="80">
        <v>1</v>
      </c>
      <c r="Q49" s="80"/>
      <c r="R49">
        <v>1</v>
      </c>
      <c r="S49" s="79" t="str">
        <f>REPLACE(INDEX(GroupVertices[Group],MATCH(Edges[[#This Row],[Vertex 1]],GroupVertices[Vertex],0)),1,1,"")</f>
        <v>3</v>
      </c>
      <c r="T49" s="79" t="str">
        <f>REPLACE(INDEX(GroupVertices[Group],MATCH(Edges[[#This Row],[Vertex 2]],GroupVertices[Vertex],0)),1,1,"")</f>
        <v>3</v>
      </c>
    </row>
    <row r="50" spans="1:20" ht="45">
      <c r="A50" s="78" t="s">
        <v>188</v>
      </c>
      <c r="B50" s="78" t="s">
        <v>213</v>
      </c>
      <c r="C50" s="49" t="s">
        <v>299</v>
      </c>
      <c r="D50" s="50">
        <v>3</v>
      </c>
      <c r="E50" s="62"/>
      <c r="F50" s="51">
        <v>50</v>
      </c>
      <c r="G50" s="49"/>
      <c r="H50" s="53"/>
      <c r="I50" s="52"/>
      <c r="J50" s="52"/>
      <c r="K50" s="32" t="s">
        <v>65</v>
      </c>
      <c r="L50" s="77">
        <v>50</v>
      </c>
      <c r="M50" s="77"/>
      <c r="N50" s="59"/>
      <c r="O50" s="80"/>
      <c r="P50" s="80">
        <v>1</v>
      </c>
      <c r="Q50" s="80"/>
      <c r="R50">
        <v>1</v>
      </c>
      <c r="S50" s="79" t="str">
        <f>REPLACE(INDEX(GroupVertices[Group],MATCH(Edges[[#This Row],[Vertex 1]],GroupVertices[Vertex],0)),1,1,"")</f>
        <v>3</v>
      </c>
      <c r="T50" s="79" t="str">
        <f>REPLACE(INDEX(GroupVertices[Group],MATCH(Edges[[#This Row],[Vertex 2]],GroupVertices[Vertex],0)),1,1,"")</f>
        <v>3</v>
      </c>
    </row>
    <row r="51" spans="1:20" ht="45">
      <c r="A51" s="78" t="s">
        <v>188</v>
      </c>
      <c r="B51" s="78" t="s">
        <v>190</v>
      </c>
      <c r="C51" s="49" t="s">
        <v>299</v>
      </c>
      <c r="D51" s="50">
        <v>3</v>
      </c>
      <c r="E51" s="62"/>
      <c r="F51" s="51">
        <v>50</v>
      </c>
      <c r="G51" s="49"/>
      <c r="H51" s="53"/>
      <c r="I51" s="52"/>
      <c r="J51" s="52"/>
      <c r="K51" s="32" t="s">
        <v>65</v>
      </c>
      <c r="L51" s="77">
        <v>51</v>
      </c>
      <c r="M51" s="77"/>
      <c r="N51" s="59"/>
      <c r="O51" s="80"/>
      <c r="P51" s="80">
        <v>1</v>
      </c>
      <c r="Q51" s="80"/>
      <c r="R51">
        <v>1</v>
      </c>
      <c r="S51" s="79" t="str">
        <f>REPLACE(INDEX(GroupVertices[Group],MATCH(Edges[[#This Row],[Vertex 1]],GroupVertices[Vertex],0)),1,1,"")</f>
        <v>3</v>
      </c>
      <c r="T51" s="79" t="str">
        <f>REPLACE(INDEX(GroupVertices[Group],MATCH(Edges[[#This Row],[Vertex 2]],GroupVertices[Vertex],0)),1,1,"")</f>
        <v>3</v>
      </c>
    </row>
    <row r="52" spans="1:20" ht="45">
      <c r="A52" s="78" t="s">
        <v>188</v>
      </c>
      <c r="B52" s="78" t="s">
        <v>191</v>
      </c>
      <c r="C52" s="49" t="s">
        <v>299</v>
      </c>
      <c r="D52" s="50">
        <v>3</v>
      </c>
      <c r="E52" s="62"/>
      <c r="F52" s="51">
        <v>50</v>
      </c>
      <c r="G52" s="49"/>
      <c r="H52" s="53"/>
      <c r="I52" s="52"/>
      <c r="J52" s="52"/>
      <c r="K52" s="32" t="s">
        <v>65</v>
      </c>
      <c r="L52" s="77">
        <v>52</v>
      </c>
      <c r="M52" s="77"/>
      <c r="N52" s="59"/>
      <c r="O52" s="80"/>
      <c r="P52" s="80">
        <v>1</v>
      </c>
      <c r="Q52" s="80"/>
      <c r="R52">
        <v>1</v>
      </c>
      <c r="S52" s="79" t="str">
        <f>REPLACE(INDEX(GroupVertices[Group],MATCH(Edges[[#This Row],[Vertex 1]],GroupVertices[Vertex],0)),1,1,"")</f>
        <v>3</v>
      </c>
      <c r="T52" s="79" t="str">
        <f>REPLACE(INDEX(GroupVertices[Group],MATCH(Edges[[#This Row],[Vertex 2]],GroupVertices[Vertex],0)),1,1,"")</f>
        <v>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2"/>
    <dataValidation allowBlank="1" showErrorMessage="1" sqref="N2:N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2"/>
    <dataValidation allowBlank="1" showInputMessage="1" promptTitle="Edge Color" prompt="To select an optional edge color, right-click and select Select Color on the right-click menu." sqref="C3:C52"/>
    <dataValidation allowBlank="1" showInputMessage="1" promptTitle="Edge Width" prompt="Enter an optional edge width between 1 and 10." errorTitle="Invalid Edge Width" error="The optional edge width must be a whole number between 1 and 10." sqref="D3:D52"/>
    <dataValidation allowBlank="1" showInputMessage="1" promptTitle="Edge Opacity" prompt="Enter an optional edge opacity between 0 (transparent) and 100 (opaque)." errorTitle="Invalid Edge Opacity" error="The optional edge opacity must be a whole number between 0 and 10." sqref="F3:F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2">
      <formula1>ValidEdgeVisibilities</formula1>
    </dataValidation>
    <dataValidation allowBlank="1" showInputMessage="1" showErrorMessage="1" promptTitle="Vertex 1 Name" prompt="Enter the name of the edge's first vertex." sqref="A3:A52"/>
    <dataValidation allowBlank="1" showInputMessage="1" showErrorMessage="1" promptTitle="Vertex 2 Name" prompt="Enter the name of the edge's second vertex." sqref="B3:B52"/>
    <dataValidation allowBlank="1" showInputMessage="1" showErrorMessage="1" promptTitle="Edge Label" prompt="Enter an optional edge label." errorTitle="Invalid Edge Visibility" error="You have entered an unrecognized edge visibility.  Try selecting from the drop-down list instead." sqref="H3:H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2"/>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38"/>
  <sheetViews>
    <sheetView tabSelected="1" workbookViewId="0" topLeftCell="A1">
      <pane xSplit="1" ySplit="2" topLeftCell="B3" activePane="bottomRight" state="frozen"/>
      <selection pane="topRight" activeCell="B1" sqref="B1"/>
      <selection pane="bottomLeft" activeCell="A3" sqref="A3"/>
      <selection pane="bottomRight" activeCell="A2" sqref="A2:AG2"/>
    </sheetView>
  </sheetViews>
  <sheetFormatPr defaultColWidth="9.140625" defaultRowHeight="15"/>
  <cols>
    <col min="1" max="1" width="45.281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32.421875" style="2" customWidth="1"/>
    <col min="31" max="31" width="14.140625" style="0" bestFit="1" customWidth="1"/>
    <col min="32" max="32" width="15.140625" style="0" bestFit="1" customWidth="1"/>
    <col min="33" max="33" width="11.00390625" style="0" bestFit="1" customWidth="1"/>
    <col min="34" max="34" width="14.421875" style="0" customWidth="1"/>
    <col min="35" max="35" width="5.00390625" style="0" customWidth="1"/>
    <col min="36" max="36" width="16.00390625" style="0" customWidth="1"/>
    <col min="37" max="37" width="16.00390625" style="0" bestFit="1" customWidth="1"/>
    <col min="38" max="39" width="9.140625" style="0" customWidth="1"/>
  </cols>
  <sheetData>
    <row r="1" spans="2:30" ht="15">
      <c r="B1" s="22" t="s">
        <v>39</v>
      </c>
      <c r="C1" s="15"/>
      <c r="D1" s="15"/>
      <c r="E1" s="15"/>
      <c r="F1" s="15"/>
      <c r="G1" s="15"/>
      <c r="H1" s="24" t="s">
        <v>43</v>
      </c>
      <c r="I1" s="23"/>
      <c r="J1" s="23"/>
      <c r="K1" s="23"/>
      <c r="L1" s="26" t="s">
        <v>44</v>
      </c>
      <c r="M1" s="25"/>
      <c r="N1" s="25"/>
      <c r="O1" s="25"/>
      <c r="P1" s="25"/>
      <c r="Q1" s="25"/>
      <c r="R1" s="21" t="s">
        <v>42</v>
      </c>
      <c r="S1" s="18"/>
      <c r="T1" s="19"/>
      <c r="U1" s="20"/>
      <c r="V1" s="18"/>
      <c r="W1" s="18"/>
      <c r="X1" s="18"/>
      <c r="Y1" s="18"/>
      <c r="Z1" s="18"/>
      <c r="AA1" s="27" t="s">
        <v>40</v>
      </c>
      <c r="AB1" s="17"/>
      <c r="AC1" s="28" t="s">
        <v>41</v>
      </c>
      <c r="AD1"/>
    </row>
    <row r="2" spans="1:33"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176</v>
      </c>
      <c r="AE2" s="7" t="s">
        <v>215</v>
      </c>
      <c r="AF2" s="7" t="s">
        <v>268</v>
      </c>
      <c r="AG2" t="s">
        <v>303</v>
      </c>
    </row>
    <row r="3" spans="1:32" ht="15" customHeight="1">
      <c r="A3" s="46" t="s">
        <v>179</v>
      </c>
      <c r="B3" s="49"/>
      <c r="C3" s="49" t="s">
        <v>56</v>
      </c>
      <c r="D3" s="50">
        <v>786.067371537287</v>
      </c>
      <c r="E3" s="51"/>
      <c r="F3" s="49"/>
      <c r="G3" s="49"/>
      <c r="H3" s="100" t="s">
        <v>253</v>
      </c>
      <c r="I3" s="52"/>
      <c r="J3" s="52"/>
      <c r="K3" s="53"/>
      <c r="L3" s="55">
        <v>3086.6321797641217</v>
      </c>
      <c r="M3" s="56">
        <v>7766.20263671875</v>
      </c>
      <c r="N3" s="56">
        <v>7237.1748046875</v>
      </c>
      <c r="O3" s="54" t="s">
        <v>66</v>
      </c>
      <c r="P3" s="57"/>
      <c r="Q3" s="57"/>
      <c r="R3" s="47"/>
      <c r="S3" s="47">
        <v>0</v>
      </c>
      <c r="T3" s="47">
        <v>5</v>
      </c>
      <c r="U3" s="48">
        <v>99.115368</v>
      </c>
      <c r="V3" s="48">
        <v>0.269984</v>
      </c>
      <c r="W3" s="48">
        <v>0.203185</v>
      </c>
      <c r="X3" s="48">
        <v>0.032249</v>
      </c>
      <c r="Y3" s="48">
        <v>0</v>
      </c>
      <c r="Z3" s="48">
        <v>0</v>
      </c>
      <c r="AA3" s="58">
        <v>3</v>
      </c>
      <c r="AB3" s="58"/>
      <c r="AC3" s="59"/>
      <c r="AD3" s="79" t="s">
        <v>217</v>
      </c>
      <c r="AE3" s="79">
        <v>1</v>
      </c>
      <c r="AF3" s="79" t="str">
        <f>REPLACE(INDEX(GroupVertices[Group],MATCH(Vertices[[#This Row],[Vertex]],GroupVertices[Vertex],0)),1,1,"")</f>
        <v>3</v>
      </c>
    </row>
    <row r="4" spans="1:34" ht="15">
      <c r="A4" s="11" t="s">
        <v>180</v>
      </c>
      <c r="B4" s="12"/>
      <c r="C4" s="49" t="s">
        <v>56</v>
      </c>
      <c r="D4" s="81">
        <v>1000</v>
      </c>
      <c r="E4" s="75"/>
      <c r="F4" s="12"/>
      <c r="G4" s="12"/>
      <c r="H4" s="100" t="s">
        <v>223</v>
      </c>
      <c r="I4" s="63"/>
      <c r="J4" s="63"/>
      <c r="K4" s="13"/>
      <c r="L4" s="82">
        <v>4192.792170309394</v>
      </c>
      <c r="M4" s="83">
        <v>2040.7939453125</v>
      </c>
      <c r="N4" s="83">
        <v>4804.07275390625</v>
      </c>
      <c r="O4" s="74" t="s">
        <v>66</v>
      </c>
      <c r="P4" s="84"/>
      <c r="Q4" s="84"/>
      <c r="R4" s="85"/>
      <c r="S4" s="47">
        <v>0</v>
      </c>
      <c r="T4" s="47">
        <v>5</v>
      </c>
      <c r="U4" s="48">
        <v>134.64697</v>
      </c>
      <c r="V4" s="48">
        <v>0.27619</v>
      </c>
      <c r="W4" s="48">
        <v>0.158707</v>
      </c>
      <c r="X4" s="48">
        <v>0.034697</v>
      </c>
      <c r="Y4" s="48">
        <v>0</v>
      </c>
      <c r="Z4" s="48">
        <v>0</v>
      </c>
      <c r="AA4" s="76">
        <v>4</v>
      </c>
      <c r="AB4" s="76"/>
      <c r="AC4" s="86"/>
      <c r="AD4" s="79" t="s">
        <v>217</v>
      </c>
      <c r="AE4" s="79">
        <v>1</v>
      </c>
      <c r="AF4" s="79" t="str">
        <f>REPLACE(INDEX(GroupVertices[Group],MATCH(Vertices[[#This Row],[Vertex]],GroupVertices[Vertex],0)),1,1,"")</f>
        <v>1</v>
      </c>
      <c r="AH4" s="2"/>
    </row>
    <row r="5" spans="1:34" ht="15">
      <c r="A5" s="11" t="s">
        <v>181</v>
      </c>
      <c r="B5" s="12"/>
      <c r="C5" s="49" t="s">
        <v>56</v>
      </c>
      <c r="D5" s="81">
        <v>1000</v>
      </c>
      <c r="E5" s="75"/>
      <c r="F5" s="12"/>
      <c r="G5" s="12"/>
      <c r="H5" s="100" t="s">
        <v>229</v>
      </c>
      <c r="I5" s="63"/>
      <c r="J5" s="63"/>
      <c r="K5" s="13"/>
      <c r="L5" s="82">
        <v>5731.50790095759</v>
      </c>
      <c r="M5" s="83">
        <v>4243.2998046875</v>
      </c>
      <c r="N5" s="83">
        <v>4992.87646484375</v>
      </c>
      <c r="O5" s="74" t="s">
        <v>66</v>
      </c>
      <c r="P5" s="84"/>
      <c r="Q5" s="84"/>
      <c r="R5" s="85"/>
      <c r="S5" s="47">
        <v>0</v>
      </c>
      <c r="T5" s="47">
        <v>5</v>
      </c>
      <c r="U5" s="48">
        <v>184.072944</v>
      </c>
      <c r="V5" s="48">
        <v>0.34824</v>
      </c>
      <c r="W5" s="48">
        <v>0.273529</v>
      </c>
      <c r="X5" s="48">
        <v>0.028871</v>
      </c>
      <c r="Y5" s="48">
        <v>0</v>
      </c>
      <c r="Z5" s="48">
        <v>0</v>
      </c>
      <c r="AA5" s="76">
        <v>5</v>
      </c>
      <c r="AB5" s="76"/>
      <c r="AC5" s="86"/>
      <c r="AD5" s="79" t="s">
        <v>217</v>
      </c>
      <c r="AE5" s="79">
        <v>1</v>
      </c>
      <c r="AF5" s="79" t="str">
        <f>REPLACE(INDEX(GroupVertices[Group],MATCH(Vertices[[#This Row],[Vertex]],GroupVertices[Vertex],0)),1,1,"")</f>
        <v>1</v>
      </c>
      <c r="AH5" s="2"/>
    </row>
    <row r="6" spans="1:34" ht="15">
      <c r="A6" s="11" t="s">
        <v>182</v>
      </c>
      <c r="B6" s="12"/>
      <c r="C6" s="49" t="s">
        <v>56</v>
      </c>
      <c r="D6" s="81">
        <v>843.7379467485379</v>
      </c>
      <c r="E6" s="75"/>
      <c r="F6" s="12"/>
      <c r="G6" s="12"/>
      <c r="H6" s="100" t="s">
        <v>231</v>
      </c>
      <c r="I6" s="63"/>
      <c r="J6" s="63"/>
      <c r="K6" s="13"/>
      <c r="L6" s="82">
        <v>3346.009305218441</v>
      </c>
      <c r="M6" s="83">
        <v>3986.651123046875</v>
      </c>
      <c r="N6" s="83">
        <v>1923.2615966796875</v>
      </c>
      <c r="O6" s="74" t="s">
        <v>66</v>
      </c>
      <c r="P6" s="84"/>
      <c r="Q6" s="84"/>
      <c r="R6" s="85"/>
      <c r="S6" s="47">
        <v>0</v>
      </c>
      <c r="T6" s="47">
        <v>5</v>
      </c>
      <c r="U6" s="48">
        <v>107.44697</v>
      </c>
      <c r="V6" s="48">
        <v>0.27619</v>
      </c>
      <c r="W6" s="48">
        <v>0.169215</v>
      </c>
      <c r="X6" s="48">
        <v>0.032915</v>
      </c>
      <c r="Y6" s="48">
        <v>0</v>
      </c>
      <c r="Z6" s="48">
        <v>0</v>
      </c>
      <c r="AA6" s="76">
        <v>6</v>
      </c>
      <c r="AB6" s="76"/>
      <c r="AC6" s="86"/>
      <c r="AD6" s="79" t="s">
        <v>217</v>
      </c>
      <c r="AE6" s="79">
        <v>1</v>
      </c>
      <c r="AF6" s="79" t="str">
        <f>REPLACE(INDEX(GroupVertices[Group],MATCH(Vertices[[#This Row],[Vertex]],GroupVertices[Vertex],0)),1,1,"")</f>
        <v>1</v>
      </c>
      <c r="AH6" s="2"/>
    </row>
    <row r="7" spans="1:34" ht="15">
      <c r="A7" s="11" t="s">
        <v>183</v>
      </c>
      <c r="B7" s="12"/>
      <c r="C7" s="49" t="s">
        <v>56</v>
      </c>
      <c r="D7" s="81">
        <v>238.43814241547022</v>
      </c>
      <c r="E7" s="75"/>
      <c r="F7" s="12"/>
      <c r="G7" s="12"/>
      <c r="H7" s="100" t="s">
        <v>234</v>
      </c>
      <c r="I7" s="63"/>
      <c r="J7" s="63"/>
      <c r="K7" s="13"/>
      <c r="L7" s="82">
        <v>623.6344596257003</v>
      </c>
      <c r="M7" s="83">
        <v>1591.7437744140625</v>
      </c>
      <c r="N7" s="83">
        <v>8393.51171875</v>
      </c>
      <c r="O7" s="74" t="s">
        <v>66</v>
      </c>
      <c r="P7" s="84"/>
      <c r="Q7" s="84"/>
      <c r="R7" s="85"/>
      <c r="S7" s="47">
        <v>0</v>
      </c>
      <c r="T7" s="47">
        <v>5</v>
      </c>
      <c r="U7" s="48">
        <v>20</v>
      </c>
      <c r="V7" s="48">
        <v>0.142857</v>
      </c>
      <c r="W7" s="48">
        <v>0</v>
      </c>
      <c r="X7" s="48">
        <v>0.042272</v>
      </c>
      <c r="Y7" s="48">
        <v>0</v>
      </c>
      <c r="Z7" s="48">
        <v>0</v>
      </c>
      <c r="AA7" s="76">
        <v>7</v>
      </c>
      <c r="AB7" s="76"/>
      <c r="AC7" s="86"/>
      <c r="AD7" s="79" t="s">
        <v>217</v>
      </c>
      <c r="AE7" s="79">
        <v>1</v>
      </c>
      <c r="AF7" s="79" t="str">
        <f>REPLACE(INDEX(GroupVertices[Group],MATCH(Vertices[[#This Row],[Vertex]],GroupVertices[Vertex],0)),1,1,"")</f>
        <v>4</v>
      </c>
      <c r="AH7" s="2"/>
    </row>
    <row r="8" spans="1:34" ht="15">
      <c r="A8" s="11" t="s">
        <v>184</v>
      </c>
      <c r="B8" s="12"/>
      <c r="C8" s="49" t="s">
        <v>56</v>
      </c>
      <c r="D8" s="81">
        <v>1000</v>
      </c>
      <c r="E8" s="75"/>
      <c r="F8" s="12"/>
      <c r="G8" s="12"/>
      <c r="H8" s="100" t="s">
        <v>240</v>
      </c>
      <c r="I8" s="63"/>
      <c r="J8" s="63"/>
      <c r="K8" s="13"/>
      <c r="L8" s="82">
        <v>4192.792170309394</v>
      </c>
      <c r="M8" s="83">
        <v>2448.77685546875</v>
      </c>
      <c r="N8" s="83">
        <v>2627.3232421875</v>
      </c>
      <c r="O8" s="74" t="s">
        <v>66</v>
      </c>
      <c r="P8" s="84"/>
      <c r="Q8" s="84"/>
      <c r="R8" s="85"/>
      <c r="S8" s="47">
        <v>0</v>
      </c>
      <c r="T8" s="47">
        <v>5</v>
      </c>
      <c r="U8" s="48">
        <v>134.64697</v>
      </c>
      <c r="V8" s="48">
        <v>0.27619</v>
      </c>
      <c r="W8" s="48">
        <v>0.158707</v>
      </c>
      <c r="X8" s="48">
        <v>0.034697</v>
      </c>
      <c r="Y8" s="48">
        <v>0</v>
      </c>
      <c r="Z8" s="48">
        <v>0</v>
      </c>
      <c r="AA8" s="76">
        <v>8</v>
      </c>
      <c r="AB8" s="76"/>
      <c r="AC8" s="86"/>
      <c r="AD8" s="79" t="s">
        <v>217</v>
      </c>
      <c r="AE8" s="79">
        <v>1</v>
      </c>
      <c r="AF8" s="79" t="str">
        <f>REPLACE(INDEX(GroupVertices[Group],MATCH(Vertices[[#This Row],[Vertex]],GroupVertices[Vertex],0)),1,1,"")</f>
        <v>1</v>
      </c>
      <c r="AH8" s="2"/>
    </row>
    <row r="9" spans="1:34" ht="15">
      <c r="A9" s="11" t="s">
        <v>185</v>
      </c>
      <c r="B9" s="12"/>
      <c r="C9" s="49" t="s">
        <v>56</v>
      </c>
      <c r="D9" s="81">
        <v>921.4490904883228</v>
      </c>
      <c r="E9" s="75"/>
      <c r="F9" s="12"/>
      <c r="G9" s="12"/>
      <c r="H9" s="100" t="s">
        <v>243</v>
      </c>
      <c r="I9" s="63"/>
      <c r="J9" s="63"/>
      <c r="K9" s="13"/>
      <c r="L9" s="82">
        <v>3695.5201780536513</v>
      </c>
      <c r="M9" s="83">
        <v>8693.3798828125</v>
      </c>
      <c r="N9" s="83">
        <v>4230.08984375</v>
      </c>
      <c r="O9" s="74" t="s">
        <v>66</v>
      </c>
      <c r="P9" s="84"/>
      <c r="Q9" s="84"/>
      <c r="R9" s="85"/>
      <c r="S9" s="47">
        <v>0</v>
      </c>
      <c r="T9" s="47">
        <v>5</v>
      </c>
      <c r="U9" s="48">
        <v>118.67381</v>
      </c>
      <c r="V9" s="48">
        <v>0.269984</v>
      </c>
      <c r="W9" s="48">
        <v>0.204519</v>
      </c>
      <c r="X9" s="48">
        <v>0.034023</v>
      </c>
      <c r="Y9" s="48">
        <v>0</v>
      </c>
      <c r="Z9" s="48">
        <v>0</v>
      </c>
      <c r="AA9" s="76">
        <v>9</v>
      </c>
      <c r="AB9" s="76"/>
      <c r="AC9" s="86"/>
      <c r="AD9" s="79" t="s">
        <v>217</v>
      </c>
      <c r="AE9" s="79">
        <v>1</v>
      </c>
      <c r="AF9" s="79" t="str">
        <f>REPLACE(INDEX(GroupVertices[Group],MATCH(Vertices[[#This Row],[Vertex]],GroupVertices[Vertex],0)),1,1,"")</f>
        <v>2</v>
      </c>
      <c r="AH9" s="2"/>
    </row>
    <row r="10" spans="1:34" ht="15">
      <c r="A10" s="11" t="s">
        <v>186</v>
      </c>
      <c r="B10" s="12"/>
      <c r="C10" s="49" t="s">
        <v>56</v>
      </c>
      <c r="D10" s="81">
        <v>925.509342767226</v>
      </c>
      <c r="E10" s="75"/>
      <c r="F10" s="12"/>
      <c r="G10" s="12"/>
      <c r="H10" s="100" t="s">
        <v>246</v>
      </c>
      <c r="I10" s="63"/>
      <c r="J10" s="63"/>
      <c r="K10" s="13"/>
      <c r="L10" s="82">
        <v>3713.7814241200135</v>
      </c>
      <c r="M10" s="83">
        <v>7709.48095703125</v>
      </c>
      <c r="N10" s="83">
        <v>2234.65771484375</v>
      </c>
      <c r="O10" s="74" t="s">
        <v>66</v>
      </c>
      <c r="P10" s="84"/>
      <c r="Q10" s="84"/>
      <c r="R10" s="85"/>
      <c r="S10" s="47">
        <v>0</v>
      </c>
      <c r="T10" s="47">
        <v>5</v>
      </c>
      <c r="U10" s="48">
        <v>119.26039</v>
      </c>
      <c r="V10" s="48">
        <v>0.34824</v>
      </c>
      <c r="W10" s="48">
        <v>0.289217</v>
      </c>
      <c r="X10" s="48">
        <v>0.029276</v>
      </c>
      <c r="Y10" s="48">
        <v>0</v>
      </c>
      <c r="Z10" s="48">
        <v>0</v>
      </c>
      <c r="AA10" s="76">
        <v>10</v>
      </c>
      <c r="AB10" s="76"/>
      <c r="AC10" s="86"/>
      <c r="AD10" s="79" t="s">
        <v>217</v>
      </c>
      <c r="AE10" s="79">
        <v>1</v>
      </c>
      <c r="AF10" s="79" t="str">
        <f>REPLACE(INDEX(GroupVertices[Group],MATCH(Vertices[[#This Row],[Vertex]],GroupVertices[Vertex],0)),1,1,"")</f>
        <v>2</v>
      </c>
      <c r="AH10" s="2"/>
    </row>
    <row r="11" spans="1:34" ht="15">
      <c r="A11" s="11" t="s">
        <v>187</v>
      </c>
      <c r="B11" s="12"/>
      <c r="C11" s="49" t="s">
        <v>56</v>
      </c>
      <c r="D11" s="81">
        <v>1000</v>
      </c>
      <c r="E11" s="75"/>
      <c r="F11" s="12"/>
      <c r="G11" s="12"/>
      <c r="H11" s="100" t="s">
        <v>248</v>
      </c>
      <c r="I11" s="63"/>
      <c r="J11" s="63"/>
      <c r="K11" s="13"/>
      <c r="L11" s="82">
        <v>4612.063008001068</v>
      </c>
      <c r="M11" s="83">
        <v>5866.2265625</v>
      </c>
      <c r="N11" s="83">
        <v>5129.40869140625</v>
      </c>
      <c r="O11" s="74" t="s">
        <v>66</v>
      </c>
      <c r="P11" s="84"/>
      <c r="Q11" s="84"/>
      <c r="R11" s="85"/>
      <c r="S11" s="47">
        <v>0</v>
      </c>
      <c r="T11" s="47">
        <v>5</v>
      </c>
      <c r="U11" s="48">
        <v>148.11461</v>
      </c>
      <c r="V11" s="48">
        <v>0.34824</v>
      </c>
      <c r="W11" s="48">
        <v>0.259531</v>
      </c>
      <c r="X11" s="48">
        <v>0.031641</v>
      </c>
      <c r="Y11" s="48">
        <v>0</v>
      </c>
      <c r="Z11" s="48">
        <v>0</v>
      </c>
      <c r="AA11" s="76">
        <v>11</v>
      </c>
      <c r="AB11" s="76"/>
      <c r="AC11" s="86"/>
      <c r="AD11" s="79" t="s">
        <v>217</v>
      </c>
      <c r="AE11" s="79">
        <v>1</v>
      </c>
      <c r="AF11" s="79" t="str">
        <f>REPLACE(INDEX(GroupVertices[Group],MATCH(Vertices[[#This Row],[Vertex]],GroupVertices[Vertex],0)),1,1,"")</f>
        <v>2</v>
      </c>
      <c r="AH11" s="2"/>
    </row>
    <row r="12" spans="1:34" ht="15">
      <c r="A12" s="11" t="s">
        <v>188</v>
      </c>
      <c r="B12" s="12"/>
      <c r="C12" s="49" t="s">
        <v>56</v>
      </c>
      <c r="D12" s="81">
        <v>1000</v>
      </c>
      <c r="E12" s="75"/>
      <c r="F12" s="12"/>
      <c r="G12" s="12"/>
      <c r="H12" s="100" t="s">
        <v>250</v>
      </c>
      <c r="I12" s="63"/>
      <c r="J12" s="63"/>
      <c r="K12" s="13"/>
      <c r="L12" s="82">
        <v>4048.8079515209515</v>
      </c>
      <c r="M12" s="83">
        <v>6109.58056640625</v>
      </c>
      <c r="N12" s="83">
        <v>7914.61376953125</v>
      </c>
      <c r="O12" s="74" t="s">
        <v>66</v>
      </c>
      <c r="P12" s="84"/>
      <c r="Q12" s="84"/>
      <c r="R12" s="85"/>
      <c r="S12" s="47">
        <v>0</v>
      </c>
      <c r="T12" s="47">
        <v>5</v>
      </c>
      <c r="U12" s="48">
        <v>130.02197</v>
      </c>
      <c r="V12" s="48">
        <v>0.269984</v>
      </c>
      <c r="W12" s="48">
        <v>0.1352</v>
      </c>
      <c r="X12" s="48">
        <v>0.035113</v>
      </c>
      <c r="Y12" s="48">
        <v>0</v>
      </c>
      <c r="Z12" s="48">
        <v>0</v>
      </c>
      <c r="AA12" s="76">
        <v>12</v>
      </c>
      <c r="AB12" s="76"/>
      <c r="AC12" s="86"/>
      <c r="AD12" s="79" t="s">
        <v>217</v>
      </c>
      <c r="AE12" s="79">
        <v>1</v>
      </c>
      <c r="AF12" s="79" t="str">
        <f>REPLACE(INDEX(GroupVertices[Group],MATCH(Vertices[[#This Row],[Vertex]],GroupVertices[Vertex],0)),1,1,"")</f>
        <v>3</v>
      </c>
      <c r="AH12" s="2"/>
    </row>
    <row r="13" spans="1:34" ht="15">
      <c r="A13" s="11" t="s">
        <v>214</v>
      </c>
      <c r="B13" s="12"/>
      <c r="C13" s="12" t="s">
        <v>63</v>
      </c>
      <c r="D13" s="81">
        <v>100</v>
      </c>
      <c r="E13" s="75"/>
      <c r="F13" s="12"/>
      <c r="G13" s="12"/>
      <c r="H13" s="100" t="s">
        <v>218</v>
      </c>
      <c r="I13" s="63"/>
      <c r="J13" s="63"/>
      <c r="K13" s="13"/>
      <c r="L13" s="82">
        <v>1</v>
      </c>
      <c r="M13" s="83">
        <v>8925.4638671875</v>
      </c>
      <c r="N13" s="83">
        <v>7710.71826171875</v>
      </c>
      <c r="O13" s="74" t="s">
        <v>66</v>
      </c>
      <c r="P13" s="84"/>
      <c r="Q13" s="84"/>
      <c r="R13" s="85"/>
      <c r="S13" s="47">
        <v>1</v>
      </c>
      <c r="T13" s="47">
        <v>0</v>
      </c>
      <c r="U13" s="48">
        <v>0</v>
      </c>
      <c r="V13" s="48">
        <v>0.205372</v>
      </c>
      <c r="W13" s="48">
        <v>0.0594</v>
      </c>
      <c r="X13" s="48">
        <v>0.024578</v>
      </c>
      <c r="Y13" s="48">
        <v>0</v>
      </c>
      <c r="Z13" s="48">
        <v>0</v>
      </c>
      <c r="AA13" s="76">
        <v>13</v>
      </c>
      <c r="AB13" s="76"/>
      <c r="AC13" s="86"/>
      <c r="AD13" s="79" t="s">
        <v>216</v>
      </c>
      <c r="AE13" s="79">
        <v>1</v>
      </c>
      <c r="AF13" s="79" t="str">
        <f>REPLACE(INDEX(GroupVertices[Group],MATCH(Vertices[[#This Row],[Vertex]],GroupVertices[Vertex],0)),1,1,"")</f>
        <v>3</v>
      </c>
      <c r="AH13" s="2"/>
    </row>
    <row r="14" spans="1:34" ht="15">
      <c r="A14" s="11" t="s">
        <v>189</v>
      </c>
      <c r="B14" s="12"/>
      <c r="C14" s="12" t="s">
        <v>63</v>
      </c>
      <c r="D14" s="81">
        <v>1000</v>
      </c>
      <c r="E14" s="75"/>
      <c r="F14" s="12"/>
      <c r="G14" s="12"/>
      <c r="H14" s="100" t="s">
        <v>219</v>
      </c>
      <c r="I14" s="63"/>
      <c r="J14" s="63"/>
      <c r="K14" s="13"/>
      <c r="L14" s="82">
        <v>5128.848488748371</v>
      </c>
      <c r="M14" s="83">
        <v>6690.5400390625</v>
      </c>
      <c r="N14" s="83">
        <v>6430.08447265625</v>
      </c>
      <c r="O14" s="74" t="s">
        <v>66</v>
      </c>
      <c r="P14" s="84"/>
      <c r="Q14" s="84"/>
      <c r="R14" s="85"/>
      <c r="S14" s="47">
        <v>5</v>
      </c>
      <c r="T14" s="47">
        <v>0</v>
      </c>
      <c r="U14" s="48">
        <v>164.714574</v>
      </c>
      <c r="V14" s="48">
        <v>0.329159</v>
      </c>
      <c r="W14" s="48">
        <v>0.319136</v>
      </c>
      <c r="X14" s="48">
        <v>0.02848</v>
      </c>
      <c r="Y14" s="48">
        <v>0</v>
      </c>
      <c r="Z14" s="48">
        <v>0</v>
      </c>
      <c r="AA14" s="76">
        <v>14</v>
      </c>
      <c r="AB14" s="76"/>
      <c r="AC14" s="86"/>
      <c r="AD14" s="79" t="s">
        <v>216</v>
      </c>
      <c r="AE14" s="79">
        <v>5</v>
      </c>
      <c r="AF14" s="79" t="str">
        <f>REPLACE(INDEX(GroupVertices[Group],MATCH(Vertices[[#This Row],[Vertex]],GroupVertices[Vertex],0)),1,1,"")</f>
        <v>3</v>
      </c>
      <c r="AH14" s="2"/>
    </row>
    <row r="15" spans="1:34" ht="15">
      <c r="A15" s="11" t="s">
        <v>190</v>
      </c>
      <c r="B15" s="12"/>
      <c r="C15" s="12" t="s">
        <v>63</v>
      </c>
      <c r="D15" s="81">
        <v>133.6206927183152</v>
      </c>
      <c r="E15" s="75"/>
      <c r="F15" s="12"/>
      <c r="G15" s="12"/>
      <c r="H15" s="100" t="s">
        <v>220</v>
      </c>
      <c r="I15" s="63"/>
      <c r="J15" s="63"/>
      <c r="K15" s="13"/>
      <c r="L15" s="82">
        <v>152.21123035648765</v>
      </c>
      <c r="M15" s="83">
        <v>7681.1357421875</v>
      </c>
      <c r="N15" s="83">
        <v>8389.794921875</v>
      </c>
      <c r="O15" s="74" t="s">
        <v>66</v>
      </c>
      <c r="P15" s="84"/>
      <c r="Q15" s="84"/>
      <c r="R15" s="85"/>
      <c r="S15" s="47">
        <v>2</v>
      </c>
      <c r="T15" s="47">
        <v>0</v>
      </c>
      <c r="U15" s="48">
        <v>4.857143</v>
      </c>
      <c r="V15" s="48">
        <v>0.216474</v>
      </c>
      <c r="W15" s="48">
        <v>0.098924</v>
      </c>
      <c r="X15" s="48">
        <v>0.025632</v>
      </c>
      <c r="Y15" s="48">
        <v>0</v>
      </c>
      <c r="Z15" s="48">
        <v>0</v>
      </c>
      <c r="AA15" s="76">
        <v>15</v>
      </c>
      <c r="AB15" s="76"/>
      <c r="AC15" s="86"/>
      <c r="AD15" s="79" t="s">
        <v>216</v>
      </c>
      <c r="AE15" s="79">
        <v>2</v>
      </c>
      <c r="AF15" s="79" t="str">
        <f>REPLACE(INDEX(GroupVertices[Group],MATCH(Vertices[[#This Row],[Vertex]],GroupVertices[Vertex],0)),1,1,"")</f>
        <v>3</v>
      </c>
      <c r="AH15" s="2"/>
    </row>
    <row r="16" spans="1:34" ht="15">
      <c r="A16" s="11" t="s">
        <v>191</v>
      </c>
      <c r="B16" s="12"/>
      <c r="C16" s="12" t="s">
        <v>63</v>
      </c>
      <c r="D16" s="81">
        <v>639.3539022674398</v>
      </c>
      <c r="E16" s="75"/>
      <c r="F16" s="12"/>
      <c r="G16" s="12"/>
      <c r="H16" s="100" t="s">
        <v>221</v>
      </c>
      <c r="I16" s="63"/>
      <c r="J16" s="63"/>
      <c r="K16" s="13"/>
      <c r="L16" s="82">
        <v>2426.7789047577744</v>
      </c>
      <c r="M16" s="83">
        <v>4322.087890625</v>
      </c>
      <c r="N16" s="83">
        <v>6760.3134765625</v>
      </c>
      <c r="O16" s="74" t="s">
        <v>66</v>
      </c>
      <c r="P16" s="84"/>
      <c r="Q16" s="84"/>
      <c r="R16" s="85"/>
      <c r="S16" s="47">
        <v>3</v>
      </c>
      <c r="T16" s="47">
        <v>0</v>
      </c>
      <c r="U16" s="48">
        <v>77.919841</v>
      </c>
      <c r="V16" s="48">
        <v>0.289501</v>
      </c>
      <c r="W16" s="48">
        <v>0.178888</v>
      </c>
      <c r="X16" s="48">
        <v>0.026498</v>
      </c>
      <c r="Y16" s="48">
        <v>0</v>
      </c>
      <c r="Z16" s="48">
        <v>0</v>
      </c>
      <c r="AA16" s="76">
        <v>16</v>
      </c>
      <c r="AB16" s="76"/>
      <c r="AC16" s="86"/>
      <c r="AD16" s="79" t="s">
        <v>216</v>
      </c>
      <c r="AE16" s="79">
        <v>3</v>
      </c>
      <c r="AF16" s="79" t="str">
        <f>REPLACE(INDEX(GroupVertices[Group],MATCH(Vertices[[#This Row],[Vertex]],GroupVertices[Vertex],0)),1,1,"")</f>
        <v>3</v>
      </c>
      <c r="AH16" s="2"/>
    </row>
    <row r="17" spans="1:34" ht="15">
      <c r="A17" s="11" t="s">
        <v>192</v>
      </c>
      <c r="B17" s="12"/>
      <c r="C17" s="12" t="s">
        <v>63</v>
      </c>
      <c r="D17" s="81">
        <v>901.5268796496468</v>
      </c>
      <c r="E17" s="75"/>
      <c r="F17" s="12"/>
      <c r="G17" s="12"/>
      <c r="H17" s="100" t="s">
        <v>222</v>
      </c>
      <c r="I17" s="63"/>
      <c r="J17" s="63"/>
      <c r="K17" s="13"/>
      <c r="L17" s="82">
        <v>3605.9187520040186</v>
      </c>
      <c r="M17" s="83">
        <v>7694.7578125</v>
      </c>
      <c r="N17" s="83">
        <v>4347.73291015625</v>
      </c>
      <c r="O17" s="74" t="s">
        <v>66</v>
      </c>
      <c r="P17" s="84"/>
      <c r="Q17" s="84"/>
      <c r="R17" s="85"/>
      <c r="S17" s="47">
        <v>5</v>
      </c>
      <c r="T17" s="47">
        <v>0</v>
      </c>
      <c r="U17" s="48">
        <v>115.795671</v>
      </c>
      <c r="V17" s="48">
        <v>0.320381</v>
      </c>
      <c r="W17" s="48">
        <v>0.359576</v>
      </c>
      <c r="X17" s="48">
        <v>0.028293</v>
      </c>
      <c r="Y17" s="48">
        <v>0</v>
      </c>
      <c r="Z17" s="48">
        <v>0</v>
      </c>
      <c r="AA17" s="76">
        <v>17</v>
      </c>
      <c r="AB17" s="76"/>
      <c r="AC17" s="86"/>
      <c r="AD17" s="79" t="s">
        <v>216</v>
      </c>
      <c r="AE17" s="79">
        <v>5</v>
      </c>
      <c r="AF17" s="79" t="str">
        <f>REPLACE(INDEX(GroupVertices[Group],MATCH(Vertices[[#This Row],[Vertex]],GroupVertices[Vertex],0)),1,1,"")</f>
        <v>2</v>
      </c>
      <c r="AH17" s="2"/>
    </row>
    <row r="18" spans="1:34" ht="15">
      <c r="A18" s="11" t="s">
        <v>193</v>
      </c>
      <c r="B18" s="12"/>
      <c r="C18" s="12" t="s">
        <v>63</v>
      </c>
      <c r="D18" s="81">
        <v>100</v>
      </c>
      <c r="E18" s="75"/>
      <c r="F18" s="12"/>
      <c r="G18" s="12"/>
      <c r="H18" s="100" t="s">
        <v>224</v>
      </c>
      <c r="I18" s="63"/>
      <c r="J18" s="63"/>
      <c r="K18" s="13"/>
      <c r="L18" s="82">
        <v>1</v>
      </c>
      <c r="M18" s="83">
        <v>737.4766845703125</v>
      </c>
      <c r="N18" s="83">
        <v>4474.4619140625</v>
      </c>
      <c r="O18" s="74" t="s">
        <v>66</v>
      </c>
      <c r="P18" s="84"/>
      <c r="Q18" s="84"/>
      <c r="R18" s="85"/>
      <c r="S18" s="47">
        <v>1</v>
      </c>
      <c r="T18" s="47">
        <v>0</v>
      </c>
      <c r="U18" s="48">
        <v>0</v>
      </c>
      <c r="V18" s="48">
        <v>0.208944</v>
      </c>
      <c r="W18" s="48">
        <v>0.046397</v>
      </c>
      <c r="X18" s="48">
        <v>0.024652</v>
      </c>
      <c r="Y18" s="48">
        <v>0</v>
      </c>
      <c r="Z18" s="48">
        <v>0</v>
      </c>
      <c r="AA18" s="76">
        <v>18</v>
      </c>
      <c r="AB18" s="76"/>
      <c r="AC18" s="86"/>
      <c r="AD18" s="79" t="s">
        <v>216</v>
      </c>
      <c r="AE18" s="79">
        <v>1</v>
      </c>
      <c r="AF18" s="79" t="str">
        <f>REPLACE(INDEX(GroupVertices[Group],MATCH(Vertices[[#This Row],[Vertex]],GroupVertices[Vertex],0)),1,1,"")</f>
        <v>1</v>
      </c>
      <c r="AH18" s="2"/>
    </row>
    <row r="19" spans="1:34" ht="15">
      <c r="A19" s="11" t="s">
        <v>194</v>
      </c>
      <c r="B19" s="12"/>
      <c r="C19" s="12" t="s">
        <v>63</v>
      </c>
      <c r="D19" s="81">
        <v>100</v>
      </c>
      <c r="E19" s="75"/>
      <c r="F19" s="12"/>
      <c r="G19" s="12"/>
      <c r="H19" s="100" t="s">
        <v>225</v>
      </c>
      <c r="I19" s="63"/>
      <c r="J19" s="63"/>
      <c r="K19" s="13"/>
      <c r="L19" s="82">
        <v>1</v>
      </c>
      <c r="M19" s="83">
        <v>1204.237548828125</v>
      </c>
      <c r="N19" s="83">
        <v>6291.77783203125</v>
      </c>
      <c r="O19" s="74" t="s">
        <v>66</v>
      </c>
      <c r="P19" s="84"/>
      <c r="Q19" s="84"/>
      <c r="R19" s="85"/>
      <c r="S19" s="47">
        <v>1</v>
      </c>
      <c r="T19" s="47">
        <v>0</v>
      </c>
      <c r="U19" s="48">
        <v>0</v>
      </c>
      <c r="V19" s="48">
        <v>0.208944</v>
      </c>
      <c r="W19" s="48">
        <v>0.046397</v>
      </c>
      <c r="X19" s="48">
        <v>0.024652</v>
      </c>
      <c r="Y19" s="48">
        <v>0</v>
      </c>
      <c r="Z19" s="48">
        <v>0</v>
      </c>
      <c r="AA19" s="76">
        <v>19</v>
      </c>
      <c r="AB19" s="76"/>
      <c r="AC19" s="86"/>
      <c r="AD19" s="79" t="s">
        <v>216</v>
      </c>
      <c r="AE19" s="79">
        <v>1</v>
      </c>
      <c r="AF19" s="79" t="str">
        <f>REPLACE(INDEX(GroupVertices[Group],MATCH(Vertices[[#This Row],[Vertex]],GroupVertices[Vertex],0)),1,1,"")</f>
        <v>1</v>
      </c>
      <c r="AH19" s="2"/>
    </row>
    <row r="20" spans="1:34" ht="15">
      <c r="A20" s="11" t="s">
        <v>195</v>
      </c>
      <c r="B20" s="12"/>
      <c r="C20" s="12" t="s">
        <v>63</v>
      </c>
      <c r="D20" s="81">
        <v>135.99391702802225</v>
      </c>
      <c r="E20" s="75"/>
      <c r="F20" s="12"/>
      <c r="G20" s="12"/>
      <c r="H20" s="100" t="s">
        <v>226</v>
      </c>
      <c r="I20" s="63"/>
      <c r="J20" s="63"/>
      <c r="K20" s="13"/>
      <c r="L20" s="82">
        <v>162.88495950268208</v>
      </c>
      <c r="M20" s="83">
        <v>823.8099365234375</v>
      </c>
      <c r="N20" s="83">
        <v>3110.039306640625</v>
      </c>
      <c r="O20" s="74" t="s">
        <v>66</v>
      </c>
      <c r="P20" s="84"/>
      <c r="Q20" s="84"/>
      <c r="R20" s="85"/>
      <c r="S20" s="47">
        <v>2</v>
      </c>
      <c r="T20" s="47">
        <v>0</v>
      </c>
      <c r="U20" s="48">
        <v>5.2</v>
      </c>
      <c r="V20" s="48">
        <v>0.220446</v>
      </c>
      <c r="W20" s="48">
        <v>0.095865</v>
      </c>
      <c r="X20" s="48">
        <v>0.025639</v>
      </c>
      <c r="Y20" s="48">
        <v>0</v>
      </c>
      <c r="Z20" s="48">
        <v>0</v>
      </c>
      <c r="AA20" s="76">
        <v>20</v>
      </c>
      <c r="AB20" s="76"/>
      <c r="AC20" s="86"/>
      <c r="AD20" s="79" t="s">
        <v>216</v>
      </c>
      <c r="AE20" s="79">
        <v>2</v>
      </c>
      <c r="AF20" s="79" t="str">
        <f>REPLACE(INDEX(GroupVertices[Group],MATCH(Vertices[[#This Row],[Vertex]],GroupVertices[Vertex],0)),1,1,"")</f>
        <v>1</v>
      </c>
      <c r="AH20" s="2"/>
    </row>
    <row r="21" spans="1:34" ht="15">
      <c r="A21" s="11" t="s">
        <v>196</v>
      </c>
      <c r="B21" s="12"/>
      <c r="C21" s="12" t="s">
        <v>63</v>
      </c>
      <c r="D21" s="81">
        <v>1000</v>
      </c>
      <c r="E21" s="75"/>
      <c r="F21" s="12"/>
      <c r="G21" s="12"/>
      <c r="H21" s="100" t="s">
        <v>227</v>
      </c>
      <c r="I21" s="63"/>
      <c r="J21" s="63"/>
      <c r="K21" s="13"/>
      <c r="L21" s="82">
        <v>9999</v>
      </c>
      <c r="M21" s="83">
        <v>4719.3642578125</v>
      </c>
      <c r="N21" s="83">
        <v>2783.814208984375</v>
      </c>
      <c r="O21" s="74" t="s">
        <v>66</v>
      </c>
      <c r="P21" s="84"/>
      <c r="Q21" s="84"/>
      <c r="R21" s="85"/>
      <c r="S21" s="47">
        <v>6</v>
      </c>
      <c r="T21" s="47">
        <v>0</v>
      </c>
      <c r="U21" s="48">
        <v>321.151515</v>
      </c>
      <c r="V21" s="48">
        <v>0.358635</v>
      </c>
      <c r="W21" s="48">
        <v>0.382649</v>
      </c>
      <c r="X21" s="48">
        <v>0.029374</v>
      </c>
      <c r="Y21" s="48">
        <v>0</v>
      </c>
      <c r="Z21" s="48">
        <v>0</v>
      </c>
      <c r="AA21" s="76">
        <v>21</v>
      </c>
      <c r="AB21" s="76"/>
      <c r="AC21" s="86"/>
      <c r="AD21" s="79" t="s">
        <v>216</v>
      </c>
      <c r="AE21" s="79">
        <v>6</v>
      </c>
      <c r="AF21" s="79" t="str">
        <f>REPLACE(INDEX(GroupVertices[Group],MATCH(Vertices[[#This Row],[Vertex]],GroupVertices[Vertex],0)),1,1,"")</f>
        <v>1</v>
      </c>
      <c r="AH21" s="2"/>
    </row>
    <row r="22" spans="1:34" ht="15">
      <c r="A22" s="11" t="s">
        <v>197</v>
      </c>
      <c r="B22" s="12"/>
      <c r="C22" s="12" t="s">
        <v>63</v>
      </c>
      <c r="D22" s="81">
        <v>770.040609290876</v>
      </c>
      <c r="E22" s="75"/>
      <c r="F22" s="12"/>
      <c r="G22" s="12"/>
      <c r="H22" s="100" t="s">
        <v>228</v>
      </c>
      <c r="I22" s="63"/>
      <c r="J22" s="63"/>
      <c r="K22" s="13"/>
      <c r="L22" s="82">
        <v>3014.5507845883894</v>
      </c>
      <c r="M22" s="83">
        <v>3275.9658203125</v>
      </c>
      <c r="N22" s="83">
        <v>3173.89453125</v>
      </c>
      <c r="O22" s="74" t="s">
        <v>66</v>
      </c>
      <c r="P22" s="84"/>
      <c r="Q22" s="84"/>
      <c r="R22" s="85"/>
      <c r="S22" s="47">
        <v>4</v>
      </c>
      <c r="T22" s="47">
        <v>0</v>
      </c>
      <c r="U22" s="48">
        <v>96.8</v>
      </c>
      <c r="V22" s="48">
        <v>0.312059</v>
      </c>
      <c r="W22" s="48">
        <v>0.222226</v>
      </c>
      <c r="X22" s="48">
        <v>0.027546</v>
      </c>
      <c r="Y22" s="48">
        <v>0</v>
      </c>
      <c r="Z22" s="48">
        <v>0</v>
      </c>
      <c r="AA22" s="76">
        <v>22</v>
      </c>
      <c r="AB22" s="76"/>
      <c r="AC22" s="86"/>
      <c r="AD22" s="79" t="s">
        <v>216</v>
      </c>
      <c r="AE22" s="79">
        <v>4</v>
      </c>
      <c r="AF22" s="79" t="str">
        <f>REPLACE(INDEX(GroupVertices[Group],MATCH(Vertices[[#This Row],[Vertex]],GroupVertices[Vertex],0)),1,1,"")</f>
        <v>1</v>
      </c>
      <c r="AH22" s="2"/>
    </row>
    <row r="23" spans="1:34" ht="15">
      <c r="A23" s="11" t="s">
        <v>198</v>
      </c>
      <c r="B23" s="12"/>
      <c r="C23" s="12" t="s">
        <v>63</v>
      </c>
      <c r="D23" s="81">
        <v>341.3063692236012</v>
      </c>
      <c r="E23" s="75"/>
      <c r="F23" s="12"/>
      <c r="G23" s="12"/>
      <c r="H23" s="100" t="s">
        <v>230</v>
      </c>
      <c r="I23" s="63"/>
      <c r="J23" s="63"/>
      <c r="K23" s="13"/>
      <c r="L23" s="82">
        <v>1086.2909334399371</v>
      </c>
      <c r="M23" s="83">
        <v>6313.181640625</v>
      </c>
      <c r="N23" s="83">
        <v>1702.1290283203125</v>
      </c>
      <c r="O23" s="74" t="s">
        <v>66</v>
      </c>
      <c r="P23" s="84"/>
      <c r="Q23" s="84"/>
      <c r="R23" s="85"/>
      <c r="S23" s="47">
        <v>3</v>
      </c>
      <c r="T23" s="47">
        <v>0</v>
      </c>
      <c r="U23" s="48">
        <v>34.861255</v>
      </c>
      <c r="V23" s="48">
        <v>0.282689</v>
      </c>
      <c r="W23" s="48">
        <v>0.224304</v>
      </c>
      <c r="X23" s="48">
        <v>0.026376</v>
      </c>
      <c r="Y23" s="48">
        <v>0</v>
      </c>
      <c r="Z23" s="48">
        <v>0</v>
      </c>
      <c r="AA23" s="76">
        <v>23</v>
      </c>
      <c r="AB23" s="76"/>
      <c r="AC23" s="86"/>
      <c r="AD23" s="79" t="s">
        <v>216</v>
      </c>
      <c r="AE23" s="79">
        <v>3</v>
      </c>
      <c r="AF23" s="79" t="str">
        <f>REPLACE(INDEX(GroupVertices[Group],MATCH(Vertices[[#This Row],[Vertex]],GroupVertices[Vertex],0)),1,1,"")</f>
        <v>2</v>
      </c>
      <c r="AH23" s="2"/>
    </row>
    <row r="24" spans="1:34" ht="15">
      <c r="A24" s="11" t="s">
        <v>199</v>
      </c>
      <c r="B24" s="12"/>
      <c r="C24" s="12" t="s">
        <v>63</v>
      </c>
      <c r="D24" s="81">
        <v>100</v>
      </c>
      <c r="E24" s="75"/>
      <c r="F24" s="12"/>
      <c r="G24" s="12"/>
      <c r="H24" s="100" t="s">
        <v>232</v>
      </c>
      <c r="I24" s="63"/>
      <c r="J24" s="63"/>
      <c r="K24" s="13"/>
      <c r="L24" s="82">
        <v>1</v>
      </c>
      <c r="M24" s="83">
        <v>4919.7158203125</v>
      </c>
      <c r="N24" s="83">
        <v>805.8689575195312</v>
      </c>
      <c r="O24" s="74" t="s">
        <v>66</v>
      </c>
      <c r="P24" s="84"/>
      <c r="Q24" s="84"/>
      <c r="R24" s="85"/>
      <c r="S24" s="47">
        <v>1</v>
      </c>
      <c r="T24" s="47">
        <v>0</v>
      </c>
      <c r="U24" s="48">
        <v>0</v>
      </c>
      <c r="V24" s="48">
        <v>0.208944</v>
      </c>
      <c r="W24" s="48">
        <v>0.049469</v>
      </c>
      <c r="X24" s="48">
        <v>0.024598</v>
      </c>
      <c r="Y24" s="48">
        <v>0</v>
      </c>
      <c r="Z24" s="48">
        <v>0</v>
      </c>
      <c r="AA24" s="76">
        <v>24</v>
      </c>
      <c r="AB24" s="76"/>
      <c r="AC24" s="86"/>
      <c r="AD24" s="79" t="s">
        <v>216</v>
      </c>
      <c r="AE24" s="79">
        <v>1</v>
      </c>
      <c r="AF24" s="79" t="str">
        <f>REPLACE(INDEX(GroupVertices[Group],MATCH(Vertices[[#This Row],[Vertex]],GroupVertices[Vertex],0)),1,1,"")</f>
        <v>1</v>
      </c>
      <c r="AH24" s="2"/>
    </row>
    <row r="25" spans="1:34" ht="15">
      <c r="A25" s="11" t="s">
        <v>200</v>
      </c>
      <c r="B25" s="12"/>
      <c r="C25" s="12" t="s">
        <v>63</v>
      </c>
      <c r="D25" s="81">
        <v>135.99391702802225</v>
      </c>
      <c r="E25" s="75"/>
      <c r="F25" s="12"/>
      <c r="G25" s="12"/>
      <c r="H25" s="100" t="s">
        <v>233</v>
      </c>
      <c r="I25" s="63"/>
      <c r="J25" s="63"/>
      <c r="K25" s="13"/>
      <c r="L25" s="82">
        <v>162.88495950268208</v>
      </c>
      <c r="M25" s="83">
        <v>3213.50390625</v>
      </c>
      <c r="N25" s="83">
        <v>939.921875</v>
      </c>
      <c r="O25" s="74" t="s">
        <v>66</v>
      </c>
      <c r="P25" s="84"/>
      <c r="Q25" s="84"/>
      <c r="R25" s="85"/>
      <c r="S25" s="47">
        <v>2</v>
      </c>
      <c r="T25" s="47">
        <v>0</v>
      </c>
      <c r="U25" s="48">
        <v>5.2</v>
      </c>
      <c r="V25" s="48">
        <v>0.220446</v>
      </c>
      <c r="W25" s="48">
        <v>0.095865</v>
      </c>
      <c r="X25" s="48">
        <v>0.025639</v>
      </c>
      <c r="Y25" s="48">
        <v>0</v>
      </c>
      <c r="Z25" s="48">
        <v>0</v>
      </c>
      <c r="AA25" s="76">
        <v>25</v>
      </c>
      <c r="AB25" s="76"/>
      <c r="AC25" s="86"/>
      <c r="AD25" s="79" t="s">
        <v>216</v>
      </c>
      <c r="AE25" s="79">
        <v>2</v>
      </c>
      <c r="AF25" s="79" t="str">
        <f>REPLACE(INDEX(GroupVertices[Group],MATCH(Vertices[[#This Row],[Vertex]],GroupVertices[Vertex],0)),1,1,"")</f>
        <v>1</v>
      </c>
      <c r="AH25" s="2"/>
    </row>
    <row r="26" spans="1:34" ht="15">
      <c r="A26" s="11" t="s">
        <v>201</v>
      </c>
      <c r="B26" s="12"/>
      <c r="C26" s="12" t="s">
        <v>63</v>
      </c>
      <c r="D26" s="81">
        <v>100</v>
      </c>
      <c r="E26" s="75"/>
      <c r="F26" s="12"/>
      <c r="G26" s="12"/>
      <c r="H26" s="100" t="s">
        <v>235</v>
      </c>
      <c r="I26" s="63"/>
      <c r="J26" s="63"/>
      <c r="K26" s="13"/>
      <c r="L26" s="82">
        <v>1</v>
      </c>
      <c r="M26" s="83">
        <v>713.835205078125</v>
      </c>
      <c r="N26" s="83">
        <v>9170.01171875</v>
      </c>
      <c r="O26" s="74" t="s">
        <v>66</v>
      </c>
      <c r="P26" s="84"/>
      <c r="Q26" s="84"/>
      <c r="R26" s="85"/>
      <c r="S26" s="47">
        <v>1</v>
      </c>
      <c r="T26" s="47">
        <v>0</v>
      </c>
      <c r="U26" s="48">
        <v>0</v>
      </c>
      <c r="V26" s="48">
        <v>0.079365</v>
      </c>
      <c r="W26" s="48">
        <v>0</v>
      </c>
      <c r="X26" s="48">
        <v>0.024879</v>
      </c>
      <c r="Y26" s="48">
        <v>0</v>
      </c>
      <c r="Z26" s="48">
        <v>0</v>
      </c>
      <c r="AA26" s="76">
        <v>26</v>
      </c>
      <c r="AB26" s="76"/>
      <c r="AC26" s="86"/>
      <c r="AD26" s="79" t="s">
        <v>216</v>
      </c>
      <c r="AE26" s="79">
        <v>1</v>
      </c>
      <c r="AF26" s="79" t="str">
        <f>REPLACE(INDEX(GroupVertices[Group],MATCH(Vertices[[#This Row],[Vertex]],GroupVertices[Vertex],0)),1,1,"")</f>
        <v>4</v>
      </c>
      <c r="AH26" s="2"/>
    </row>
    <row r="27" spans="1:34" ht="15">
      <c r="A27" s="11" t="s">
        <v>202</v>
      </c>
      <c r="B27" s="12"/>
      <c r="C27" s="12" t="s">
        <v>63</v>
      </c>
      <c r="D27" s="81">
        <v>100</v>
      </c>
      <c r="E27" s="75"/>
      <c r="F27" s="12"/>
      <c r="G27" s="12"/>
      <c r="H27" s="100" t="s">
        <v>236</v>
      </c>
      <c r="I27" s="63"/>
      <c r="J27" s="63"/>
      <c r="K27" s="13"/>
      <c r="L27" s="82">
        <v>1</v>
      </c>
      <c r="M27" s="83">
        <v>2040.53662109375</v>
      </c>
      <c r="N27" s="83">
        <v>6921.37890625</v>
      </c>
      <c r="O27" s="74" t="s">
        <v>66</v>
      </c>
      <c r="P27" s="84"/>
      <c r="Q27" s="84"/>
      <c r="R27" s="85"/>
      <c r="S27" s="47">
        <v>1</v>
      </c>
      <c r="T27" s="47">
        <v>0</v>
      </c>
      <c r="U27" s="48">
        <v>0</v>
      </c>
      <c r="V27" s="48">
        <v>0.079365</v>
      </c>
      <c r="W27" s="48">
        <v>0</v>
      </c>
      <c r="X27" s="48">
        <v>0.024879</v>
      </c>
      <c r="Y27" s="48">
        <v>0</v>
      </c>
      <c r="Z27" s="48">
        <v>0</v>
      </c>
      <c r="AA27" s="76">
        <v>27</v>
      </c>
      <c r="AB27" s="76"/>
      <c r="AC27" s="86"/>
      <c r="AD27" s="79" t="s">
        <v>216</v>
      </c>
      <c r="AE27" s="79">
        <v>1</v>
      </c>
      <c r="AF27" s="79" t="str">
        <f>REPLACE(INDEX(GroupVertices[Group],MATCH(Vertices[[#This Row],[Vertex]],GroupVertices[Vertex],0)),1,1,"")</f>
        <v>4</v>
      </c>
      <c r="AH27" s="2"/>
    </row>
    <row r="28" spans="1:34" ht="15">
      <c r="A28" s="11" t="s">
        <v>203</v>
      </c>
      <c r="B28" s="12"/>
      <c r="C28" s="12" t="s">
        <v>63</v>
      </c>
      <c r="D28" s="81">
        <v>100</v>
      </c>
      <c r="E28" s="75"/>
      <c r="F28" s="12"/>
      <c r="G28" s="12"/>
      <c r="H28" s="100" t="s">
        <v>237</v>
      </c>
      <c r="I28" s="63"/>
      <c r="J28" s="63"/>
      <c r="K28" s="13"/>
      <c r="L28" s="82">
        <v>1</v>
      </c>
      <c r="M28" s="83">
        <v>660.761962890625</v>
      </c>
      <c r="N28" s="83">
        <v>7381.1240234375</v>
      </c>
      <c r="O28" s="74" t="s">
        <v>66</v>
      </c>
      <c r="P28" s="84"/>
      <c r="Q28" s="84"/>
      <c r="R28" s="85"/>
      <c r="S28" s="47">
        <v>1</v>
      </c>
      <c r="T28" s="47">
        <v>0</v>
      </c>
      <c r="U28" s="48">
        <v>0</v>
      </c>
      <c r="V28" s="48">
        <v>0.079365</v>
      </c>
      <c r="W28" s="48">
        <v>0</v>
      </c>
      <c r="X28" s="48">
        <v>0.024879</v>
      </c>
      <c r="Y28" s="48">
        <v>0</v>
      </c>
      <c r="Z28" s="48">
        <v>0</v>
      </c>
      <c r="AA28" s="76">
        <v>28</v>
      </c>
      <c r="AB28" s="76"/>
      <c r="AC28" s="86"/>
      <c r="AD28" s="79" t="s">
        <v>216</v>
      </c>
      <c r="AE28" s="79">
        <v>1</v>
      </c>
      <c r="AF28" s="79" t="str">
        <f>REPLACE(INDEX(GroupVertices[Group],MATCH(Vertices[[#This Row],[Vertex]],GroupVertices[Vertex],0)),1,1,"")</f>
        <v>4</v>
      </c>
      <c r="AH28" s="2"/>
    </row>
    <row r="29" spans="1:34" ht="15">
      <c r="A29" s="11" t="s">
        <v>204</v>
      </c>
      <c r="B29" s="12"/>
      <c r="C29" s="12" t="s">
        <v>63</v>
      </c>
      <c r="D29" s="81">
        <v>100</v>
      </c>
      <c r="E29" s="75"/>
      <c r="F29" s="12"/>
      <c r="G29" s="12"/>
      <c r="H29" s="100" t="s">
        <v>238</v>
      </c>
      <c r="I29" s="63"/>
      <c r="J29" s="63"/>
      <c r="K29" s="13"/>
      <c r="L29" s="82">
        <v>1</v>
      </c>
      <c r="M29" s="83">
        <v>1893.9285888671875</v>
      </c>
      <c r="N29" s="83">
        <v>9651.8408203125</v>
      </c>
      <c r="O29" s="74" t="s">
        <v>66</v>
      </c>
      <c r="P29" s="84"/>
      <c r="Q29" s="84"/>
      <c r="R29" s="85"/>
      <c r="S29" s="47">
        <v>1</v>
      </c>
      <c r="T29" s="47">
        <v>0</v>
      </c>
      <c r="U29" s="48">
        <v>0</v>
      </c>
      <c r="V29" s="48">
        <v>0.079365</v>
      </c>
      <c r="W29" s="48">
        <v>0</v>
      </c>
      <c r="X29" s="48">
        <v>0.024879</v>
      </c>
      <c r="Y29" s="48">
        <v>0</v>
      </c>
      <c r="Z29" s="48">
        <v>0</v>
      </c>
      <c r="AA29" s="76">
        <v>29</v>
      </c>
      <c r="AB29" s="76"/>
      <c r="AC29" s="86"/>
      <c r="AD29" s="79" t="s">
        <v>216</v>
      </c>
      <c r="AE29" s="79">
        <v>1</v>
      </c>
      <c r="AF29" s="79" t="str">
        <f>REPLACE(INDEX(GroupVertices[Group],MATCH(Vertices[[#This Row],[Vertex]],GroupVertices[Vertex],0)),1,1,"")</f>
        <v>4</v>
      </c>
      <c r="AH29" s="2"/>
    </row>
    <row r="30" spans="1:34" ht="15">
      <c r="A30" s="11" t="s">
        <v>205</v>
      </c>
      <c r="B30" s="12"/>
      <c r="C30" s="12" t="s">
        <v>63</v>
      </c>
      <c r="D30" s="81">
        <v>100</v>
      </c>
      <c r="E30" s="75"/>
      <c r="F30" s="12"/>
      <c r="G30" s="12"/>
      <c r="H30" s="100" t="s">
        <v>239</v>
      </c>
      <c r="I30" s="63"/>
      <c r="J30" s="63"/>
      <c r="K30" s="13"/>
      <c r="L30" s="82">
        <v>1</v>
      </c>
      <c r="M30" s="83">
        <v>3115.716552734375</v>
      </c>
      <c r="N30" s="83">
        <v>8466.0732421875</v>
      </c>
      <c r="O30" s="74" t="s">
        <v>66</v>
      </c>
      <c r="P30" s="84"/>
      <c r="Q30" s="84"/>
      <c r="R30" s="85"/>
      <c r="S30" s="47">
        <v>1</v>
      </c>
      <c r="T30" s="47">
        <v>0</v>
      </c>
      <c r="U30" s="48">
        <v>0</v>
      </c>
      <c r="V30" s="48">
        <v>0.079365</v>
      </c>
      <c r="W30" s="48">
        <v>0</v>
      </c>
      <c r="X30" s="48">
        <v>0.024879</v>
      </c>
      <c r="Y30" s="48">
        <v>0</v>
      </c>
      <c r="Z30" s="48">
        <v>0</v>
      </c>
      <c r="AA30" s="76">
        <v>30</v>
      </c>
      <c r="AB30" s="76"/>
      <c r="AC30" s="86"/>
      <c r="AD30" s="79" t="s">
        <v>216</v>
      </c>
      <c r="AE30" s="79">
        <v>1</v>
      </c>
      <c r="AF30" s="79" t="str">
        <f>REPLACE(INDEX(GroupVertices[Group],MATCH(Vertices[[#This Row],[Vertex]],GroupVertices[Vertex],0)),1,1,"")</f>
        <v>4</v>
      </c>
      <c r="AH30" s="2"/>
    </row>
    <row r="31" spans="1:34" ht="15">
      <c r="A31" s="11" t="s">
        <v>206</v>
      </c>
      <c r="B31" s="12"/>
      <c r="C31" s="12" t="s">
        <v>63</v>
      </c>
      <c r="D31" s="81">
        <v>100</v>
      </c>
      <c r="E31" s="75"/>
      <c r="F31" s="12"/>
      <c r="G31" s="12"/>
      <c r="H31" s="100" t="s">
        <v>241</v>
      </c>
      <c r="I31" s="63"/>
      <c r="J31" s="63"/>
      <c r="K31" s="13"/>
      <c r="L31" s="82">
        <v>1</v>
      </c>
      <c r="M31" s="83">
        <v>1340.8507080078125</v>
      </c>
      <c r="N31" s="83">
        <v>1739.524658203125</v>
      </c>
      <c r="O31" s="74" t="s">
        <v>66</v>
      </c>
      <c r="P31" s="84"/>
      <c r="Q31" s="84"/>
      <c r="R31" s="85"/>
      <c r="S31" s="47">
        <v>1</v>
      </c>
      <c r="T31" s="47">
        <v>0</v>
      </c>
      <c r="U31" s="48">
        <v>0</v>
      </c>
      <c r="V31" s="48">
        <v>0.208944</v>
      </c>
      <c r="W31" s="48">
        <v>0.046397</v>
      </c>
      <c r="X31" s="48">
        <v>0.024652</v>
      </c>
      <c r="Y31" s="48">
        <v>0</v>
      </c>
      <c r="Z31" s="48">
        <v>0</v>
      </c>
      <c r="AA31" s="76">
        <v>31</v>
      </c>
      <c r="AB31" s="76"/>
      <c r="AC31" s="86"/>
      <c r="AD31" s="79" t="s">
        <v>216</v>
      </c>
      <c r="AE31" s="79">
        <v>1</v>
      </c>
      <c r="AF31" s="79" t="str">
        <f>REPLACE(INDEX(GroupVertices[Group],MATCH(Vertices[[#This Row],[Vertex]],GroupVertices[Vertex],0)),1,1,"")</f>
        <v>1</v>
      </c>
      <c r="AH31" s="2"/>
    </row>
    <row r="32" spans="1:34" ht="15">
      <c r="A32" s="11" t="s">
        <v>207</v>
      </c>
      <c r="B32" s="12"/>
      <c r="C32" s="12" t="s">
        <v>63</v>
      </c>
      <c r="D32" s="81">
        <v>100</v>
      </c>
      <c r="E32" s="75"/>
      <c r="F32" s="12"/>
      <c r="G32" s="12"/>
      <c r="H32" s="100" t="s">
        <v>242</v>
      </c>
      <c r="I32" s="63"/>
      <c r="J32" s="63"/>
      <c r="K32" s="13"/>
      <c r="L32" s="82">
        <v>1</v>
      </c>
      <c r="M32" s="83">
        <v>1894.1759033203125</v>
      </c>
      <c r="N32" s="83">
        <v>688.6060791015625</v>
      </c>
      <c r="O32" s="74" t="s">
        <v>66</v>
      </c>
      <c r="P32" s="84"/>
      <c r="Q32" s="84"/>
      <c r="R32" s="85"/>
      <c r="S32" s="47">
        <v>1</v>
      </c>
      <c r="T32" s="47">
        <v>0</v>
      </c>
      <c r="U32" s="48">
        <v>0</v>
      </c>
      <c r="V32" s="48">
        <v>0.208944</v>
      </c>
      <c r="W32" s="48">
        <v>0.046397</v>
      </c>
      <c r="X32" s="48">
        <v>0.024652</v>
      </c>
      <c r="Y32" s="48">
        <v>0</v>
      </c>
      <c r="Z32" s="48">
        <v>0</v>
      </c>
      <c r="AA32" s="76">
        <v>32</v>
      </c>
      <c r="AB32" s="76"/>
      <c r="AC32" s="86"/>
      <c r="AD32" s="79" t="s">
        <v>216</v>
      </c>
      <c r="AE32" s="79">
        <v>1</v>
      </c>
      <c r="AF32" s="79" t="str">
        <f>REPLACE(INDEX(GroupVertices[Group],MATCH(Vertices[[#This Row],[Vertex]],GroupVertices[Vertex],0)),1,1,"")</f>
        <v>1</v>
      </c>
      <c r="AH32" s="2"/>
    </row>
    <row r="33" spans="1:34" ht="15">
      <c r="A33" s="11" t="s">
        <v>208</v>
      </c>
      <c r="B33" s="12"/>
      <c r="C33" s="12" t="s">
        <v>63</v>
      </c>
      <c r="D33" s="81">
        <v>100</v>
      </c>
      <c r="E33" s="75"/>
      <c r="F33" s="12"/>
      <c r="G33" s="12"/>
      <c r="H33" s="100" t="s">
        <v>244</v>
      </c>
      <c r="I33" s="63"/>
      <c r="J33" s="63"/>
      <c r="K33" s="13"/>
      <c r="L33" s="82">
        <v>1</v>
      </c>
      <c r="M33" s="83">
        <v>9338.2373046875</v>
      </c>
      <c r="N33" s="83">
        <v>5904.0283203125</v>
      </c>
      <c r="O33" s="74" t="s">
        <v>66</v>
      </c>
      <c r="P33" s="84"/>
      <c r="Q33" s="84"/>
      <c r="R33" s="85"/>
      <c r="S33" s="47">
        <v>1</v>
      </c>
      <c r="T33" s="47">
        <v>0</v>
      </c>
      <c r="U33" s="48">
        <v>0</v>
      </c>
      <c r="V33" s="48">
        <v>0.205372</v>
      </c>
      <c r="W33" s="48">
        <v>0.05979</v>
      </c>
      <c r="X33" s="48">
        <v>0.024632</v>
      </c>
      <c r="Y33" s="48">
        <v>0</v>
      </c>
      <c r="Z33" s="48">
        <v>0</v>
      </c>
      <c r="AA33" s="76">
        <v>33</v>
      </c>
      <c r="AB33" s="76"/>
      <c r="AC33" s="86"/>
      <c r="AD33" s="79" t="s">
        <v>216</v>
      </c>
      <c r="AE33" s="79">
        <v>1</v>
      </c>
      <c r="AF33" s="79" t="str">
        <f>REPLACE(INDEX(GroupVertices[Group],MATCH(Vertices[[#This Row],[Vertex]],GroupVertices[Vertex],0)),1,1,"")</f>
        <v>2</v>
      </c>
      <c r="AH33" s="2"/>
    </row>
    <row r="34" spans="1:34" ht="15">
      <c r="A34" s="11" t="s">
        <v>209</v>
      </c>
      <c r="B34" s="12"/>
      <c r="C34" s="12" t="s">
        <v>63</v>
      </c>
      <c r="D34" s="81">
        <v>100</v>
      </c>
      <c r="E34" s="75"/>
      <c r="F34" s="12"/>
      <c r="G34" s="12"/>
      <c r="H34" s="100" t="s">
        <v>245</v>
      </c>
      <c r="I34" s="63"/>
      <c r="J34" s="63"/>
      <c r="K34" s="13"/>
      <c r="L34" s="82">
        <v>1</v>
      </c>
      <c r="M34" s="83">
        <v>9380.6962890625</v>
      </c>
      <c r="N34" s="83">
        <v>2843.50830078125</v>
      </c>
      <c r="O34" s="74" t="s">
        <v>66</v>
      </c>
      <c r="P34" s="84"/>
      <c r="Q34" s="84"/>
      <c r="R34" s="85"/>
      <c r="S34" s="47">
        <v>1</v>
      </c>
      <c r="T34" s="47">
        <v>0</v>
      </c>
      <c r="U34" s="48">
        <v>0</v>
      </c>
      <c r="V34" s="48">
        <v>0.205372</v>
      </c>
      <c r="W34" s="48">
        <v>0.05979</v>
      </c>
      <c r="X34" s="48">
        <v>0.024632</v>
      </c>
      <c r="Y34" s="48">
        <v>0</v>
      </c>
      <c r="Z34" s="48">
        <v>0</v>
      </c>
      <c r="AA34" s="76">
        <v>34</v>
      </c>
      <c r="AB34" s="76"/>
      <c r="AC34" s="86"/>
      <c r="AD34" s="79" t="s">
        <v>216</v>
      </c>
      <c r="AE34" s="79">
        <v>1</v>
      </c>
      <c r="AF34" s="79" t="str">
        <f>REPLACE(INDEX(GroupVertices[Group],MATCH(Vertices[[#This Row],[Vertex]],GroupVertices[Vertex],0)),1,1,"")</f>
        <v>2</v>
      </c>
      <c r="AH34" s="2"/>
    </row>
    <row r="35" spans="1:34" ht="15">
      <c r="A35" s="11" t="s">
        <v>210</v>
      </c>
      <c r="B35" s="12"/>
      <c r="C35" s="12" t="s">
        <v>63</v>
      </c>
      <c r="D35" s="81">
        <v>110.38286068116027</v>
      </c>
      <c r="E35" s="75"/>
      <c r="F35" s="12"/>
      <c r="G35" s="12"/>
      <c r="H35" s="100" t="s">
        <v>247</v>
      </c>
      <c r="I35" s="63"/>
      <c r="J35" s="63"/>
      <c r="K35" s="13"/>
      <c r="L35" s="82">
        <v>47.69758447192752</v>
      </c>
      <c r="M35" s="83">
        <v>6461.31982421875</v>
      </c>
      <c r="N35" s="83">
        <v>3504.431884765625</v>
      </c>
      <c r="O35" s="74" t="s">
        <v>66</v>
      </c>
      <c r="P35" s="84"/>
      <c r="Q35" s="84"/>
      <c r="R35" s="85"/>
      <c r="S35" s="47">
        <v>2</v>
      </c>
      <c r="T35" s="47">
        <v>0</v>
      </c>
      <c r="U35" s="48">
        <v>1.5</v>
      </c>
      <c r="V35" s="48">
        <v>0.258372</v>
      </c>
      <c r="W35" s="48">
        <v>0.160422</v>
      </c>
      <c r="X35" s="48">
        <v>0.025438</v>
      </c>
      <c r="Y35" s="48">
        <v>0</v>
      </c>
      <c r="Z35" s="48">
        <v>0</v>
      </c>
      <c r="AA35" s="76">
        <v>35</v>
      </c>
      <c r="AB35" s="76"/>
      <c r="AC35" s="86"/>
      <c r="AD35" s="79" t="s">
        <v>216</v>
      </c>
      <c r="AE35" s="79">
        <v>2</v>
      </c>
      <c r="AF35" s="79" t="str">
        <f>REPLACE(INDEX(GroupVertices[Group],MATCH(Vertices[[#This Row],[Vertex]],GroupVertices[Vertex],0)),1,1,"")</f>
        <v>2</v>
      </c>
      <c r="AH35" s="2"/>
    </row>
    <row r="36" spans="1:34" ht="15">
      <c r="A36" s="11" t="s">
        <v>211</v>
      </c>
      <c r="B36" s="12"/>
      <c r="C36" s="12" t="s">
        <v>63</v>
      </c>
      <c r="D36" s="81">
        <v>100</v>
      </c>
      <c r="E36" s="75"/>
      <c r="F36" s="12"/>
      <c r="G36" s="12"/>
      <c r="H36" s="100" t="s">
        <v>249</v>
      </c>
      <c r="I36" s="63"/>
      <c r="J36" s="63"/>
      <c r="K36" s="13"/>
      <c r="L36" s="82">
        <v>1</v>
      </c>
      <c r="M36" s="83">
        <v>5316.85595703125</v>
      </c>
      <c r="N36" s="83">
        <v>6187.70458984375</v>
      </c>
      <c r="O36" s="74" t="s">
        <v>66</v>
      </c>
      <c r="P36" s="84"/>
      <c r="Q36" s="84"/>
      <c r="R36" s="85"/>
      <c r="S36" s="47">
        <v>1</v>
      </c>
      <c r="T36" s="47">
        <v>0</v>
      </c>
      <c r="U36" s="48">
        <v>0</v>
      </c>
      <c r="V36" s="48">
        <v>0.247717</v>
      </c>
      <c r="W36" s="48">
        <v>0.075872</v>
      </c>
      <c r="X36" s="48">
        <v>0.02456</v>
      </c>
      <c r="Y36" s="48">
        <v>0</v>
      </c>
      <c r="Z36" s="48">
        <v>0</v>
      </c>
      <c r="AA36" s="76">
        <v>36</v>
      </c>
      <c r="AB36" s="76"/>
      <c r="AC36" s="86"/>
      <c r="AD36" s="79" t="s">
        <v>216</v>
      </c>
      <c r="AE36" s="79">
        <v>1</v>
      </c>
      <c r="AF36" s="79" t="str">
        <f>REPLACE(INDEX(GroupVertices[Group],MATCH(Vertices[[#This Row],[Vertex]],GroupVertices[Vertex],0)),1,1,"")</f>
        <v>2</v>
      </c>
      <c r="AH36" s="2"/>
    </row>
    <row r="37" spans="1:34" ht="15">
      <c r="A37" s="11" t="s">
        <v>212</v>
      </c>
      <c r="B37" s="12"/>
      <c r="C37" s="12" t="s">
        <v>63</v>
      </c>
      <c r="D37" s="81">
        <v>100</v>
      </c>
      <c r="E37" s="75"/>
      <c r="F37" s="12"/>
      <c r="G37" s="12"/>
      <c r="H37" s="100" t="s">
        <v>251</v>
      </c>
      <c r="I37" s="63"/>
      <c r="J37" s="63"/>
      <c r="K37" s="13"/>
      <c r="L37" s="82">
        <v>1</v>
      </c>
      <c r="M37" s="83">
        <v>6865.49609375</v>
      </c>
      <c r="N37" s="83">
        <v>9489.7666015625</v>
      </c>
      <c r="O37" s="74" t="s">
        <v>66</v>
      </c>
      <c r="P37" s="84"/>
      <c r="Q37" s="84"/>
      <c r="R37" s="85"/>
      <c r="S37" s="47">
        <v>1</v>
      </c>
      <c r="T37" s="47">
        <v>0</v>
      </c>
      <c r="U37" s="48">
        <v>0</v>
      </c>
      <c r="V37" s="48">
        <v>0.205372</v>
      </c>
      <c r="W37" s="48">
        <v>0.039525</v>
      </c>
      <c r="X37" s="48">
        <v>0.024664</v>
      </c>
      <c r="Y37" s="48">
        <v>0</v>
      </c>
      <c r="Z37" s="48">
        <v>0</v>
      </c>
      <c r="AA37" s="76">
        <v>37</v>
      </c>
      <c r="AB37" s="76"/>
      <c r="AC37" s="86"/>
      <c r="AD37" s="79" t="s">
        <v>216</v>
      </c>
      <c r="AE37" s="79">
        <v>1</v>
      </c>
      <c r="AF37" s="79" t="str">
        <f>REPLACE(INDEX(GroupVertices[Group],MATCH(Vertices[[#This Row],[Vertex]],GroupVertices[Vertex],0)),1,1,"")</f>
        <v>3</v>
      </c>
      <c r="AH37" s="2"/>
    </row>
    <row r="38" spans="1:34" ht="15">
      <c r="A38" s="87" t="s">
        <v>213</v>
      </c>
      <c r="B38" s="88"/>
      <c r="C38" s="12" t="s">
        <v>63</v>
      </c>
      <c r="D38" s="89">
        <v>100</v>
      </c>
      <c r="E38" s="90"/>
      <c r="F38" s="88"/>
      <c r="G38" s="88"/>
      <c r="H38" s="101" t="s">
        <v>252</v>
      </c>
      <c r="I38" s="92"/>
      <c r="J38" s="92"/>
      <c r="K38" s="91"/>
      <c r="L38" s="93">
        <v>1</v>
      </c>
      <c r="M38" s="94">
        <v>5155.861328125</v>
      </c>
      <c r="N38" s="94">
        <v>9544.5185546875</v>
      </c>
      <c r="O38" s="95" t="s">
        <v>66</v>
      </c>
      <c r="P38" s="96"/>
      <c r="Q38" s="96"/>
      <c r="R38" s="97"/>
      <c r="S38" s="47">
        <v>1</v>
      </c>
      <c r="T38" s="47">
        <v>0</v>
      </c>
      <c r="U38" s="48">
        <v>0</v>
      </c>
      <c r="V38" s="48">
        <v>0.205372</v>
      </c>
      <c r="W38" s="48">
        <v>0.039525</v>
      </c>
      <c r="X38" s="48">
        <v>0.024664</v>
      </c>
      <c r="Y38" s="48">
        <v>0</v>
      </c>
      <c r="Z38" s="48">
        <v>0</v>
      </c>
      <c r="AA38" s="98">
        <v>38</v>
      </c>
      <c r="AB38" s="98"/>
      <c r="AC38" s="99"/>
      <c r="AD38" s="79" t="s">
        <v>216</v>
      </c>
      <c r="AE38" s="79">
        <v>1</v>
      </c>
      <c r="AF38" s="79" t="str">
        <f>REPLACE(INDEX(GroupVertices[Group],MATCH(Vertices[[#This Row],[Vertex]],GroupVertices[Vertex],0)),1,1,"")</f>
        <v>3</v>
      </c>
      <c r="AH38"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8"/>
    <dataValidation allowBlank="1" errorTitle="Invalid Vertex Visibility" error="You have entered an unrecognized vertex visibility.  Try selecting from the drop-down list instead." sqref="AH3"/>
    <dataValidation allowBlank="1" showErrorMessage="1" sqref="AH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8"/>
    <dataValidation allowBlank="1" showInputMessage="1" promptTitle="Vertex Tooltip" prompt="Enter optional text that will pop up when the mouse is hovered over the vertex." errorTitle="Invalid Vertex Image Key" sqref="K3:K3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8"/>
    <dataValidation allowBlank="1" showInputMessage="1" promptTitle="Vertex Label Fill Color" prompt="To select an optional fill color for the Label shape, right-click and select Select Color on the right-click menu." sqref="I3:I38"/>
    <dataValidation allowBlank="1" showInputMessage="1" promptTitle="Vertex Image File" prompt="Enter the path to an image file.  Hover over the column header for examples." errorTitle="Invalid Vertex Image Key" sqref="F3:F38"/>
    <dataValidation allowBlank="1" showInputMessage="1" promptTitle="Vertex Color" prompt="To select an optional vertex color, right-click and select Select Color on the right-click menu." sqref="B3:B38"/>
    <dataValidation allowBlank="1" showInputMessage="1" promptTitle="Vertex Opacity" prompt="Enter an optional vertex opacity between 0 (transparent) and 100 (opaque)." errorTitle="Invalid Vertex Opacity" error="The optional vertex opacity must be a whole number between 0 and 10." sqref="E3:E38"/>
    <dataValidation type="list" allowBlank="1" showInputMessage="1" showErrorMessage="1" promptTitle="Vertex Shape" prompt="Select an optional vertex shape." errorTitle="Invalid Vertex Shape" error="You have entered an invalid vertex shape.  Try selecting from the drop-down list instead." sqref="C3:C3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8">
      <formula1>ValidVertexLabelPositions</formula1>
    </dataValidation>
    <dataValidation allowBlank="1" showInputMessage="1" showErrorMessage="1" promptTitle="Vertex Name" prompt="Enter the name of the vertex." sqref="A3:A3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6"/>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24"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row>
    <row r="3" spans="1:24" ht="15">
      <c r="A3" s="78" t="s">
        <v>260</v>
      </c>
      <c r="B3" s="104" t="s">
        <v>264</v>
      </c>
      <c r="C3" s="104" t="s">
        <v>56</v>
      </c>
      <c r="D3" s="102"/>
      <c r="E3" s="12"/>
      <c r="F3" s="13"/>
      <c r="G3" s="74"/>
      <c r="H3" s="74"/>
      <c r="I3" s="103">
        <v>3</v>
      </c>
      <c r="J3" s="60"/>
      <c r="K3" s="47">
        <v>13</v>
      </c>
      <c r="L3" s="47">
        <v>17</v>
      </c>
      <c r="M3" s="47">
        <v>0</v>
      </c>
      <c r="N3" s="47">
        <v>17</v>
      </c>
      <c r="O3" s="47">
        <v>0</v>
      </c>
      <c r="P3" s="48">
        <v>0</v>
      </c>
      <c r="Q3" s="48">
        <v>0</v>
      </c>
      <c r="R3" s="47">
        <v>1</v>
      </c>
      <c r="S3" s="47">
        <v>0</v>
      </c>
      <c r="T3" s="47">
        <v>13</v>
      </c>
      <c r="U3" s="47">
        <v>17</v>
      </c>
      <c r="V3" s="47">
        <v>4</v>
      </c>
      <c r="W3" s="48">
        <v>2.153846</v>
      </c>
      <c r="X3" s="48">
        <v>0.10897435897435898</v>
      </c>
    </row>
    <row r="4" spans="1:24" ht="15">
      <c r="A4" s="78" t="s">
        <v>261</v>
      </c>
      <c r="B4" s="104" t="s">
        <v>265</v>
      </c>
      <c r="C4" s="104" t="s">
        <v>56</v>
      </c>
      <c r="D4" s="102"/>
      <c r="E4" s="12"/>
      <c r="F4" s="13"/>
      <c r="G4" s="74"/>
      <c r="H4" s="74"/>
      <c r="I4" s="103">
        <v>4</v>
      </c>
      <c r="J4" s="76"/>
      <c r="K4" s="47">
        <v>9</v>
      </c>
      <c r="L4" s="47">
        <v>10</v>
      </c>
      <c r="M4" s="47">
        <v>0</v>
      </c>
      <c r="N4" s="47">
        <v>10</v>
      </c>
      <c r="O4" s="47">
        <v>0</v>
      </c>
      <c r="P4" s="48">
        <v>0</v>
      </c>
      <c r="Q4" s="48">
        <v>0</v>
      </c>
      <c r="R4" s="47">
        <v>1</v>
      </c>
      <c r="S4" s="47">
        <v>0</v>
      </c>
      <c r="T4" s="47">
        <v>9</v>
      </c>
      <c r="U4" s="47">
        <v>10</v>
      </c>
      <c r="V4" s="47">
        <v>4</v>
      </c>
      <c r="W4" s="48">
        <v>1.975309</v>
      </c>
      <c r="X4" s="48">
        <v>0.1388888888888889</v>
      </c>
    </row>
    <row r="5" spans="1:24" ht="15">
      <c r="A5" s="78" t="s">
        <v>262</v>
      </c>
      <c r="B5" s="104" t="s">
        <v>266</v>
      </c>
      <c r="C5" s="104" t="s">
        <v>56</v>
      </c>
      <c r="D5" s="102"/>
      <c r="E5" s="12"/>
      <c r="F5" s="13"/>
      <c r="G5" s="74"/>
      <c r="H5" s="74"/>
      <c r="I5" s="103">
        <v>5</v>
      </c>
      <c r="J5" s="76"/>
      <c r="K5" s="47">
        <v>8</v>
      </c>
      <c r="L5" s="47">
        <v>9</v>
      </c>
      <c r="M5" s="47">
        <v>0</v>
      </c>
      <c r="N5" s="47">
        <v>9</v>
      </c>
      <c r="O5" s="47">
        <v>0</v>
      </c>
      <c r="P5" s="48">
        <v>0</v>
      </c>
      <c r="Q5" s="48">
        <v>0</v>
      </c>
      <c r="R5" s="47">
        <v>1</v>
      </c>
      <c r="S5" s="47">
        <v>0</v>
      </c>
      <c r="T5" s="47">
        <v>8</v>
      </c>
      <c r="U5" s="47">
        <v>9</v>
      </c>
      <c r="V5" s="47">
        <v>4</v>
      </c>
      <c r="W5" s="48">
        <v>1.6875</v>
      </c>
      <c r="X5" s="48">
        <v>0.16071428571428573</v>
      </c>
    </row>
    <row r="6" spans="1:24" ht="15">
      <c r="A6" s="78" t="s">
        <v>263</v>
      </c>
      <c r="B6" s="104" t="s">
        <v>267</v>
      </c>
      <c r="C6" s="104" t="s">
        <v>56</v>
      </c>
      <c r="D6" s="102"/>
      <c r="E6" s="12"/>
      <c r="F6" s="13"/>
      <c r="G6" s="74"/>
      <c r="H6" s="74"/>
      <c r="I6" s="103">
        <v>6</v>
      </c>
      <c r="J6" s="76"/>
      <c r="K6" s="47">
        <v>6</v>
      </c>
      <c r="L6" s="47">
        <v>5</v>
      </c>
      <c r="M6" s="47">
        <v>0</v>
      </c>
      <c r="N6" s="47">
        <v>5</v>
      </c>
      <c r="O6" s="47">
        <v>0</v>
      </c>
      <c r="P6" s="48">
        <v>0</v>
      </c>
      <c r="Q6" s="48">
        <v>0</v>
      </c>
      <c r="R6" s="47">
        <v>1</v>
      </c>
      <c r="S6" s="47">
        <v>0</v>
      </c>
      <c r="T6" s="47">
        <v>6</v>
      </c>
      <c r="U6" s="47">
        <v>5</v>
      </c>
      <c r="V6" s="47">
        <v>2</v>
      </c>
      <c r="W6" s="48">
        <v>1.388889</v>
      </c>
      <c r="X6" s="48">
        <v>0.16666666666666666</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9" t="s">
        <v>260</v>
      </c>
      <c r="B2" s="105" t="s">
        <v>196</v>
      </c>
      <c r="C2" s="79">
        <f>VLOOKUP(GroupVertices[[#This Row],[Vertex]],Vertices[],MATCH("ID",Vertices[[#Headers],[Vertex]:[Marked?]],0),FALSE)</f>
        <v>21</v>
      </c>
    </row>
    <row r="3" spans="1:3" ht="15">
      <c r="A3" s="80" t="s">
        <v>260</v>
      </c>
      <c r="B3" s="105" t="s">
        <v>184</v>
      </c>
      <c r="C3" s="79">
        <f>VLOOKUP(GroupVertices[[#This Row],[Vertex]],Vertices[],MATCH("ID",Vertices[[#Headers],[Vertex]:[Marked?]],0),FALSE)</f>
        <v>8</v>
      </c>
    </row>
    <row r="4" spans="1:3" ht="15">
      <c r="A4" s="80" t="s">
        <v>260</v>
      </c>
      <c r="B4" s="105" t="s">
        <v>207</v>
      </c>
      <c r="C4" s="79">
        <f>VLOOKUP(GroupVertices[[#This Row],[Vertex]],Vertices[],MATCH("ID",Vertices[[#Headers],[Vertex]:[Marked?]],0),FALSE)</f>
        <v>32</v>
      </c>
    </row>
    <row r="5" spans="1:3" ht="15">
      <c r="A5" s="80" t="s">
        <v>260</v>
      </c>
      <c r="B5" s="105" t="s">
        <v>206</v>
      </c>
      <c r="C5" s="79">
        <f>VLOOKUP(GroupVertices[[#This Row],[Vertex]],Vertices[],MATCH("ID",Vertices[[#Headers],[Vertex]:[Marked?]],0),FALSE)</f>
        <v>31</v>
      </c>
    </row>
    <row r="6" spans="1:3" ht="15">
      <c r="A6" s="80" t="s">
        <v>260</v>
      </c>
      <c r="B6" s="105" t="s">
        <v>197</v>
      </c>
      <c r="C6" s="79">
        <f>VLOOKUP(GroupVertices[[#This Row],[Vertex]],Vertices[],MATCH("ID",Vertices[[#Headers],[Vertex]:[Marked?]],0),FALSE)</f>
        <v>22</v>
      </c>
    </row>
    <row r="7" spans="1:3" ht="15">
      <c r="A7" s="80" t="s">
        <v>260</v>
      </c>
      <c r="B7" s="105" t="s">
        <v>200</v>
      </c>
      <c r="C7" s="79">
        <f>VLOOKUP(GroupVertices[[#This Row],[Vertex]],Vertices[],MATCH("ID",Vertices[[#Headers],[Vertex]:[Marked?]],0),FALSE)</f>
        <v>25</v>
      </c>
    </row>
    <row r="8" spans="1:3" ht="15">
      <c r="A8" s="80" t="s">
        <v>260</v>
      </c>
      <c r="B8" s="105" t="s">
        <v>182</v>
      </c>
      <c r="C8" s="79">
        <f>VLOOKUP(GroupVertices[[#This Row],[Vertex]],Vertices[],MATCH("ID",Vertices[[#Headers],[Vertex]:[Marked?]],0),FALSE)</f>
        <v>6</v>
      </c>
    </row>
    <row r="9" spans="1:3" ht="15">
      <c r="A9" s="80" t="s">
        <v>260</v>
      </c>
      <c r="B9" s="105" t="s">
        <v>199</v>
      </c>
      <c r="C9" s="79">
        <f>VLOOKUP(GroupVertices[[#This Row],[Vertex]],Vertices[],MATCH("ID",Vertices[[#Headers],[Vertex]:[Marked?]],0),FALSE)</f>
        <v>24</v>
      </c>
    </row>
    <row r="10" spans="1:3" ht="15">
      <c r="A10" s="80" t="s">
        <v>260</v>
      </c>
      <c r="B10" s="105" t="s">
        <v>195</v>
      </c>
      <c r="C10" s="79">
        <f>VLOOKUP(GroupVertices[[#This Row],[Vertex]],Vertices[],MATCH("ID",Vertices[[#Headers],[Vertex]:[Marked?]],0),FALSE)</f>
        <v>20</v>
      </c>
    </row>
    <row r="11" spans="1:3" ht="15">
      <c r="A11" s="80" t="s">
        <v>260</v>
      </c>
      <c r="B11" s="105" t="s">
        <v>181</v>
      </c>
      <c r="C11" s="79">
        <f>VLOOKUP(GroupVertices[[#This Row],[Vertex]],Vertices[],MATCH("ID",Vertices[[#Headers],[Vertex]:[Marked?]],0),FALSE)</f>
        <v>5</v>
      </c>
    </row>
    <row r="12" spans="1:3" ht="15">
      <c r="A12" s="80" t="s">
        <v>260</v>
      </c>
      <c r="B12" s="105" t="s">
        <v>180</v>
      </c>
      <c r="C12" s="79">
        <f>VLOOKUP(GroupVertices[[#This Row],[Vertex]],Vertices[],MATCH("ID",Vertices[[#Headers],[Vertex]:[Marked?]],0),FALSE)</f>
        <v>4</v>
      </c>
    </row>
    <row r="13" spans="1:3" ht="15">
      <c r="A13" s="80" t="s">
        <v>260</v>
      </c>
      <c r="B13" s="105" t="s">
        <v>194</v>
      </c>
      <c r="C13" s="79">
        <f>VLOOKUP(GroupVertices[[#This Row],[Vertex]],Vertices[],MATCH("ID",Vertices[[#Headers],[Vertex]:[Marked?]],0),FALSE)</f>
        <v>19</v>
      </c>
    </row>
    <row r="14" spans="1:3" ht="15">
      <c r="A14" s="80" t="s">
        <v>260</v>
      </c>
      <c r="B14" s="105" t="s">
        <v>193</v>
      </c>
      <c r="C14" s="79">
        <f>VLOOKUP(GroupVertices[[#This Row],[Vertex]],Vertices[],MATCH("ID",Vertices[[#Headers],[Vertex]:[Marked?]],0),FALSE)</f>
        <v>18</v>
      </c>
    </row>
    <row r="15" spans="1:3" ht="15">
      <c r="A15" s="80" t="s">
        <v>261</v>
      </c>
      <c r="B15" s="105" t="s">
        <v>187</v>
      </c>
      <c r="C15" s="79">
        <f>VLOOKUP(GroupVertices[[#This Row],[Vertex]],Vertices[],MATCH("ID",Vertices[[#Headers],[Vertex]:[Marked?]],0),FALSE)</f>
        <v>11</v>
      </c>
    </row>
    <row r="16" spans="1:3" ht="15">
      <c r="A16" s="80" t="s">
        <v>261</v>
      </c>
      <c r="B16" s="105" t="s">
        <v>211</v>
      </c>
      <c r="C16" s="79">
        <f>VLOOKUP(GroupVertices[[#This Row],[Vertex]],Vertices[],MATCH("ID",Vertices[[#Headers],[Vertex]:[Marked?]],0),FALSE)</f>
        <v>36</v>
      </c>
    </row>
    <row r="17" spans="1:3" ht="15">
      <c r="A17" s="80" t="s">
        <v>261</v>
      </c>
      <c r="B17" s="105" t="s">
        <v>192</v>
      </c>
      <c r="C17" s="79">
        <f>VLOOKUP(GroupVertices[[#This Row],[Vertex]],Vertices[],MATCH("ID",Vertices[[#Headers],[Vertex]:[Marked?]],0),FALSE)</f>
        <v>17</v>
      </c>
    </row>
    <row r="18" spans="1:3" ht="15">
      <c r="A18" s="80" t="s">
        <v>261</v>
      </c>
      <c r="B18" s="105" t="s">
        <v>210</v>
      </c>
      <c r="C18" s="79">
        <f>VLOOKUP(GroupVertices[[#This Row],[Vertex]],Vertices[],MATCH("ID",Vertices[[#Headers],[Vertex]:[Marked?]],0),FALSE)</f>
        <v>35</v>
      </c>
    </row>
    <row r="19" spans="1:3" ht="15">
      <c r="A19" s="80" t="s">
        <v>261</v>
      </c>
      <c r="B19" s="105" t="s">
        <v>186</v>
      </c>
      <c r="C19" s="79">
        <f>VLOOKUP(GroupVertices[[#This Row],[Vertex]],Vertices[],MATCH("ID",Vertices[[#Headers],[Vertex]:[Marked?]],0),FALSE)</f>
        <v>10</v>
      </c>
    </row>
    <row r="20" spans="1:3" ht="15">
      <c r="A20" s="80" t="s">
        <v>261</v>
      </c>
      <c r="B20" s="105" t="s">
        <v>198</v>
      </c>
      <c r="C20" s="79">
        <f>VLOOKUP(GroupVertices[[#This Row],[Vertex]],Vertices[],MATCH("ID",Vertices[[#Headers],[Vertex]:[Marked?]],0),FALSE)</f>
        <v>23</v>
      </c>
    </row>
    <row r="21" spans="1:3" ht="15">
      <c r="A21" s="80" t="s">
        <v>261</v>
      </c>
      <c r="B21" s="105" t="s">
        <v>185</v>
      </c>
      <c r="C21" s="79">
        <f>VLOOKUP(GroupVertices[[#This Row],[Vertex]],Vertices[],MATCH("ID",Vertices[[#Headers],[Vertex]:[Marked?]],0),FALSE)</f>
        <v>9</v>
      </c>
    </row>
    <row r="22" spans="1:3" ht="15">
      <c r="A22" s="80" t="s">
        <v>261</v>
      </c>
      <c r="B22" s="105" t="s">
        <v>209</v>
      </c>
      <c r="C22" s="79">
        <f>VLOOKUP(GroupVertices[[#This Row],[Vertex]],Vertices[],MATCH("ID",Vertices[[#Headers],[Vertex]:[Marked?]],0),FALSE)</f>
        <v>34</v>
      </c>
    </row>
    <row r="23" spans="1:3" ht="15">
      <c r="A23" s="80" t="s">
        <v>261</v>
      </c>
      <c r="B23" s="105" t="s">
        <v>208</v>
      </c>
      <c r="C23" s="79">
        <f>VLOOKUP(GroupVertices[[#This Row],[Vertex]],Vertices[],MATCH("ID",Vertices[[#Headers],[Vertex]:[Marked?]],0),FALSE)</f>
        <v>33</v>
      </c>
    </row>
    <row r="24" spans="1:3" ht="15">
      <c r="A24" s="80" t="s">
        <v>262</v>
      </c>
      <c r="B24" s="105" t="s">
        <v>188</v>
      </c>
      <c r="C24" s="79">
        <f>VLOOKUP(GroupVertices[[#This Row],[Vertex]],Vertices[],MATCH("ID",Vertices[[#Headers],[Vertex]:[Marked?]],0),FALSE)</f>
        <v>12</v>
      </c>
    </row>
    <row r="25" spans="1:3" ht="15">
      <c r="A25" s="80" t="s">
        <v>262</v>
      </c>
      <c r="B25" s="105" t="s">
        <v>213</v>
      </c>
      <c r="C25" s="79">
        <f>VLOOKUP(GroupVertices[[#This Row],[Vertex]],Vertices[],MATCH("ID",Vertices[[#Headers],[Vertex]:[Marked?]],0),FALSE)</f>
        <v>38</v>
      </c>
    </row>
    <row r="26" spans="1:3" ht="15">
      <c r="A26" s="80" t="s">
        <v>262</v>
      </c>
      <c r="B26" s="105" t="s">
        <v>212</v>
      </c>
      <c r="C26" s="79">
        <f>VLOOKUP(GroupVertices[[#This Row],[Vertex]],Vertices[],MATCH("ID",Vertices[[#Headers],[Vertex]:[Marked?]],0),FALSE)</f>
        <v>37</v>
      </c>
    </row>
    <row r="27" spans="1:3" ht="15">
      <c r="A27" s="80" t="s">
        <v>262</v>
      </c>
      <c r="B27" s="105" t="s">
        <v>191</v>
      </c>
      <c r="C27" s="79">
        <f>VLOOKUP(GroupVertices[[#This Row],[Vertex]],Vertices[],MATCH("ID",Vertices[[#Headers],[Vertex]:[Marked?]],0),FALSE)</f>
        <v>16</v>
      </c>
    </row>
    <row r="28" spans="1:3" ht="15">
      <c r="A28" s="80" t="s">
        <v>262</v>
      </c>
      <c r="B28" s="105" t="s">
        <v>190</v>
      </c>
      <c r="C28" s="79">
        <f>VLOOKUP(GroupVertices[[#This Row],[Vertex]],Vertices[],MATCH("ID",Vertices[[#Headers],[Vertex]:[Marked?]],0),FALSE)</f>
        <v>15</v>
      </c>
    </row>
    <row r="29" spans="1:3" ht="15">
      <c r="A29" s="80" t="s">
        <v>262</v>
      </c>
      <c r="B29" s="105" t="s">
        <v>189</v>
      </c>
      <c r="C29" s="79">
        <f>VLOOKUP(GroupVertices[[#This Row],[Vertex]],Vertices[],MATCH("ID",Vertices[[#Headers],[Vertex]:[Marked?]],0),FALSE)</f>
        <v>14</v>
      </c>
    </row>
    <row r="30" spans="1:3" ht="15">
      <c r="A30" s="80" t="s">
        <v>262</v>
      </c>
      <c r="B30" s="105" t="s">
        <v>179</v>
      </c>
      <c r="C30" s="79">
        <f>VLOOKUP(GroupVertices[[#This Row],[Vertex]],Vertices[],MATCH("ID",Vertices[[#Headers],[Vertex]:[Marked?]],0),FALSE)</f>
        <v>3</v>
      </c>
    </row>
    <row r="31" spans="1:3" ht="15">
      <c r="A31" s="80" t="s">
        <v>262</v>
      </c>
      <c r="B31" s="105" t="s">
        <v>214</v>
      </c>
      <c r="C31" s="79">
        <f>VLOOKUP(GroupVertices[[#This Row],[Vertex]],Vertices[],MATCH("ID",Vertices[[#Headers],[Vertex]:[Marked?]],0),FALSE)</f>
        <v>13</v>
      </c>
    </row>
    <row r="32" spans="1:3" ht="15">
      <c r="A32" s="80" t="s">
        <v>263</v>
      </c>
      <c r="B32" s="105" t="s">
        <v>183</v>
      </c>
      <c r="C32" s="79">
        <f>VLOOKUP(GroupVertices[[#This Row],[Vertex]],Vertices[],MATCH("ID",Vertices[[#Headers],[Vertex]:[Marked?]],0),FALSE)</f>
        <v>7</v>
      </c>
    </row>
    <row r="33" spans="1:3" ht="15">
      <c r="A33" s="80" t="s">
        <v>263</v>
      </c>
      <c r="B33" s="105" t="s">
        <v>205</v>
      </c>
      <c r="C33" s="79">
        <f>VLOOKUP(GroupVertices[[#This Row],[Vertex]],Vertices[],MATCH("ID",Vertices[[#Headers],[Vertex]:[Marked?]],0),FALSE)</f>
        <v>30</v>
      </c>
    </row>
    <row r="34" spans="1:3" ht="15">
      <c r="A34" s="80" t="s">
        <v>263</v>
      </c>
      <c r="B34" s="105" t="s">
        <v>204</v>
      </c>
      <c r="C34" s="79">
        <f>VLOOKUP(GroupVertices[[#This Row],[Vertex]],Vertices[],MATCH("ID",Vertices[[#Headers],[Vertex]:[Marked?]],0),FALSE)</f>
        <v>29</v>
      </c>
    </row>
    <row r="35" spans="1:3" ht="15">
      <c r="A35" s="80" t="s">
        <v>263</v>
      </c>
      <c r="B35" s="105" t="s">
        <v>203</v>
      </c>
      <c r="C35" s="79">
        <f>VLOOKUP(GroupVertices[[#This Row],[Vertex]],Vertices[],MATCH("ID",Vertices[[#Headers],[Vertex]:[Marked?]],0),FALSE)</f>
        <v>28</v>
      </c>
    </row>
    <row r="36" spans="1:3" ht="15">
      <c r="A36" s="80" t="s">
        <v>263</v>
      </c>
      <c r="B36" s="105" t="s">
        <v>202</v>
      </c>
      <c r="C36" s="79">
        <f>VLOOKUP(GroupVertices[[#This Row],[Vertex]],Vertices[],MATCH("ID",Vertices[[#Headers],[Vertex]:[Marked?]],0),FALSE)</f>
        <v>27</v>
      </c>
    </row>
    <row r="37" spans="1:3" ht="15">
      <c r="A37" s="80" t="s">
        <v>263</v>
      </c>
      <c r="B37" s="105" t="s">
        <v>201</v>
      </c>
      <c r="C37" s="79">
        <f>VLOOKUP(GroupVertices[[#This Row],[Vertex]],Vertices[],MATCH("ID",Vertices[[#Headers],[Vertex]:[Marked?]],0),FALSE)</f>
        <v>26</v>
      </c>
    </row>
  </sheetData>
  <dataValidations count="3" xWindow="58" yWindow="226">
    <dataValidation allowBlank="1" showInputMessage="1" showErrorMessage="1" promptTitle="Group Name" prompt="Enter the name of the group.  The group name must also be entered on the Groups worksheet." sqref="A2:A37"/>
    <dataValidation allowBlank="1" showInputMessage="1" showErrorMessage="1" promptTitle="Vertex Name" prompt="Enter the name of a vertex to include in the group." sqref="B2:B37"/>
    <dataValidation allowBlank="1" showInputMessage="1" promptTitle="Vertex ID" prompt="This is the value of the hidden ID cell in the Vertices worksheet.  It gets filled in by the items on the NodeXL, Analysis, Groups menu." sqref="C2:C3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75" thickTop="1">
      <c r="A2" s="32" t="s">
        <v>274</v>
      </c>
      <c r="B2" s="32" t="s">
        <v>254</v>
      </c>
      <c r="D2" s="30">
        <f>MIN(Vertices[Degree])</f>
        <v>0</v>
      </c>
      <c r="E2">
        <f>COUNTIF(Vertices[Degree],"&gt;= "&amp;D2)-COUNTIF(Vertices[Degree],"&gt;="&amp;D3)</f>
        <v>0</v>
      </c>
      <c r="F2" s="35">
        <f>MIN(Vertices[In-Degree])</f>
        <v>0</v>
      </c>
      <c r="G2" s="36">
        <f>COUNTIF(Vertices[In-Degree],"&gt;= "&amp;F2)-COUNTIF(Vertices[In-Degree],"&gt;="&amp;F3)</f>
        <v>10</v>
      </c>
      <c r="H2" s="35">
        <f>MIN(Vertices[Out-Degree])</f>
        <v>0</v>
      </c>
      <c r="I2" s="36">
        <f>COUNTIF(Vertices[Out-Degree],"&gt;= "&amp;H2)-COUNTIF(Vertices[Out-Degree],"&gt;="&amp;H3)</f>
        <v>26</v>
      </c>
      <c r="J2" s="35">
        <f>MIN(Vertices[Betweenness Centrality])</f>
        <v>0</v>
      </c>
      <c r="K2" s="36">
        <f>COUNTIF(Vertices[Betweenness Centrality],"&gt;= "&amp;J2)-COUNTIF(Vertices[Betweenness Centrality],"&gt;="&amp;J3)</f>
        <v>20</v>
      </c>
      <c r="L2" s="35">
        <f>MIN(Vertices[Closeness Centrality])</f>
        <v>0.079365</v>
      </c>
      <c r="M2" s="36">
        <f>COUNTIF(Vertices[Closeness Centrality],"&gt;= "&amp;L2)-COUNTIF(Vertices[Closeness Centrality],"&gt;="&amp;L3)</f>
        <v>5</v>
      </c>
      <c r="N2" s="35">
        <f>MIN(Vertices[Eigenvector Centrality])</f>
        <v>0</v>
      </c>
      <c r="O2" s="36">
        <f>COUNTIF(Vertices[Eigenvector Centrality],"&gt;= "&amp;N2)-COUNTIF(Vertices[Eigenvector Centrality],"&gt;="&amp;N3)</f>
        <v>6</v>
      </c>
      <c r="P2" s="35">
        <f>MIN(Vertices[PageRank])</f>
        <v>0.02456</v>
      </c>
      <c r="Q2" s="36">
        <f>COUNTIF(Vertices[PageRank],"&gt;= "&amp;P2)-COUNTIF(Vertices[PageRank],"&gt;="&amp;P3)</f>
        <v>16</v>
      </c>
      <c r="R2" s="35">
        <f>MIN(Vertices[Clustering Coefficient])</f>
        <v>0</v>
      </c>
      <c r="S2" s="41">
        <f>COUNTIF(Vertices[Clustering Coefficient],"&gt;= "&amp;R2)-COUNTIF(Vertices[Clustering Coefficient],"&gt;="&amp;R3)</f>
        <v>0</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08"/>
      <c r="B3" s="108"/>
      <c r="D3" s="30">
        <f aca="true" t="shared" si="1" ref="D3:D35">D2+($D$36-$D$2)/BinDivisor</f>
        <v>0</v>
      </c>
      <c r="E3">
        <f>COUNTIF(Vertices[Degree],"&gt;= "&amp;D3)-COUNTIF(Vertices[Degree],"&gt;="&amp;D4)</f>
        <v>0</v>
      </c>
      <c r="F3" s="37">
        <f aca="true" t="shared" si="2" ref="F3:F35">F2+($F$36-$F$2)/BinDivisor</f>
        <v>0.17647058823529413</v>
      </c>
      <c r="G3" s="38">
        <f>COUNTIF(Vertices[In-Degree],"&gt;= "&amp;F3)-COUNTIF(Vertices[In-Degree],"&gt;="&amp;F4)</f>
        <v>0</v>
      </c>
      <c r="H3" s="37">
        <f aca="true" t="shared" si="3" ref="H3:H35">H2+($H$36-$H$2)/BinDivisor</f>
        <v>0.14705882352941177</v>
      </c>
      <c r="I3" s="38">
        <f>COUNTIF(Vertices[Out-Degree],"&gt;= "&amp;H3)-COUNTIF(Vertices[Out-Degree],"&gt;="&amp;H4)</f>
        <v>0</v>
      </c>
      <c r="J3" s="37">
        <f aca="true" t="shared" si="4" ref="J3:J35">J2+($J$36-$J$2)/BinDivisor</f>
        <v>9.445632794117648</v>
      </c>
      <c r="K3" s="38">
        <f>COUNTIF(Vertices[Betweenness Centrality],"&gt;= "&amp;J3)-COUNTIF(Vertices[Betweenness Centrality],"&gt;="&amp;J4)</f>
        <v>0</v>
      </c>
      <c r="L3" s="37">
        <f aca="true" t="shared" si="5" ref="L3:L35">L2+($L$36-$L$2)/BinDivisor</f>
        <v>0.08757882352941176</v>
      </c>
      <c r="M3" s="38">
        <f>COUNTIF(Vertices[Closeness Centrality],"&gt;= "&amp;L3)-COUNTIF(Vertices[Closeness Centrality],"&gt;="&amp;L4)</f>
        <v>0</v>
      </c>
      <c r="N3" s="37">
        <f aca="true" t="shared" si="6" ref="N3:N35">N2+($N$36-$N$2)/BinDivisor</f>
        <v>0.011254382352941177</v>
      </c>
      <c r="O3" s="38">
        <f>COUNTIF(Vertices[Eigenvector Centrality],"&gt;= "&amp;N3)-COUNTIF(Vertices[Eigenvector Centrality],"&gt;="&amp;N4)</f>
        <v>0</v>
      </c>
      <c r="P3" s="37">
        <f aca="true" t="shared" si="7" ref="P3:P35">P2+($P$36-$P$2)/BinDivisor</f>
        <v>0.025080941176470587</v>
      </c>
      <c r="Q3" s="38">
        <f>COUNTIF(Vertices[PageRank],"&gt;= "&amp;P3)-COUNTIF(Vertices[PageRank],"&gt;="&amp;P4)</f>
        <v>1</v>
      </c>
      <c r="R3" s="37">
        <f aca="true" t="shared" si="8" ref="R3:R35">R2+($R$36-$R$2)/BinDivisor</f>
        <v>0</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36</v>
      </c>
      <c r="D4" s="30">
        <f t="shared" si="1"/>
        <v>0</v>
      </c>
      <c r="E4">
        <f>COUNTIF(Vertices[Degree],"&gt;= "&amp;D4)-COUNTIF(Vertices[Degree],"&gt;="&amp;D5)</f>
        <v>0</v>
      </c>
      <c r="F4" s="35">
        <f t="shared" si="2"/>
        <v>0.35294117647058826</v>
      </c>
      <c r="G4" s="36">
        <f>COUNTIF(Vertices[In-Degree],"&gt;= "&amp;F4)-COUNTIF(Vertices[In-Degree],"&gt;="&amp;F5)</f>
        <v>0</v>
      </c>
      <c r="H4" s="35">
        <f t="shared" si="3"/>
        <v>0.29411764705882354</v>
      </c>
      <c r="I4" s="36">
        <f>COUNTIF(Vertices[Out-Degree],"&gt;= "&amp;H4)-COUNTIF(Vertices[Out-Degree],"&gt;="&amp;H5)</f>
        <v>0</v>
      </c>
      <c r="J4" s="35">
        <f t="shared" si="4"/>
        <v>18.891265588235296</v>
      </c>
      <c r="K4" s="36">
        <f>COUNTIF(Vertices[Betweenness Centrality],"&gt;= "&amp;J4)-COUNTIF(Vertices[Betweenness Centrality],"&gt;="&amp;J5)</f>
        <v>1</v>
      </c>
      <c r="L4" s="35">
        <f t="shared" si="5"/>
        <v>0.09579264705882352</v>
      </c>
      <c r="M4" s="36">
        <f>COUNTIF(Vertices[Closeness Centrality],"&gt;= "&amp;L4)-COUNTIF(Vertices[Closeness Centrality],"&gt;="&amp;L5)</f>
        <v>0</v>
      </c>
      <c r="N4" s="35">
        <f t="shared" si="6"/>
        <v>0.022508764705882353</v>
      </c>
      <c r="O4" s="36">
        <f>COUNTIF(Vertices[Eigenvector Centrality],"&gt;= "&amp;N4)-COUNTIF(Vertices[Eigenvector Centrality],"&gt;="&amp;N5)</f>
        <v>0</v>
      </c>
      <c r="P4" s="35">
        <f t="shared" si="7"/>
        <v>0.025601882352941176</v>
      </c>
      <c r="Q4" s="36">
        <f>COUNTIF(Vertices[PageRank],"&gt;= "&amp;P4)-COUNTIF(Vertices[PageRank],"&gt;="&amp;P5)</f>
        <v>3</v>
      </c>
      <c r="R4" s="35">
        <f t="shared" si="8"/>
        <v>0</v>
      </c>
      <c r="S4" s="41">
        <f>COUNTIF(Vertices[Clustering Coefficient],"&gt;= "&amp;R4)-COUNTIF(Vertices[Clustering Coefficient],"&gt;="&amp;R5)</f>
        <v>0</v>
      </c>
      <c r="T4" s="35" t="e">
        <f ca="1" t="shared" si="9"/>
        <v>#REF!</v>
      </c>
      <c r="U4" s="36" t="e">
        <f ca="1" t="shared" si="0"/>
        <v>#REF!</v>
      </c>
      <c r="W4" t="s">
        <v>126</v>
      </c>
      <c r="X4" t="s">
        <v>128</v>
      </c>
    </row>
    <row r="5" spans="1:21" ht="15">
      <c r="A5" s="108"/>
      <c r="B5" s="108"/>
      <c r="D5" s="30">
        <f t="shared" si="1"/>
        <v>0</v>
      </c>
      <c r="E5">
        <f>COUNTIF(Vertices[Degree],"&gt;= "&amp;D5)-COUNTIF(Vertices[Degree],"&gt;="&amp;D6)</f>
        <v>0</v>
      </c>
      <c r="F5" s="37">
        <f t="shared" si="2"/>
        <v>0.5294117647058824</v>
      </c>
      <c r="G5" s="38">
        <f>COUNTIF(Vertices[In-Degree],"&gt;= "&amp;F5)-COUNTIF(Vertices[In-Degree],"&gt;="&amp;F6)</f>
        <v>0</v>
      </c>
      <c r="H5" s="37">
        <f t="shared" si="3"/>
        <v>0.4411764705882353</v>
      </c>
      <c r="I5" s="38">
        <f>COUNTIF(Vertices[Out-Degree],"&gt;= "&amp;H5)-COUNTIF(Vertices[Out-Degree],"&gt;="&amp;H6)</f>
        <v>0</v>
      </c>
      <c r="J5" s="37">
        <f t="shared" si="4"/>
        <v>28.336898382352942</v>
      </c>
      <c r="K5" s="38">
        <f>COUNTIF(Vertices[Betweenness Centrality],"&gt;= "&amp;J5)-COUNTIF(Vertices[Betweenness Centrality],"&gt;="&amp;J6)</f>
        <v>1</v>
      </c>
      <c r="L5" s="37">
        <f t="shared" si="5"/>
        <v>0.10400647058823528</v>
      </c>
      <c r="M5" s="38">
        <f>COUNTIF(Vertices[Closeness Centrality],"&gt;= "&amp;L5)-COUNTIF(Vertices[Closeness Centrality],"&gt;="&amp;L6)</f>
        <v>0</v>
      </c>
      <c r="N5" s="37">
        <f t="shared" si="6"/>
        <v>0.03376314705882353</v>
      </c>
      <c r="O5" s="38">
        <f>COUNTIF(Vertices[Eigenvector Centrality],"&gt;= "&amp;N5)-COUNTIF(Vertices[Eigenvector Centrality],"&gt;="&amp;N6)</f>
        <v>2</v>
      </c>
      <c r="P5" s="37">
        <f t="shared" si="7"/>
        <v>0.026122823529411764</v>
      </c>
      <c r="Q5" s="38">
        <f>COUNTIF(Vertices[PageRank],"&gt;= "&amp;P5)-COUNTIF(Vertices[PageRank],"&gt;="&amp;P6)</f>
        <v>2</v>
      </c>
      <c r="R5" s="37">
        <f t="shared" si="8"/>
        <v>0</v>
      </c>
      <c r="S5" s="42">
        <f>COUNTIF(Vertices[Clustering Coefficient],"&gt;= "&amp;R5)-COUNTIF(Vertices[Clustering Coefficient],"&gt;="&amp;R6)</f>
        <v>0</v>
      </c>
      <c r="T5" s="37" t="e">
        <f ca="1" t="shared" si="9"/>
        <v>#REF!</v>
      </c>
      <c r="U5" s="38" t="e">
        <f ca="1" t="shared" si="0"/>
        <v>#REF!</v>
      </c>
    </row>
    <row r="6" spans="1:21" ht="15">
      <c r="A6" s="32" t="s">
        <v>148</v>
      </c>
      <c r="B6" s="32">
        <v>50</v>
      </c>
      <c r="D6" s="30">
        <f t="shared" si="1"/>
        <v>0</v>
      </c>
      <c r="E6">
        <f>COUNTIF(Vertices[Degree],"&gt;= "&amp;D6)-COUNTIF(Vertices[Degree],"&gt;="&amp;D7)</f>
        <v>0</v>
      </c>
      <c r="F6" s="35">
        <f t="shared" si="2"/>
        <v>0.7058823529411765</v>
      </c>
      <c r="G6" s="36">
        <f>COUNTIF(Vertices[In-Degree],"&gt;= "&amp;F6)-COUNTIF(Vertices[In-Degree],"&gt;="&amp;F7)</f>
        <v>0</v>
      </c>
      <c r="H6" s="35">
        <f t="shared" si="3"/>
        <v>0.5882352941176471</v>
      </c>
      <c r="I6" s="36">
        <f>COUNTIF(Vertices[Out-Degree],"&gt;= "&amp;H6)-COUNTIF(Vertices[Out-Degree],"&gt;="&amp;H7)</f>
        <v>0</v>
      </c>
      <c r="J6" s="35">
        <f t="shared" si="4"/>
        <v>37.78253117647059</v>
      </c>
      <c r="K6" s="36">
        <f>COUNTIF(Vertices[Betweenness Centrality],"&gt;= "&amp;J6)-COUNTIF(Vertices[Betweenness Centrality],"&gt;="&amp;J7)</f>
        <v>0</v>
      </c>
      <c r="L6" s="35">
        <f t="shared" si="5"/>
        <v>0.11222029411764704</v>
      </c>
      <c r="M6" s="36">
        <f>COUNTIF(Vertices[Closeness Centrality],"&gt;= "&amp;L6)-COUNTIF(Vertices[Closeness Centrality],"&gt;="&amp;L7)</f>
        <v>0</v>
      </c>
      <c r="N6" s="35">
        <f t="shared" si="6"/>
        <v>0.045017529411764706</v>
      </c>
      <c r="O6" s="36">
        <f>COUNTIF(Vertices[Eigenvector Centrality],"&gt;= "&amp;N6)-COUNTIF(Vertices[Eigenvector Centrality],"&gt;="&amp;N7)</f>
        <v>5</v>
      </c>
      <c r="P6" s="35">
        <f t="shared" si="7"/>
        <v>0.026643764705882353</v>
      </c>
      <c r="Q6" s="36">
        <f>COUNTIF(Vertices[PageRank],"&gt;= "&amp;P6)-COUNTIF(Vertices[PageRank],"&gt;="&amp;P7)</f>
        <v>0</v>
      </c>
      <c r="R6" s="35">
        <f t="shared" si="8"/>
        <v>0</v>
      </c>
      <c r="S6" s="41">
        <f>COUNTIF(Vertices[Clustering Coefficient],"&gt;= "&amp;R6)-COUNTIF(Vertices[Clustering Coefficient],"&gt;="&amp;R7)</f>
        <v>0</v>
      </c>
      <c r="T6" s="35" t="e">
        <f ca="1" t="shared" si="9"/>
        <v>#REF!</v>
      </c>
      <c r="U6" s="36" t="e">
        <f ca="1" t="shared" si="0"/>
        <v>#REF!</v>
      </c>
    </row>
    <row r="7" spans="1:21" ht="15">
      <c r="A7" s="32" t="s">
        <v>149</v>
      </c>
      <c r="B7" s="32">
        <v>0</v>
      </c>
      <c r="D7" s="30">
        <f t="shared" si="1"/>
        <v>0</v>
      </c>
      <c r="E7">
        <f>COUNTIF(Vertices[Degree],"&gt;= "&amp;D7)-COUNTIF(Vertices[Degree],"&gt;="&amp;D8)</f>
        <v>0</v>
      </c>
      <c r="F7" s="37">
        <f t="shared" si="2"/>
        <v>0.8823529411764707</v>
      </c>
      <c r="G7" s="38">
        <f>COUNTIF(Vertices[In-Degree],"&gt;= "&amp;F7)-COUNTIF(Vertices[In-Degree],"&gt;="&amp;F8)</f>
        <v>16</v>
      </c>
      <c r="H7" s="37">
        <f t="shared" si="3"/>
        <v>0.7352941176470589</v>
      </c>
      <c r="I7" s="38">
        <f>COUNTIF(Vertices[Out-Degree],"&gt;= "&amp;H7)-COUNTIF(Vertices[Out-Degree],"&gt;="&amp;H8)</f>
        <v>0</v>
      </c>
      <c r="J7" s="37">
        <f t="shared" si="4"/>
        <v>47.22816397058824</v>
      </c>
      <c r="K7" s="38">
        <f>COUNTIF(Vertices[Betweenness Centrality],"&gt;= "&amp;J7)-COUNTIF(Vertices[Betweenness Centrality],"&gt;="&amp;J8)</f>
        <v>0</v>
      </c>
      <c r="L7" s="37">
        <f t="shared" si="5"/>
        <v>0.1204341176470588</v>
      </c>
      <c r="M7" s="38">
        <f>COUNTIF(Vertices[Closeness Centrality],"&gt;= "&amp;L7)-COUNTIF(Vertices[Closeness Centrality],"&gt;="&amp;L8)</f>
        <v>0</v>
      </c>
      <c r="N7" s="37">
        <f t="shared" si="6"/>
        <v>0.05627191176470588</v>
      </c>
      <c r="O7" s="38">
        <f>COUNTIF(Vertices[Eigenvector Centrality],"&gt;= "&amp;N7)-COUNTIF(Vertices[Eigenvector Centrality],"&gt;="&amp;N8)</f>
        <v>3</v>
      </c>
      <c r="P7" s="37">
        <f t="shared" si="7"/>
        <v>0.02716470588235294</v>
      </c>
      <c r="Q7" s="38">
        <f>COUNTIF(Vertices[PageRank],"&gt;= "&amp;P7)-COUNTIF(Vertices[PageRank],"&gt;="&amp;P8)</f>
        <v>1</v>
      </c>
      <c r="R7" s="37">
        <f t="shared" si="8"/>
        <v>0</v>
      </c>
      <c r="S7" s="42">
        <f>COUNTIF(Vertices[Clustering Coefficient],"&gt;= "&amp;R7)-COUNTIF(Vertices[Clustering Coefficient],"&gt;="&amp;R8)</f>
        <v>0</v>
      </c>
      <c r="T7" s="37" t="e">
        <f ca="1" t="shared" si="9"/>
        <v>#REF!</v>
      </c>
      <c r="U7" s="38" t="e">
        <f ca="1" t="shared" si="0"/>
        <v>#REF!</v>
      </c>
    </row>
    <row r="8" spans="1:21" ht="15">
      <c r="A8" s="32" t="s">
        <v>150</v>
      </c>
      <c r="B8" s="32">
        <v>50</v>
      </c>
      <c r="D8" s="30">
        <f t="shared" si="1"/>
        <v>0</v>
      </c>
      <c r="E8">
        <f>COUNTIF(Vertices[Degree],"&gt;= "&amp;D8)-COUNTIF(Vertices[Degree],"&gt;="&amp;D9)</f>
        <v>0</v>
      </c>
      <c r="F8" s="35">
        <f t="shared" si="2"/>
        <v>1.0588235294117647</v>
      </c>
      <c r="G8" s="36">
        <f>COUNTIF(Vertices[In-Degree],"&gt;= "&amp;F8)-COUNTIF(Vertices[In-Degree],"&gt;="&amp;F9)</f>
        <v>0</v>
      </c>
      <c r="H8" s="35">
        <f t="shared" si="3"/>
        <v>0.8823529411764707</v>
      </c>
      <c r="I8" s="36">
        <f>COUNTIF(Vertices[Out-Degree],"&gt;= "&amp;H8)-COUNTIF(Vertices[Out-Degree],"&gt;="&amp;H9)</f>
        <v>0</v>
      </c>
      <c r="J8" s="35">
        <f t="shared" si="4"/>
        <v>56.67379676470589</v>
      </c>
      <c r="K8" s="36">
        <f>COUNTIF(Vertices[Betweenness Centrality],"&gt;= "&amp;J8)-COUNTIF(Vertices[Betweenness Centrality],"&gt;="&amp;J9)</f>
        <v>0</v>
      </c>
      <c r="L8" s="35">
        <f t="shared" si="5"/>
        <v>0.12864794117647058</v>
      </c>
      <c r="M8" s="36">
        <f>COUNTIF(Vertices[Closeness Centrality],"&gt;= "&amp;L8)-COUNTIF(Vertices[Closeness Centrality],"&gt;="&amp;L9)</f>
        <v>0</v>
      </c>
      <c r="N8" s="35">
        <f t="shared" si="6"/>
        <v>0.06752629411764706</v>
      </c>
      <c r="O8" s="36">
        <f>COUNTIF(Vertices[Eigenvector Centrality],"&gt;= "&amp;N8)-COUNTIF(Vertices[Eigenvector Centrality],"&gt;="&amp;N9)</f>
        <v>1</v>
      </c>
      <c r="P8" s="35">
        <f t="shared" si="7"/>
        <v>0.02768564705882353</v>
      </c>
      <c r="Q8" s="36">
        <f>COUNTIF(Vertices[PageRank],"&gt;= "&amp;P8)-COUNTIF(Vertices[PageRank],"&gt;="&amp;P9)</f>
        <v>0</v>
      </c>
      <c r="R8" s="35">
        <f t="shared" si="8"/>
        <v>0</v>
      </c>
      <c r="S8" s="41">
        <f>COUNTIF(Vertices[Clustering Coefficient],"&gt;= "&amp;R8)-COUNTIF(Vertices[Clustering Coefficient],"&gt;="&amp;R9)</f>
        <v>0</v>
      </c>
      <c r="T8" s="35" t="e">
        <f ca="1" t="shared" si="9"/>
        <v>#REF!</v>
      </c>
      <c r="U8" s="36" t="e">
        <f ca="1" t="shared" si="0"/>
        <v>#REF!</v>
      </c>
    </row>
    <row r="9" spans="1:21" ht="15">
      <c r="A9" s="108"/>
      <c r="B9" s="108"/>
      <c r="D9" s="30">
        <f t="shared" si="1"/>
        <v>0</v>
      </c>
      <c r="E9">
        <f>COUNTIF(Vertices[Degree],"&gt;= "&amp;D9)-COUNTIF(Vertices[Degree],"&gt;="&amp;D10)</f>
        <v>0</v>
      </c>
      <c r="F9" s="37">
        <f t="shared" si="2"/>
        <v>1.2352941176470589</v>
      </c>
      <c r="G9" s="38">
        <f>COUNTIF(Vertices[In-Degree],"&gt;= "&amp;F9)-COUNTIF(Vertices[In-Degree],"&gt;="&amp;F10)</f>
        <v>0</v>
      </c>
      <c r="H9" s="37">
        <f t="shared" si="3"/>
        <v>1.0294117647058825</v>
      </c>
      <c r="I9" s="38">
        <f>COUNTIF(Vertices[Out-Degree],"&gt;= "&amp;H9)-COUNTIF(Vertices[Out-Degree],"&gt;="&amp;H10)</f>
        <v>0</v>
      </c>
      <c r="J9" s="37">
        <f t="shared" si="4"/>
        <v>66.11942955882354</v>
      </c>
      <c r="K9" s="38">
        <f>COUNTIF(Vertices[Betweenness Centrality],"&gt;= "&amp;J9)-COUNTIF(Vertices[Betweenness Centrality],"&gt;="&amp;J10)</f>
        <v>0</v>
      </c>
      <c r="L9" s="37">
        <f t="shared" si="5"/>
        <v>0.13686176470588235</v>
      </c>
      <c r="M9" s="38">
        <f>COUNTIF(Vertices[Closeness Centrality],"&gt;= "&amp;L9)-COUNTIF(Vertices[Closeness Centrality],"&gt;="&amp;L10)</f>
        <v>1</v>
      </c>
      <c r="N9" s="37">
        <f t="shared" si="6"/>
        <v>0.07878067647058823</v>
      </c>
      <c r="O9" s="38">
        <f>COUNTIF(Vertices[Eigenvector Centrality],"&gt;= "&amp;N9)-COUNTIF(Vertices[Eigenvector Centrality],"&gt;="&amp;N10)</f>
        <v>0</v>
      </c>
      <c r="P9" s="37">
        <f t="shared" si="7"/>
        <v>0.02820658823529412</v>
      </c>
      <c r="Q9" s="38">
        <f>COUNTIF(Vertices[PageRank],"&gt;= "&amp;P9)-COUNTIF(Vertices[PageRank],"&gt;="&amp;P10)</f>
        <v>2</v>
      </c>
      <c r="R9" s="37">
        <f t="shared" si="8"/>
        <v>0</v>
      </c>
      <c r="S9" s="42">
        <f>COUNTIF(Vertices[Clustering Coefficient],"&gt;= "&amp;R9)-COUNTIF(Vertices[Clustering Coefficient],"&gt;="&amp;R10)</f>
        <v>0</v>
      </c>
      <c r="T9" s="37" t="e">
        <f ca="1" t="shared" si="9"/>
        <v>#REF!</v>
      </c>
      <c r="U9" s="38" t="e">
        <f ca="1" t="shared" si="0"/>
        <v>#REF!</v>
      </c>
    </row>
    <row r="10" spans="1:21" ht="15">
      <c r="A10" s="32" t="s">
        <v>151</v>
      </c>
      <c r="B10" s="32">
        <v>0</v>
      </c>
      <c r="D10" s="30">
        <f t="shared" si="1"/>
        <v>0</v>
      </c>
      <c r="E10">
        <f>COUNTIF(Vertices[Degree],"&gt;= "&amp;D10)-COUNTIF(Vertices[Degree],"&gt;="&amp;D11)</f>
        <v>0</v>
      </c>
      <c r="F10" s="35">
        <f t="shared" si="2"/>
        <v>1.411764705882353</v>
      </c>
      <c r="G10" s="36">
        <f>COUNTIF(Vertices[In-Degree],"&gt;= "&amp;F10)-COUNTIF(Vertices[In-Degree],"&gt;="&amp;F11)</f>
        <v>0</v>
      </c>
      <c r="H10" s="35">
        <f t="shared" si="3"/>
        <v>1.1764705882352942</v>
      </c>
      <c r="I10" s="36">
        <f>COUNTIF(Vertices[Out-Degree],"&gt;= "&amp;H10)-COUNTIF(Vertices[Out-Degree],"&gt;="&amp;H11)</f>
        <v>0</v>
      </c>
      <c r="J10" s="35">
        <f t="shared" si="4"/>
        <v>75.56506235294118</v>
      </c>
      <c r="K10" s="36">
        <f>COUNTIF(Vertices[Betweenness Centrality],"&gt;= "&amp;J10)-COUNTIF(Vertices[Betweenness Centrality],"&gt;="&amp;J11)</f>
        <v>1</v>
      </c>
      <c r="L10" s="35">
        <f t="shared" si="5"/>
        <v>0.14507558823529412</v>
      </c>
      <c r="M10" s="36">
        <f>COUNTIF(Vertices[Closeness Centrality],"&gt;= "&amp;L10)-COUNTIF(Vertices[Closeness Centrality],"&gt;="&amp;L11)</f>
        <v>0</v>
      </c>
      <c r="N10" s="35">
        <f t="shared" si="6"/>
        <v>0.09003505882352941</v>
      </c>
      <c r="O10" s="36">
        <f>COUNTIF(Vertices[Eigenvector Centrality],"&gt;= "&amp;N10)-COUNTIF(Vertices[Eigenvector Centrality],"&gt;="&amp;N11)</f>
        <v>3</v>
      </c>
      <c r="P10" s="35">
        <f t="shared" si="7"/>
        <v>0.028727529411764707</v>
      </c>
      <c r="Q10" s="36">
        <f>COUNTIF(Vertices[PageRank],"&gt;= "&amp;P10)-COUNTIF(Vertices[PageRank],"&gt;="&amp;P11)</f>
        <v>1</v>
      </c>
      <c r="R10" s="35">
        <f t="shared" si="8"/>
        <v>0</v>
      </c>
      <c r="S10" s="41">
        <f>COUNTIF(Vertices[Clustering Coefficient],"&gt;= "&amp;R10)-COUNTIF(Vertices[Clustering Coefficient],"&gt;="&amp;R11)</f>
        <v>0</v>
      </c>
      <c r="T10" s="35" t="e">
        <f ca="1" t="shared" si="9"/>
        <v>#REF!</v>
      </c>
      <c r="U10" s="36" t="e">
        <f ca="1" t="shared" si="0"/>
        <v>#REF!</v>
      </c>
    </row>
    <row r="11" spans="1:21" ht="15">
      <c r="A11" s="108"/>
      <c r="B11" s="108"/>
      <c r="D11" s="30">
        <f t="shared" si="1"/>
        <v>0</v>
      </c>
      <c r="E11">
        <f>COUNTIF(Vertices[Degree],"&gt;= "&amp;D11)-COUNTIF(Vertices[Degree],"&gt;="&amp;D12)</f>
        <v>0</v>
      </c>
      <c r="F11" s="37">
        <f t="shared" si="2"/>
        <v>1.5882352941176472</v>
      </c>
      <c r="G11" s="38">
        <f>COUNTIF(Vertices[In-Degree],"&gt;= "&amp;F11)-COUNTIF(Vertices[In-Degree],"&gt;="&amp;F12)</f>
        <v>0</v>
      </c>
      <c r="H11" s="37">
        <f t="shared" si="3"/>
        <v>1.3235294117647058</v>
      </c>
      <c r="I11" s="38">
        <f>COUNTIF(Vertices[Out-Degree],"&gt;= "&amp;H11)-COUNTIF(Vertices[Out-Degree],"&gt;="&amp;H12)</f>
        <v>0</v>
      </c>
      <c r="J11" s="37">
        <f t="shared" si="4"/>
        <v>85.01069514705883</v>
      </c>
      <c r="K11" s="38">
        <f>COUNTIF(Vertices[Betweenness Centrality],"&gt;= "&amp;J11)-COUNTIF(Vertices[Betweenness Centrality],"&gt;="&amp;J12)</f>
        <v>0</v>
      </c>
      <c r="L11" s="37">
        <f t="shared" si="5"/>
        <v>0.1532894117647059</v>
      </c>
      <c r="M11" s="38">
        <f>COUNTIF(Vertices[Closeness Centrality],"&gt;= "&amp;L11)-COUNTIF(Vertices[Closeness Centrality],"&gt;="&amp;L12)</f>
        <v>0</v>
      </c>
      <c r="N11" s="37">
        <f t="shared" si="6"/>
        <v>0.1012894411764706</v>
      </c>
      <c r="O11" s="38">
        <f>COUNTIF(Vertices[Eigenvector Centrality],"&gt;= "&amp;N11)-COUNTIF(Vertices[Eigenvector Centrality],"&gt;="&amp;N12)</f>
        <v>0</v>
      </c>
      <c r="P11" s="37">
        <f t="shared" si="7"/>
        <v>0.029248470588235296</v>
      </c>
      <c r="Q11" s="38">
        <f>COUNTIF(Vertices[PageRank],"&gt;= "&amp;P11)-COUNTIF(Vertices[PageRank],"&gt;="&amp;P12)</f>
        <v>2</v>
      </c>
      <c r="R11" s="37">
        <f t="shared" si="8"/>
        <v>0</v>
      </c>
      <c r="S11" s="42">
        <f>COUNTIF(Vertices[Clustering Coefficient],"&gt;= "&amp;R11)-COUNTIF(Vertices[Clustering Coefficient],"&gt;="&amp;R12)</f>
        <v>0</v>
      </c>
      <c r="T11" s="37" t="e">
        <f ca="1" t="shared" si="9"/>
        <v>#REF!</v>
      </c>
      <c r="U11" s="38" t="e">
        <f ca="1" t="shared" si="0"/>
        <v>#REF!</v>
      </c>
    </row>
    <row r="12" spans="1:21" ht="15">
      <c r="A12" s="32" t="s">
        <v>170</v>
      </c>
      <c r="B12" s="32">
        <v>0</v>
      </c>
      <c r="D12" s="30">
        <f t="shared" si="1"/>
        <v>0</v>
      </c>
      <c r="E12">
        <f>COUNTIF(Vertices[Degree],"&gt;= "&amp;D12)-COUNTIF(Vertices[Degree],"&gt;="&amp;D13)</f>
        <v>0</v>
      </c>
      <c r="F12" s="35">
        <f t="shared" si="2"/>
        <v>1.7647058823529413</v>
      </c>
      <c r="G12" s="36">
        <f>COUNTIF(Vertices[In-Degree],"&gt;= "&amp;F12)-COUNTIF(Vertices[In-Degree],"&gt;="&amp;F13)</f>
        <v>0</v>
      </c>
      <c r="H12" s="35">
        <f t="shared" si="3"/>
        <v>1.4705882352941175</v>
      </c>
      <c r="I12" s="36">
        <f>COUNTIF(Vertices[Out-Degree],"&gt;= "&amp;H12)-COUNTIF(Vertices[Out-Degree],"&gt;="&amp;H13)</f>
        <v>0</v>
      </c>
      <c r="J12" s="35">
        <f t="shared" si="4"/>
        <v>94.45632794117647</v>
      </c>
      <c r="K12" s="36">
        <f>COUNTIF(Vertices[Betweenness Centrality],"&gt;= "&amp;J12)-COUNTIF(Vertices[Betweenness Centrality],"&gt;="&amp;J13)</f>
        <v>2</v>
      </c>
      <c r="L12" s="35">
        <f t="shared" si="5"/>
        <v>0.16150323529411767</v>
      </c>
      <c r="M12" s="36">
        <f>COUNTIF(Vertices[Closeness Centrality],"&gt;= "&amp;L12)-COUNTIF(Vertices[Closeness Centrality],"&gt;="&amp;L13)</f>
        <v>0</v>
      </c>
      <c r="N12" s="35">
        <f t="shared" si="6"/>
        <v>0.11254382352941178</v>
      </c>
      <c r="O12" s="36">
        <f>COUNTIF(Vertices[Eigenvector Centrality],"&gt;= "&amp;N12)-COUNTIF(Vertices[Eigenvector Centrality],"&gt;="&amp;N13)</f>
        <v>0</v>
      </c>
      <c r="P12" s="35">
        <f t="shared" si="7"/>
        <v>0.029769411764705885</v>
      </c>
      <c r="Q12" s="36">
        <f>COUNTIF(Vertices[PageRank],"&gt;= "&amp;P12)-COUNTIF(Vertices[PageRank],"&gt;="&amp;P13)</f>
        <v>0</v>
      </c>
      <c r="R12" s="35">
        <f t="shared" si="8"/>
        <v>0</v>
      </c>
      <c r="S12" s="41">
        <f>COUNTIF(Vertices[Clustering Coefficient],"&gt;= "&amp;R12)-COUNTIF(Vertices[Clustering Coefficient],"&gt;="&amp;R13)</f>
        <v>0</v>
      </c>
      <c r="T12" s="35" t="e">
        <f ca="1" t="shared" si="9"/>
        <v>#REF!</v>
      </c>
      <c r="U12" s="36" t="e">
        <f ca="1" t="shared" si="0"/>
        <v>#REF!</v>
      </c>
    </row>
    <row r="13" spans="1:21" ht="15">
      <c r="A13" s="32" t="s">
        <v>171</v>
      </c>
      <c r="B13" s="32">
        <v>0</v>
      </c>
      <c r="D13" s="30">
        <f t="shared" si="1"/>
        <v>0</v>
      </c>
      <c r="E13">
        <f>COUNTIF(Vertices[Degree],"&gt;= "&amp;D13)-COUNTIF(Vertices[Degree],"&gt;="&amp;D14)</f>
        <v>0</v>
      </c>
      <c r="F13" s="37">
        <f t="shared" si="2"/>
        <v>1.9411764705882355</v>
      </c>
      <c r="G13" s="38">
        <f>COUNTIF(Vertices[In-Degree],"&gt;= "&amp;F13)-COUNTIF(Vertices[In-Degree],"&gt;="&amp;F14)</f>
        <v>4</v>
      </c>
      <c r="H13" s="37">
        <f t="shared" si="3"/>
        <v>1.6176470588235292</v>
      </c>
      <c r="I13" s="38">
        <f>COUNTIF(Vertices[Out-Degree],"&gt;= "&amp;H13)-COUNTIF(Vertices[Out-Degree],"&gt;="&amp;H14)</f>
        <v>0</v>
      </c>
      <c r="J13" s="37">
        <f t="shared" si="4"/>
        <v>103.90196073529411</v>
      </c>
      <c r="K13" s="38">
        <f>COUNTIF(Vertices[Betweenness Centrality],"&gt;= "&amp;J13)-COUNTIF(Vertices[Betweenness Centrality],"&gt;="&amp;J14)</f>
        <v>1</v>
      </c>
      <c r="L13" s="37">
        <f t="shared" si="5"/>
        <v>0.16971705882352944</v>
      </c>
      <c r="M13" s="38">
        <f>COUNTIF(Vertices[Closeness Centrality],"&gt;= "&amp;L13)-COUNTIF(Vertices[Closeness Centrality],"&gt;="&amp;L14)</f>
        <v>0</v>
      </c>
      <c r="N13" s="37">
        <f t="shared" si="6"/>
        <v>0.12379820588235296</v>
      </c>
      <c r="O13" s="38">
        <f>COUNTIF(Vertices[Eigenvector Centrality],"&gt;= "&amp;N13)-COUNTIF(Vertices[Eigenvector Centrality],"&gt;="&amp;N14)</f>
        <v>0</v>
      </c>
      <c r="P13" s="37">
        <f t="shared" si="7"/>
        <v>0.030290352941176473</v>
      </c>
      <c r="Q13" s="38">
        <f>COUNTIF(Vertices[PageRank],"&gt;= "&amp;P13)-COUNTIF(Vertices[PageRank],"&gt;="&amp;P14)</f>
        <v>0</v>
      </c>
      <c r="R13" s="37">
        <f t="shared" si="8"/>
        <v>0</v>
      </c>
      <c r="S13" s="42">
        <f>COUNTIF(Vertices[Clustering Coefficient],"&gt;= "&amp;R13)-COUNTIF(Vertices[Clustering Coefficient],"&gt;="&amp;R14)</f>
        <v>0</v>
      </c>
      <c r="T13" s="37" t="e">
        <f ca="1" t="shared" si="9"/>
        <v>#REF!</v>
      </c>
      <c r="U13" s="38" t="e">
        <f ca="1" t="shared" si="0"/>
        <v>#REF!</v>
      </c>
    </row>
    <row r="14" spans="1:21" ht="15">
      <c r="A14" s="108"/>
      <c r="B14" s="108"/>
      <c r="D14" s="30">
        <f t="shared" si="1"/>
        <v>0</v>
      </c>
      <c r="E14">
        <f>COUNTIF(Vertices[Degree],"&gt;= "&amp;D14)-COUNTIF(Vertices[Degree],"&gt;="&amp;D15)</f>
        <v>0</v>
      </c>
      <c r="F14" s="35">
        <f t="shared" si="2"/>
        <v>2.1176470588235294</v>
      </c>
      <c r="G14" s="36">
        <f>COUNTIF(Vertices[In-Degree],"&gt;= "&amp;F14)-COUNTIF(Vertices[In-Degree],"&gt;="&amp;F15)</f>
        <v>0</v>
      </c>
      <c r="H14" s="35">
        <f t="shared" si="3"/>
        <v>1.764705882352941</v>
      </c>
      <c r="I14" s="36">
        <f>COUNTIF(Vertices[Out-Degree],"&gt;= "&amp;H14)-COUNTIF(Vertices[Out-Degree],"&gt;="&amp;H15)</f>
        <v>0</v>
      </c>
      <c r="J14" s="35">
        <f t="shared" si="4"/>
        <v>113.34759352941175</v>
      </c>
      <c r="K14" s="36">
        <f>COUNTIF(Vertices[Betweenness Centrality],"&gt;= "&amp;J14)-COUNTIF(Vertices[Betweenness Centrality],"&gt;="&amp;J15)</f>
        <v>3</v>
      </c>
      <c r="L14" s="35">
        <f t="shared" si="5"/>
        <v>0.17793088235294122</v>
      </c>
      <c r="M14" s="36">
        <f>COUNTIF(Vertices[Closeness Centrality],"&gt;= "&amp;L14)-COUNTIF(Vertices[Closeness Centrality],"&gt;="&amp;L15)</f>
        <v>0</v>
      </c>
      <c r="N14" s="35">
        <f t="shared" si="6"/>
        <v>0.13505258823529415</v>
      </c>
      <c r="O14" s="36">
        <f>COUNTIF(Vertices[Eigenvector Centrality],"&gt;= "&amp;N14)-COUNTIF(Vertices[Eigenvector Centrality],"&gt;="&amp;N15)</f>
        <v>1</v>
      </c>
      <c r="P14" s="35">
        <f t="shared" si="7"/>
        <v>0.03081129411764706</v>
      </c>
      <c r="Q14" s="36">
        <f>COUNTIF(Vertices[PageRank],"&gt;= "&amp;P14)-COUNTIF(Vertices[PageRank],"&gt;="&amp;P15)</f>
        <v>0</v>
      </c>
      <c r="R14" s="35">
        <f t="shared" si="8"/>
        <v>0</v>
      </c>
      <c r="S14" s="41">
        <f>COUNTIF(Vertices[Clustering Coefficient],"&gt;= "&amp;R14)-COUNTIF(Vertices[Clustering Coefficient],"&gt;="&amp;R15)</f>
        <v>0</v>
      </c>
      <c r="T14" s="35" t="e">
        <f ca="1" t="shared" si="9"/>
        <v>#REF!</v>
      </c>
      <c r="U14" s="36" t="e">
        <f ca="1" t="shared" si="0"/>
        <v>#REF!</v>
      </c>
    </row>
    <row r="15" spans="1:21" ht="15">
      <c r="A15" s="32" t="s">
        <v>152</v>
      </c>
      <c r="B15" s="32">
        <v>2</v>
      </c>
      <c r="D15" s="30">
        <f t="shared" si="1"/>
        <v>0</v>
      </c>
      <c r="E15">
        <f>COUNTIF(Vertices[Degree],"&gt;= "&amp;D15)-COUNTIF(Vertices[Degree],"&gt;="&amp;D16)</f>
        <v>0</v>
      </c>
      <c r="F15" s="37">
        <f t="shared" si="2"/>
        <v>2.2941176470588234</v>
      </c>
      <c r="G15" s="38">
        <f>COUNTIF(Vertices[In-Degree],"&gt;= "&amp;F15)-COUNTIF(Vertices[In-Degree],"&gt;="&amp;F16)</f>
        <v>0</v>
      </c>
      <c r="H15" s="37">
        <f t="shared" si="3"/>
        <v>1.9117647058823526</v>
      </c>
      <c r="I15" s="38">
        <f>COUNTIF(Vertices[Out-Degree],"&gt;= "&amp;H15)-COUNTIF(Vertices[Out-Degree],"&gt;="&amp;H16)</f>
        <v>0</v>
      </c>
      <c r="J15" s="37">
        <f t="shared" si="4"/>
        <v>122.7932263235294</v>
      </c>
      <c r="K15" s="38">
        <f>COUNTIF(Vertices[Betweenness Centrality],"&gt;= "&amp;J15)-COUNTIF(Vertices[Betweenness Centrality],"&gt;="&amp;J16)</f>
        <v>1</v>
      </c>
      <c r="L15" s="37">
        <f t="shared" si="5"/>
        <v>0.186144705882353</v>
      </c>
      <c r="M15" s="38">
        <f>COUNTIF(Vertices[Closeness Centrality],"&gt;= "&amp;L15)-COUNTIF(Vertices[Closeness Centrality],"&gt;="&amp;L16)</f>
        <v>0</v>
      </c>
      <c r="N15" s="37">
        <f t="shared" si="6"/>
        <v>0.14630697058823533</v>
      </c>
      <c r="O15" s="38">
        <f>COUNTIF(Vertices[Eigenvector Centrality],"&gt;= "&amp;N15)-COUNTIF(Vertices[Eigenvector Centrality],"&gt;="&amp;N16)</f>
        <v>0</v>
      </c>
      <c r="P15" s="37">
        <f t="shared" si="7"/>
        <v>0.03133223529411765</v>
      </c>
      <c r="Q15" s="38">
        <f>COUNTIF(Vertices[PageRank],"&gt;= "&amp;P15)-COUNTIF(Vertices[PageRank],"&gt;="&amp;P16)</f>
        <v>1</v>
      </c>
      <c r="R15" s="37">
        <f t="shared" si="8"/>
        <v>0</v>
      </c>
      <c r="S15" s="42">
        <f>COUNTIF(Vertices[Clustering Coefficient],"&gt;= "&amp;R15)-COUNTIF(Vertices[Clustering Coefficient],"&gt;="&amp;R16)</f>
        <v>0</v>
      </c>
      <c r="T15" s="37" t="e">
        <f ca="1" t="shared" si="9"/>
        <v>#REF!</v>
      </c>
      <c r="U15" s="38" t="e">
        <f ca="1" t="shared" si="0"/>
        <v>#REF!</v>
      </c>
    </row>
    <row r="16" spans="1:21" ht="15">
      <c r="A16" s="32" t="s">
        <v>153</v>
      </c>
      <c r="B16" s="32">
        <v>0</v>
      </c>
      <c r="D16" s="30">
        <f t="shared" si="1"/>
        <v>0</v>
      </c>
      <c r="E16">
        <f>COUNTIF(Vertices[Degree],"&gt;= "&amp;D16)-COUNTIF(Vertices[Degree],"&gt;="&amp;D17)</f>
        <v>0</v>
      </c>
      <c r="F16" s="35">
        <f t="shared" si="2"/>
        <v>2.4705882352941173</v>
      </c>
      <c r="G16" s="36">
        <f>COUNTIF(Vertices[In-Degree],"&gt;= "&amp;F16)-COUNTIF(Vertices[In-Degree],"&gt;="&amp;F17)</f>
        <v>0</v>
      </c>
      <c r="H16" s="35">
        <f t="shared" si="3"/>
        <v>2.0588235294117645</v>
      </c>
      <c r="I16" s="36">
        <f>COUNTIF(Vertices[Out-Degree],"&gt;= "&amp;H16)-COUNTIF(Vertices[Out-Degree],"&gt;="&amp;H17)</f>
        <v>0</v>
      </c>
      <c r="J16" s="35">
        <f t="shared" si="4"/>
        <v>132.23885911764705</v>
      </c>
      <c r="K16" s="36">
        <f>COUNTIF(Vertices[Betweenness Centrality],"&gt;= "&amp;J16)-COUNTIF(Vertices[Betweenness Centrality],"&gt;="&amp;J17)</f>
        <v>2</v>
      </c>
      <c r="L16" s="35">
        <f t="shared" si="5"/>
        <v>0.19435852941176476</v>
      </c>
      <c r="M16" s="36">
        <f>COUNTIF(Vertices[Closeness Centrality],"&gt;= "&amp;L16)-COUNTIF(Vertices[Closeness Centrality],"&gt;="&amp;L17)</f>
        <v>0</v>
      </c>
      <c r="N16" s="35">
        <f t="shared" si="6"/>
        <v>0.1575613529411765</v>
      </c>
      <c r="O16" s="36">
        <f>COUNTIF(Vertices[Eigenvector Centrality],"&gt;= "&amp;N16)-COUNTIF(Vertices[Eigenvector Centrality],"&gt;="&amp;N17)</f>
        <v>3</v>
      </c>
      <c r="P16" s="35">
        <f t="shared" si="7"/>
        <v>0.03185317647058823</v>
      </c>
      <c r="Q16" s="36">
        <f>COUNTIF(Vertices[PageRank],"&gt;= "&amp;P16)-COUNTIF(Vertices[PageRank],"&gt;="&amp;P17)</f>
        <v>1</v>
      </c>
      <c r="R16" s="35">
        <f t="shared" si="8"/>
        <v>0</v>
      </c>
      <c r="S16" s="41">
        <f>COUNTIF(Vertices[Clustering Coefficient],"&gt;= "&amp;R16)-COUNTIF(Vertices[Clustering Coefficient],"&gt;="&amp;R17)</f>
        <v>0</v>
      </c>
      <c r="T16" s="35" t="e">
        <f ca="1" t="shared" si="9"/>
        <v>#REF!</v>
      </c>
      <c r="U16" s="36" t="e">
        <f ca="1" t="shared" si="0"/>
        <v>#REF!</v>
      </c>
    </row>
    <row r="17" spans="1:21" ht="15">
      <c r="A17" s="32" t="s">
        <v>154</v>
      </c>
      <c r="B17" s="32">
        <v>30</v>
      </c>
      <c r="D17" s="30">
        <f t="shared" si="1"/>
        <v>0</v>
      </c>
      <c r="E17">
        <f>COUNTIF(Vertices[Degree],"&gt;= "&amp;D17)-COUNTIF(Vertices[Degree],"&gt;="&amp;D18)</f>
        <v>0</v>
      </c>
      <c r="F17" s="37">
        <f t="shared" si="2"/>
        <v>2.6470588235294112</v>
      </c>
      <c r="G17" s="38">
        <f>COUNTIF(Vertices[In-Degree],"&gt;= "&amp;F17)-COUNTIF(Vertices[In-Degree],"&gt;="&amp;F18)</f>
        <v>0</v>
      </c>
      <c r="H17" s="37">
        <f t="shared" si="3"/>
        <v>2.205882352941176</v>
      </c>
      <c r="I17" s="38">
        <f>COUNTIF(Vertices[Out-Degree],"&gt;= "&amp;H17)-COUNTIF(Vertices[Out-Degree],"&gt;="&amp;H18)</f>
        <v>0</v>
      </c>
      <c r="J17" s="37">
        <f t="shared" si="4"/>
        <v>141.6844919117647</v>
      </c>
      <c r="K17" s="38">
        <f>COUNTIF(Vertices[Betweenness Centrality],"&gt;= "&amp;J17)-COUNTIF(Vertices[Betweenness Centrality],"&gt;="&amp;J18)</f>
        <v>1</v>
      </c>
      <c r="L17" s="37">
        <f t="shared" si="5"/>
        <v>0.20257235294117654</v>
      </c>
      <c r="M17" s="38">
        <f>COUNTIF(Vertices[Closeness Centrality],"&gt;= "&amp;L17)-COUNTIF(Vertices[Closeness Centrality],"&gt;="&amp;L18)</f>
        <v>10</v>
      </c>
      <c r="N17" s="37">
        <f t="shared" si="6"/>
        <v>0.1688157352941177</v>
      </c>
      <c r="O17" s="38">
        <f>COUNTIF(Vertices[Eigenvector Centrality],"&gt;= "&amp;N17)-COUNTIF(Vertices[Eigenvector Centrality],"&gt;="&amp;N18)</f>
        <v>2</v>
      </c>
      <c r="P17" s="37">
        <f t="shared" si="7"/>
        <v>0.03237411764705882</v>
      </c>
      <c r="Q17" s="38">
        <f>COUNTIF(Vertices[PageRank],"&gt;= "&amp;P17)-COUNTIF(Vertices[PageRank],"&gt;="&amp;P18)</f>
        <v>0</v>
      </c>
      <c r="R17" s="37">
        <f t="shared" si="8"/>
        <v>0</v>
      </c>
      <c r="S17" s="42">
        <f>COUNTIF(Vertices[Clustering Coefficient],"&gt;= "&amp;R17)-COUNTIF(Vertices[Clustering Coefficient],"&gt;="&amp;R18)</f>
        <v>0</v>
      </c>
      <c r="T17" s="37" t="e">
        <f ca="1" t="shared" si="9"/>
        <v>#REF!</v>
      </c>
      <c r="U17" s="38" t="e">
        <f ca="1" t="shared" si="0"/>
        <v>#REF!</v>
      </c>
    </row>
    <row r="18" spans="1:21" ht="15">
      <c r="A18" s="32" t="s">
        <v>155</v>
      </c>
      <c r="B18" s="32">
        <v>45</v>
      </c>
      <c r="D18" s="30">
        <f t="shared" si="1"/>
        <v>0</v>
      </c>
      <c r="E18">
        <f>COUNTIF(Vertices[Degree],"&gt;= "&amp;D18)-COUNTIF(Vertices[Degree],"&gt;="&amp;D19)</f>
        <v>0</v>
      </c>
      <c r="F18" s="35">
        <f t="shared" si="2"/>
        <v>2.823529411764705</v>
      </c>
      <c r="G18" s="36">
        <f>COUNTIF(Vertices[In-Degree],"&gt;= "&amp;F18)-COUNTIF(Vertices[In-Degree],"&gt;="&amp;F19)</f>
        <v>0</v>
      </c>
      <c r="H18" s="35">
        <f t="shared" si="3"/>
        <v>2.352941176470588</v>
      </c>
      <c r="I18" s="36">
        <f>COUNTIF(Vertices[Out-Degree],"&gt;= "&amp;H18)-COUNTIF(Vertices[Out-Degree],"&gt;="&amp;H19)</f>
        <v>0</v>
      </c>
      <c r="J18" s="35">
        <f t="shared" si="4"/>
        <v>151.13012470588234</v>
      </c>
      <c r="K18" s="36">
        <f>COUNTIF(Vertices[Betweenness Centrality],"&gt;= "&amp;J18)-COUNTIF(Vertices[Betweenness Centrality],"&gt;="&amp;J19)</f>
        <v>0</v>
      </c>
      <c r="L18" s="35">
        <f t="shared" si="5"/>
        <v>0.2107861764705883</v>
      </c>
      <c r="M18" s="36">
        <f>COUNTIF(Vertices[Closeness Centrality],"&gt;= "&amp;L18)-COUNTIF(Vertices[Closeness Centrality],"&gt;="&amp;L19)</f>
        <v>1</v>
      </c>
      <c r="N18" s="35">
        <f t="shared" si="6"/>
        <v>0.18007011764705888</v>
      </c>
      <c r="O18" s="36">
        <f>COUNTIF(Vertices[Eigenvector Centrality],"&gt;= "&amp;N18)-COUNTIF(Vertices[Eigenvector Centrality],"&gt;="&amp;N19)</f>
        <v>0</v>
      </c>
      <c r="P18" s="35">
        <f t="shared" si="7"/>
        <v>0.0328950588235294</v>
      </c>
      <c r="Q18" s="36">
        <f>COUNTIF(Vertices[PageRank],"&gt;= "&amp;P18)-COUNTIF(Vertices[PageRank],"&gt;="&amp;P19)</f>
        <v>1</v>
      </c>
      <c r="R18" s="35">
        <f t="shared" si="8"/>
        <v>0</v>
      </c>
      <c r="S18" s="41">
        <f>COUNTIF(Vertices[Clustering Coefficient],"&gt;= "&amp;R18)-COUNTIF(Vertices[Clustering Coefficient],"&gt;="&amp;R19)</f>
        <v>0</v>
      </c>
      <c r="T18" s="35" t="e">
        <f ca="1" t="shared" si="9"/>
        <v>#REF!</v>
      </c>
      <c r="U18" s="36" t="e">
        <f ca="1" t="shared" si="0"/>
        <v>#REF!</v>
      </c>
    </row>
    <row r="19" spans="1:21" ht="15">
      <c r="A19" s="108"/>
      <c r="B19" s="108"/>
      <c r="D19" s="30">
        <f t="shared" si="1"/>
        <v>0</v>
      </c>
      <c r="E19">
        <f>COUNTIF(Vertices[Degree],"&gt;= "&amp;D19)-COUNTIF(Vertices[Degree],"&gt;="&amp;D20)</f>
        <v>0</v>
      </c>
      <c r="F19" s="37">
        <f t="shared" si="2"/>
        <v>2.999999999999999</v>
      </c>
      <c r="G19" s="38">
        <f>COUNTIF(Vertices[In-Degree],"&gt;= "&amp;F19)-COUNTIF(Vertices[In-Degree],"&gt;="&amp;F20)</f>
        <v>2</v>
      </c>
      <c r="H19" s="37">
        <f t="shared" si="3"/>
        <v>2.4999999999999996</v>
      </c>
      <c r="I19" s="38">
        <f>COUNTIF(Vertices[Out-Degree],"&gt;= "&amp;H19)-COUNTIF(Vertices[Out-Degree],"&gt;="&amp;H20)</f>
        <v>0</v>
      </c>
      <c r="J19" s="37">
        <f t="shared" si="4"/>
        <v>160.57575749999998</v>
      </c>
      <c r="K19" s="38">
        <f>COUNTIF(Vertices[Betweenness Centrality],"&gt;= "&amp;J19)-COUNTIF(Vertices[Betweenness Centrality],"&gt;="&amp;J20)</f>
        <v>1</v>
      </c>
      <c r="L19" s="37">
        <f t="shared" si="5"/>
        <v>0.21900000000000008</v>
      </c>
      <c r="M19" s="38">
        <f>COUNTIF(Vertices[Closeness Centrality],"&gt;= "&amp;L19)-COUNTIF(Vertices[Closeness Centrality],"&gt;="&amp;L20)</f>
        <v>2</v>
      </c>
      <c r="N19" s="37">
        <f t="shared" si="6"/>
        <v>0.19132450000000006</v>
      </c>
      <c r="O19" s="38">
        <f>COUNTIF(Vertices[Eigenvector Centrality],"&gt;= "&amp;N19)-COUNTIF(Vertices[Eigenvector Centrality],"&gt;="&amp;N20)</f>
        <v>0</v>
      </c>
      <c r="P19" s="37">
        <f t="shared" si="7"/>
        <v>0.03341599999999999</v>
      </c>
      <c r="Q19" s="38">
        <f>COUNTIF(Vertices[PageRank],"&gt;= "&amp;P19)-COUNTIF(Vertices[PageRank],"&gt;="&amp;P20)</f>
        <v>0</v>
      </c>
      <c r="R19" s="37">
        <f t="shared" si="8"/>
        <v>0</v>
      </c>
      <c r="S19" s="42">
        <f>COUNTIF(Vertices[Clustering Coefficient],"&gt;= "&amp;R19)-COUNTIF(Vertices[Clustering Coefficient],"&gt;="&amp;R20)</f>
        <v>0</v>
      </c>
      <c r="T19" s="37" t="e">
        <f ca="1" t="shared" si="9"/>
        <v>#REF!</v>
      </c>
      <c r="U19" s="38" t="e">
        <f ca="1" t="shared" si="0"/>
        <v>#REF!</v>
      </c>
    </row>
    <row r="20" spans="1:21" ht="15">
      <c r="A20" s="32" t="s">
        <v>156</v>
      </c>
      <c r="B20" s="32">
        <v>6</v>
      </c>
      <c r="D20" s="30">
        <f t="shared" si="1"/>
        <v>0</v>
      </c>
      <c r="E20">
        <f>COUNTIF(Vertices[Degree],"&gt;= "&amp;D20)-COUNTIF(Vertices[Degree],"&gt;="&amp;D21)</f>
        <v>0</v>
      </c>
      <c r="F20" s="35">
        <f t="shared" si="2"/>
        <v>3.176470588235293</v>
      </c>
      <c r="G20" s="36">
        <f>COUNTIF(Vertices[In-Degree],"&gt;= "&amp;F20)-COUNTIF(Vertices[In-Degree],"&gt;="&amp;F21)</f>
        <v>0</v>
      </c>
      <c r="H20" s="35">
        <f t="shared" si="3"/>
        <v>2.6470588235294112</v>
      </c>
      <c r="I20" s="36">
        <f>COUNTIF(Vertices[Out-Degree],"&gt;= "&amp;H20)-COUNTIF(Vertices[Out-Degree],"&gt;="&amp;H21)</f>
        <v>0</v>
      </c>
      <c r="J20" s="35">
        <f t="shared" si="4"/>
        <v>170.02139029411762</v>
      </c>
      <c r="K20" s="36">
        <f>COUNTIF(Vertices[Betweenness Centrality],"&gt;= "&amp;J20)-COUNTIF(Vertices[Betweenness Centrality],"&gt;="&amp;J21)</f>
        <v>0</v>
      </c>
      <c r="L20" s="35">
        <f t="shared" si="5"/>
        <v>0.22721382352941186</v>
      </c>
      <c r="M20" s="36">
        <f>COUNTIF(Vertices[Closeness Centrality],"&gt;= "&amp;L20)-COUNTIF(Vertices[Closeness Centrality],"&gt;="&amp;L21)</f>
        <v>0</v>
      </c>
      <c r="N20" s="35">
        <f t="shared" si="6"/>
        <v>0.20257888235294125</v>
      </c>
      <c r="O20" s="36">
        <f>COUNTIF(Vertices[Eigenvector Centrality],"&gt;= "&amp;N20)-COUNTIF(Vertices[Eigenvector Centrality],"&gt;="&amp;N21)</f>
        <v>2</v>
      </c>
      <c r="P20" s="35">
        <f t="shared" si="7"/>
        <v>0.03393694117647057</v>
      </c>
      <c r="Q20" s="36">
        <f>COUNTIF(Vertices[PageRank],"&gt;= "&amp;P20)-COUNTIF(Vertices[PageRank],"&gt;="&amp;P21)</f>
        <v>1</v>
      </c>
      <c r="R20" s="35">
        <f t="shared" si="8"/>
        <v>0</v>
      </c>
      <c r="S20" s="41">
        <f>COUNTIF(Vertices[Clustering Coefficient],"&gt;= "&amp;R20)-COUNTIF(Vertices[Clustering Coefficient],"&gt;="&amp;R21)</f>
        <v>0</v>
      </c>
      <c r="T20" s="35" t="e">
        <f ca="1" t="shared" si="9"/>
        <v>#REF!</v>
      </c>
      <c r="U20" s="36" t="e">
        <f ca="1" t="shared" si="0"/>
        <v>#REF!</v>
      </c>
    </row>
    <row r="21" spans="1:21" ht="15">
      <c r="A21" s="32" t="s">
        <v>157</v>
      </c>
      <c r="B21" s="32">
        <v>3.123932</v>
      </c>
      <c r="D21" s="30">
        <f t="shared" si="1"/>
        <v>0</v>
      </c>
      <c r="E21">
        <f>COUNTIF(Vertices[Degree],"&gt;= "&amp;D21)-COUNTIF(Vertices[Degree],"&gt;="&amp;D22)</f>
        <v>0</v>
      </c>
      <c r="F21" s="37">
        <f t="shared" si="2"/>
        <v>3.352941176470587</v>
      </c>
      <c r="G21" s="38">
        <f>COUNTIF(Vertices[In-Degree],"&gt;= "&amp;F21)-COUNTIF(Vertices[In-Degree],"&gt;="&amp;F22)</f>
        <v>0</v>
      </c>
      <c r="H21" s="37">
        <f t="shared" si="3"/>
        <v>2.794117647058823</v>
      </c>
      <c r="I21" s="38">
        <f>COUNTIF(Vertices[Out-Degree],"&gt;= "&amp;H21)-COUNTIF(Vertices[Out-Degree],"&gt;="&amp;H22)</f>
        <v>0</v>
      </c>
      <c r="J21" s="37">
        <f t="shared" si="4"/>
        <v>179.46702308823527</v>
      </c>
      <c r="K21" s="38">
        <f>COUNTIF(Vertices[Betweenness Centrality],"&gt;= "&amp;J21)-COUNTIF(Vertices[Betweenness Centrality],"&gt;="&amp;J22)</f>
        <v>1</v>
      </c>
      <c r="L21" s="37">
        <f t="shared" si="5"/>
        <v>0.23542764705882363</v>
      </c>
      <c r="M21" s="38">
        <f>COUNTIF(Vertices[Closeness Centrality],"&gt;= "&amp;L21)-COUNTIF(Vertices[Closeness Centrality],"&gt;="&amp;L22)</f>
        <v>0</v>
      </c>
      <c r="N21" s="37">
        <f t="shared" si="6"/>
        <v>0.21383326470588243</v>
      </c>
      <c r="O21" s="38">
        <f>COUNTIF(Vertices[Eigenvector Centrality],"&gt;= "&amp;N21)-COUNTIF(Vertices[Eigenvector Centrality],"&gt;="&amp;N22)</f>
        <v>2</v>
      </c>
      <c r="P21" s="37">
        <f t="shared" si="7"/>
        <v>0.03445788235294116</v>
      </c>
      <c r="Q21" s="38">
        <f>COUNTIF(Vertices[PageRank],"&gt;= "&amp;P21)-COUNTIF(Vertices[PageRank],"&gt;="&amp;P22)</f>
        <v>2</v>
      </c>
      <c r="R21" s="37">
        <f t="shared" si="8"/>
        <v>0</v>
      </c>
      <c r="S21" s="42">
        <f>COUNTIF(Vertices[Clustering Coefficient],"&gt;= "&amp;R21)-COUNTIF(Vertices[Clustering Coefficient],"&gt;="&amp;R22)</f>
        <v>0</v>
      </c>
      <c r="T21" s="37" t="e">
        <f ca="1" t="shared" si="9"/>
        <v>#REF!</v>
      </c>
      <c r="U21" s="38" t="e">
        <f ca="1" t="shared" si="0"/>
        <v>#REF!</v>
      </c>
    </row>
    <row r="22" spans="1:21" ht="15">
      <c r="A22" s="108"/>
      <c r="B22" s="108"/>
      <c r="D22" s="30">
        <f t="shared" si="1"/>
        <v>0</v>
      </c>
      <c r="E22">
        <f>COUNTIF(Vertices[Degree],"&gt;= "&amp;D22)-COUNTIF(Vertices[Degree],"&gt;="&amp;D23)</f>
        <v>0</v>
      </c>
      <c r="F22" s="35">
        <f t="shared" si="2"/>
        <v>3.529411764705881</v>
      </c>
      <c r="G22" s="36">
        <f>COUNTIF(Vertices[In-Degree],"&gt;= "&amp;F22)-COUNTIF(Vertices[In-Degree],"&gt;="&amp;F23)</f>
        <v>0</v>
      </c>
      <c r="H22" s="35">
        <f t="shared" si="3"/>
        <v>2.9411764705882346</v>
      </c>
      <c r="I22" s="36">
        <f>COUNTIF(Vertices[Out-Degree],"&gt;= "&amp;H22)-COUNTIF(Vertices[Out-Degree],"&gt;="&amp;H23)</f>
        <v>0</v>
      </c>
      <c r="J22" s="35">
        <f t="shared" si="4"/>
        <v>188.9126558823529</v>
      </c>
      <c r="K22" s="36">
        <f>COUNTIF(Vertices[Betweenness Centrality],"&gt;= "&amp;J22)-COUNTIF(Vertices[Betweenness Centrality],"&gt;="&amp;J23)</f>
        <v>0</v>
      </c>
      <c r="L22" s="35">
        <f t="shared" si="5"/>
        <v>0.2436414705882354</v>
      </c>
      <c r="M22" s="36">
        <f>COUNTIF(Vertices[Closeness Centrality],"&gt;= "&amp;L22)-COUNTIF(Vertices[Closeness Centrality],"&gt;="&amp;L23)</f>
        <v>1</v>
      </c>
      <c r="N22" s="35">
        <f t="shared" si="6"/>
        <v>0.22508764705882361</v>
      </c>
      <c r="O22" s="36">
        <f>COUNTIF(Vertices[Eigenvector Centrality],"&gt;= "&amp;N22)-COUNTIF(Vertices[Eigenvector Centrality],"&gt;="&amp;N23)</f>
        <v>0</v>
      </c>
      <c r="P22" s="35">
        <f t="shared" si="7"/>
        <v>0.03497882352941174</v>
      </c>
      <c r="Q22" s="36">
        <f>COUNTIF(Vertices[PageRank],"&gt;= "&amp;P22)-COUNTIF(Vertices[PageRank],"&gt;="&amp;P23)</f>
        <v>1</v>
      </c>
      <c r="R22" s="35">
        <f t="shared" si="8"/>
        <v>0</v>
      </c>
      <c r="S22" s="41">
        <f>COUNTIF(Vertices[Clustering Coefficient],"&gt;= "&amp;R22)-COUNTIF(Vertices[Clustering Coefficient],"&gt;="&amp;R23)</f>
        <v>0</v>
      </c>
      <c r="T22" s="35" t="e">
        <f ca="1" t="shared" si="9"/>
        <v>#REF!</v>
      </c>
      <c r="U22" s="36" t="e">
        <f ca="1" t="shared" si="0"/>
        <v>#REF!</v>
      </c>
    </row>
    <row r="23" spans="1:21" ht="15">
      <c r="A23" s="32" t="s">
        <v>158</v>
      </c>
      <c r="B23" s="32">
        <v>0.03968253968253968</v>
      </c>
      <c r="D23" s="30">
        <f t="shared" si="1"/>
        <v>0</v>
      </c>
      <c r="E23">
        <f>COUNTIF(Vertices[Degree],"&gt;= "&amp;D23)-COUNTIF(Vertices[Degree],"&gt;="&amp;D24)</f>
        <v>0</v>
      </c>
      <c r="F23" s="37">
        <f t="shared" si="2"/>
        <v>3.705882352941175</v>
      </c>
      <c r="G23" s="38">
        <f>COUNTIF(Vertices[In-Degree],"&gt;= "&amp;F23)-COUNTIF(Vertices[In-Degree],"&gt;="&amp;F24)</f>
        <v>0</v>
      </c>
      <c r="H23" s="37">
        <f t="shared" si="3"/>
        <v>3.0882352941176463</v>
      </c>
      <c r="I23" s="38">
        <f>COUNTIF(Vertices[Out-Degree],"&gt;= "&amp;H23)-COUNTIF(Vertices[Out-Degree],"&gt;="&amp;H24)</f>
        <v>0</v>
      </c>
      <c r="J23" s="37">
        <f t="shared" si="4"/>
        <v>198.35828867647055</v>
      </c>
      <c r="K23" s="38">
        <f>COUNTIF(Vertices[Betweenness Centrality],"&gt;= "&amp;J23)-COUNTIF(Vertices[Betweenness Centrality],"&gt;="&amp;J24)</f>
        <v>0</v>
      </c>
      <c r="L23" s="37">
        <f t="shared" si="5"/>
        <v>0.2518552941176472</v>
      </c>
      <c r="M23" s="38">
        <f>COUNTIF(Vertices[Closeness Centrality],"&gt;= "&amp;L23)-COUNTIF(Vertices[Closeness Centrality],"&gt;="&amp;L24)</f>
        <v>1</v>
      </c>
      <c r="N23" s="37">
        <f t="shared" si="6"/>
        <v>0.2363420294117648</v>
      </c>
      <c r="O23" s="38">
        <f>COUNTIF(Vertices[Eigenvector Centrality],"&gt;= "&amp;N23)-COUNTIF(Vertices[Eigenvector Centrality],"&gt;="&amp;N24)</f>
        <v>0</v>
      </c>
      <c r="P23" s="37">
        <f t="shared" si="7"/>
        <v>0.03549976470588233</v>
      </c>
      <c r="Q23" s="38">
        <f>COUNTIF(Vertices[PageRank],"&gt;= "&amp;P23)-COUNTIF(Vertices[PageRank],"&gt;="&amp;P24)</f>
        <v>0</v>
      </c>
      <c r="R23" s="37">
        <f t="shared" si="8"/>
        <v>0</v>
      </c>
      <c r="S23" s="42">
        <f>COUNTIF(Vertices[Clustering Coefficient],"&gt;= "&amp;R23)-COUNTIF(Vertices[Clustering Coefficient],"&gt;="&amp;R24)</f>
        <v>0</v>
      </c>
      <c r="T23" s="37" t="e">
        <f ca="1" t="shared" si="9"/>
        <v>#REF!</v>
      </c>
      <c r="U23" s="38" t="e">
        <f ca="1" t="shared" si="0"/>
        <v>#REF!</v>
      </c>
    </row>
    <row r="24" spans="1:21" ht="15">
      <c r="A24" s="32" t="s">
        <v>275</v>
      </c>
      <c r="B24" s="32">
        <v>0.5266</v>
      </c>
      <c r="D24" s="30">
        <f t="shared" si="1"/>
        <v>0</v>
      </c>
      <c r="E24">
        <f>COUNTIF(Vertices[Degree],"&gt;= "&amp;D24)-COUNTIF(Vertices[Degree],"&gt;="&amp;D25)</f>
        <v>0</v>
      </c>
      <c r="F24" s="35">
        <f t="shared" si="2"/>
        <v>3.882352941176469</v>
      </c>
      <c r="G24" s="36">
        <f>COUNTIF(Vertices[In-Degree],"&gt;= "&amp;F24)-COUNTIF(Vertices[In-Degree],"&gt;="&amp;F25)</f>
        <v>1</v>
      </c>
      <c r="H24" s="35">
        <f t="shared" si="3"/>
        <v>3.235294117647058</v>
      </c>
      <c r="I24" s="36">
        <f>COUNTIF(Vertices[Out-Degree],"&gt;= "&amp;H24)-COUNTIF(Vertices[Out-Degree],"&gt;="&amp;H25)</f>
        <v>0</v>
      </c>
      <c r="J24" s="35">
        <f t="shared" si="4"/>
        <v>207.8039214705882</v>
      </c>
      <c r="K24" s="36">
        <f>COUNTIF(Vertices[Betweenness Centrality],"&gt;= "&amp;J24)-COUNTIF(Vertices[Betweenness Centrality],"&gt;="&amp;J25)</f>
        <v>0</v>
      </c>
      <c r="L24" s="35">
        <f t="shared" si="5"/>
        <v>0.2600691176470589</v>
      </c>
      <c r="M24" s="36">
        <f>COUNTIF(Vertices[Closeness Centrality],"&gt;= "&amp;L24)-COUNTIF(Vertices[Closeness Centrality],"&gt;="&amp;L25)</f>
        <v>0</v>
      </c>
      <c r="N24" s="35">
        <f t="shared" si="6"/>
        <v>0.24759641176470598</v>
      </c>
      <c r="O24" s="36">
        <f>COUNTIF(Vertices[Eigenvector Centrality],"&gt;= "&amp;N24)-COUNTIF(Vertices[Eigenvector Centrality],"&gt;="&amp;N25)</f>
        <v>0</v>
      </c>
      <c r="P24" s="35">
        <f t="shared" si="7"/>
        <v>0.03602070588235291</v>
      </c>
      <c r="Q24" s="36">
        <f>COUNTIF(Vertices[PageRank],"&gt;= "&amp;P24)-COUNTIF(Vertices[PageRank],"&gt;="&amp;P25)</f>
        <v>0</v>
      </c>
      <c r="R24" s="35">
        <f t="shared" si="8"/>
        <v>0</v>
      </c>
      <c r="S24" s="41">
        <f>COUNTIF(Vertices[Clustering Coefficient],"&gt;= "&amp;R24)-COUNTIF(Vertices[Clustering Coefficient],"&gt;="&amp;R25)</f>
        <v>0</v>
      </c>
      <c r="T24" s="35" t="e">
        <f ca="1" t="shared" si="9"/>
        <v>#REF!</v>
      </c>
      <c r="U24" s="36" t="e">
        <f ca="1" t="shared" si="0"/>
        <v>#REF!</v>
      </c>
    </row>
    <row r="25" spans="1:21" ht="15">
      <c r="A25" s="108"/>
      <c r="B25" s="108"/>
      <c r="D25" s="30">
        <f t="shared" si="1"/>
        <v>0</v>
      </c>
      <c r="E25">
        <f>COUNTIF(Vertices[Degree],"&gt;= "&amp;D25)-COUNTIF(Vertices[Degree],"&gt;="&amp;D26)</f>
        <v>0</v>
      </c>
      <c r="F25" s="37">
        <f t="shared" si="2"/>
        <v>4.058823529411763</v>
      </c>
      <c r="G25" s="38">
        <f>COUNTIF(Vertices[In-Degree],"&gt;= "&amp;F25)-COUNTIF(Vertices[In-Degree],"&gt;="&amp;F26)</f>
        <v>0</v>
      </c>
      <c r="H25" s="37">
        <f t="shared" si="3"/>
        <v>3.3823529411764697</v>
      </c>
      <c r="I25" s="38">
        <f>COUNTIF(Vertices[Out-Degree],"&gt;= "&amp;H25)-COUNTIF(Vertices[Out-Degree],"&gt;="&amp;H26)</f>
        <v>0</v>
      </c>
      <c r="J25" s="37">
        <f t="shared" si="4"/>
        <v>217.24955426470584</v>
      </c>
      <c r="K25" s="38">
        <f>COUNTIF(Vertices[Betweenness Centrality],"&gt;= "&amp;J25)-COUNTIF(Vertices[Betweenness Centrality],"&gt;="&amp;J26)</f>
        <v>0</v>
      </c>
      <c r="L25" s="37">
        <f t="shared" si="5"/>
        <v>0.26828294117647067</v>
      </c>
      <c r="M25" s="38">
        <f>COUNTIF(Vertices[Closeness Centrality],"&gt;= "&amp;L25)-COUNTIF(Vertices[Closeness Centrality],"&gt;="&amp;L26)</f>
        <v>6</v>
      </c>
      <c r="N25" s="37">
        <f t="shared" si="6"/>
        <v>0.25885079411764716</v>
      </c>
      <c r="O25" s="38">
        <f>COUNTIF(Vertices[Eigenvector Centrality],"&gt;= "&amp;N25)-COUNTIF(Vertices[Eigenvector Centrality],"&gt;="&amp;N26)</f>
        <v>1</v>
      </c>
      <c r="P25" s="37">
        <f t="shared" si="7"/>
        <v>0.0365416470588235</v>
      </c>
      <c r="Q25" s="38">
        <f>COUNTIF(Vertices[PageRank],"&gt;= "&amp;P25)-COUNTIF(Vertices[PageRank],"&gt;="&amp;P26)</f>
        <v>0</v>
      </c>
      <c r="R25" s="37">
        <f t="shared" si="8"/>
        <v>0</v>
      </c>
      <c r="S25" s="42">
        <f>COUNTIF(Vertices[Clustering Coefficient],"&gt;= "&amp;R25)-COUNTIF(Vertices[Clustering Coefficient],"&gt;="&amp;R26)</f>
        <v>0</v>
      </c>
      <c r="T25" s="37" t="e">
        <f ca="1" t="shared" si="9"/>
        <v>#REF!</v>
      </c>
      <c r="U25" s="38" t="e">
        <f ca="1" t="shared" si="0"/>
        <v>#REF!</v>
      </c>
    </row>
    <row r="26" spans="1:21" ht="15">
      <c r="A26" s="32" t="s">
        <v>276</v>
      </c>
      <c r="B26" s="32" t="s">
        <v>291</v>
      </c>
      <c r="D26" s="30">
        <f t="shared" si="1"/>
        <v>0</v>
      </c>
      <c r="E26">
        <f>COUNTIF(Vertices[Degree],"&gt;= "&amp;D26)-COUNTIF(Vertices[Degree],"&gt;="&amp;D27)</f>
        <v>0</v>
      </c>
      <c r="F26" s="35">
        <f t="shared" si="2"/>
        <v>4.235294117647057</v>
      </c>
      <c r="G26" s="36">
        <f>COUNTIF(Vertices[In-Degree],"&gt;= "&amp;F26)-COUNTIF(Vertices[In-Degree],"&gt;="&amp;F27)</f>
        <v>0</v>
      </c>
      <c r="H26" s="35">
        <f t="shared" si="3"/>
        <v>3.5294117647058814</v>
      </c>
      <c r="I26" s="36">
        <f>COUNTIF(Vertices[Out-Degree],"&gt;= "&amp;H26)-COUNTIF(Vertices[Out-Degree],"&gt;="&amp;H27)</f>
        <v>0</v>
      </c>
      <c r="J26" s="35">
        <f t="shared" si="4"/>
        <v>226.69518705882348</v>
      </c>
      <c r="K26" s="36">
        <f>COUNTIF(Vertices[Betweenness Centrality],"&gt;= "&amp;J26)-COUNTIF(Vertices[Betweenness Centrality],"&gt;="&amp;J27)</f>
        <v>0</v>
      </c>
      <c r="L26" s="35">
        <f t="shared" si="5"/>
        <v>0.2764967647058824</v>
      </c>
      <c r="M26" s="36">
        <f>COUNTIF(Vertices[Closeness Centrality],"&gt;= "&amp;L26)-COUNTIF(Vertices[Closeness Centrality],"&gt;="&amp;L27)</f>
        <v>1</v>
      </c>
      <c r="N26" s="35">
        <f t="shared" si="6"/>
        <v>0.27010517647058835</v>
      </c>
      <c r="O26" s="36">
        <f>COUNTIF(Vertices[Eigenvector Centrality],"&gt;= "&amp;N26)-COUNTIF(Vertices[Eigenvector Centrality],"&gt;="&amp;N27)</f>
        <v>1</v>
      </c>
      <c r="P26" s="35">
        <f t="shared" si="7"/>
        <v>0.03706258823529408</v>
      </c>
      <c r="Q26" s="36">
        <f>COUNTIF(Vertices[PageRank],"&gt;= "&amp;P26)-COUNTIF(Vertices[PageRank],"&gt;="&amp;P27)</f>
        <v>0</v>
      </c>
      <c r="R26" s="35">
        <f t="shared" si="8"/>
        <v>0</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108"/>
      <c r="B27" s="108"/>
      <c r="D27" s="30">
        <f t="shared" si="1"/>
        <v>0</v>
      </c>
      <c r="E27">
        <f>COUNTIF(Vertices[Degree],"&gt;= "&amp;D27)-COUNTIF(Vertices[Degree],"&gt;="&amp;D28)</f>
        <v>0</v>
      </c>
      <c r="F27" s="37">
        <f t="shared" si="2"/>
        <v>4.4117647058823515</v>
      </c>
      <c r="G27" s="38">
        <f>COUNTIF(Vertices[In-Degree],"&gt;= "&amp;F27)-COUNTIF(Vertices[In-Degree],"&gt;="&amp;F28)</f>
        <v>0</v>
      </c>
      <c r="H27" s="37">
        <f t="shared" si="3"/>
        <v>3.676470588235293</v>
      </c>
      <c r="I27" s="38">
        <f>COUNTIF(Vertices[Out-Degree],"&gt;= "&amp;H27)-COUNTIF(Vertices[Out-Degree],"&gt;="&amp;H28)</f>
        <v>0</v>
      </c>
      <c r="J27" s="37">
        <f t="shared" si="4"/>
        <v>236.14081985294112</v>
      </c>
      <c r="K27" s="38">
        <f>COUNTIF(Vertices[Betweenness Centrality],"&gt;= "&amp;J27)-COUNTIF(Vertices[Betweenness Centrality],"&gt;="&amp;J28)</f>
        <v>0</v>
      </c>
      <c r="L27" s="37">
        <f t="shared" si="5"/>
        <v>0.28471058823529416</v>
      </c>
      <c r="M27" s="38">
        <f>COUNTIF(Vertices[Closeness Centrality],"&gt;= "&amp;L27)-COUNTIF(Vertices[Closeness Centrality],"&gt;="&amp;L28)</f>
        <v>1</v>
      </c>
      <c r="N27" s="37">
        <f t="shared" si="6"/>
        <v>0.28135955882352953</v>
      </c>
      <c r="O27" s="38">
        <f>COUNTIF(Vertices[Eigenvector Centrality],"&gt;= "&amp;N27)-COUNTIF(Vertices[Eigenvector Centrality],"&gt;="&amp;N28)</f>
        <v>1</v>
      </c>
      <c r="P27" s="37">
        <f t="shared" si="7"/>
        <v>0.03758352941176467</v>
      </c>
      <c r="Q27" s="38">
        <f>COUNTIF(Vertices[PageRank],"&gt;= "&amp;P27)-COUNTIF(Vertices[PageRank],"&gt;="&amp;P28)</f>
        <v>0</v>
      </c>
      <c r="R27" s="37">
        <f t="shared" si="8"/>
        <v>0</v>
      </c>
      <c r="S27" s="42">
        <f>COUNTIF(Vertices[Clustering Coefficient],"&gt;= "&amp;R27)-COUNTIF(Vertices[Clustering Coefficient],"&gt;="&amp;R28)</f>
        <v>0</v>
      </c>
      <c r="T27" s="37" t="e">
        <f ca="1" t="shared" si="9"/>
        <v>#REF!</v>
      </c>
      <c r="U27" s="38" t="e">
        <f ca="1" t="shared" si="10"/>
        <v>#REF!</v>
      </c>
    </row>
    <row r="28" spans="1:21" ht="15">
      <c r="A28" s="32" t="s">
        <v>277</v>
      </c>
      <c r="B28" s="32" t="s">
        <v>309</v>
      </c>
      <c r="D28" s="30">
        <f t="shared" si="1"/>
        <v>0</v>
      </c>
      <c r="E28">
        <f>COUNTIF(Vertices[Degree],"&gt;= "&amp;D28)-COUNTIF(Vertices[Degree],"&gt;="&amp;D29)</f>
        <v>0</v>
      </c>
      <c r="F28" s="35">
        <f t="shared" si="2"/>
        <v>4.588235294117646</v>
      </c>
      <c r="G28" s="36">
        <f>COUNTIF(Vertices[In-Degree],"&gt;= "&amp;F28)-COUNTIF(Vertices[In-Degree],"&gt;="&amp;F29)</f>
        <v>0</v>
      </c>
      <c r="H28" s="35">
        <f t="shared" si="3"/>
        <v>3.8235294117647047</v>
      </c>
      <c r="I28" s="36">
        <f>COUNTIF(Vertices[Out-Degree],"&gt;= "&amp;H28)-COUNTIF(Vertices[Out-Degree],"&gt;="&amp;H29)</f>
        <v>0</v>
      </c>
      <c r="J28" s="35">
        <f t="shared" si="4"/>
        <v>245.58645264705876</v>
      </c>
      <c r="K28" s="36">
        <f>COUNTIF(Vertices[Betweenness Centrality],"&gt;= "&amp;J28)-COUNTIF(Vertices[Betweenness Centrality],"&gt;="&amp;J29)</f>
        <v>0</v>
      </c>
      <c r="L28" s="35">
        <f t="shared" si="5"/>
        <v>0.2929244117647059</v>
      </c>
      <c r="M28" s="36">
        <f>COUNTIF(Vertices[Closeness Centrality],"&gt;= "&amp;L28)-COUNTIF(Vertices[Closeness Centrality],"&gt;="&amp;L29)</f>
        <v>0</v>
      </c>
      <c r="N28" s="35">
        <f t="shared" si="6"/>
        <v>0.2926139411764707</v>
      </c>
      <c r="O28" s="36">
        <f>COUNTIF(Vertices[Eigenvector Centrality],"&gt;= "&amp;N28)-COUNTIF(Vertices[Eigenvector Centrality],"&gt;="&amp;N29)</f>
        <v>0</v>
      </c>
      <c r="P28" s="35">
        <f t="shared" si="7"/>
        <v>0.038104470588235254</v>
      </c>
      <c r="Q28" s="36">
        <f>COUNTIF(Vertices[PageRank],"&gt;= "&amp;P28)-COUNTIF(Vertices[PageRank],"&gt;="&amp;P29)</f>
        <v>0</v>
      </c>
      <c r="R28" s="35">
        <f t="shared" si="8"/>
        <v>0</v>
      </c>
      <c r="S28" s="41">
        <f>COUNTIF(Vertices[Clustering Coefficient],"&gt;= "&amp;R28)-COUNTIF(Vertices[Clustering Coefficient],"&gt;="&amp;R29)</f>
        <v>0</v>
      </c>
      <c r="T28" s="35" t="e">
        <f ca="1" t="shared" si="9"/>
        <v>#REF!</v>
      </c>
      <c r="U28" s="36" t="e">
        <f ca="1" t="shared" si="10"/>
        <v>#REF!</v>
      </c>
    </row>
    <row r="29" spans="1:21" ht="15">
      <c r="A29" s="32" t="s">
        <v>278</v>
      </c>
      <c r="B29" s="32" t="s">
        <v>310</v>
      </c>
      <c r="D29" s="30">
        <f t="shared" si="1"/>
        <v>0</v>
      </c>
      <c r="E29">
        <f>COUNTIF(Vertices[Degree],"&gt;= "&amp;D29)-COUNTIF(Vertices[Degree],"&gt;="&amp;D30)</f>
        <v>0</v>
      </c>
      <c r="F29" s="37">
        <f t="shared" si="2"/>
        <v>4.76470588235294</v>
      </c>
      <c r="G29" s="38">
        <f>COUNTIF(Vertices[In-Degree],"&gt;= "&amp;F29)-COUNTIF(Vertices[In-Degree],"&gt;="&amp;F30)</f>
        <v>0</v>
      </c>
      <c r="H29" s="37">
        <f t="shared" si="3"/>
        <v>3.9705882352941164</v>
      </c>
      <c r="I29" s="38">
        <f>COUNTIF(Vertices[Out-Degree],"&gt;= "&amp;H29)-COUNTIF(Vertices[Out-Degree],"&gt;="&amp;H30)</f>
        <v>0</v>
      </c>
      <c r="J29" s="37">
        <f t="shared" si="4"/>
        <v>255.0320854411764</v>
      </c>
      <c r="K29" s="38">
        <f>COUNTIF(Vertices[Betweenness Centrality],"&gt;= "&amp;J29)-COUNTIF(Vertices[Betweenness Centrality],"&gt;="&amp;J30)</f>
        <v>0</v>
      </c>
      <c r="L29" s="37">
        <f t="shared" si="5"/>
        <v>0.30113823529411765</v>
      </c>
      <c r="M29" s="38">
        <f>COUNTIF(Vertices[Closeness Centrality],"&gt;= "&amp;L29)-COUNTIF(Vertices[Closeness Centrality],"&gt;="&amp;L30)</f>
        <v>0</v>
      </c>
      <c r="N29" s="37">
        <f t="shared" si="6"/>
        <v>0.3038683235294119</v>
      </c>
      <c r="O29" s="38">
        <f>COUNTIF(Vertices[Eigenvector Centrality],"&gt;= "&amp;N29)-COUNTIF(Vertices[Eigenvector Centrality],"&gt;="&amp;N30)</f>
        <v>0</v>
      </c>
      <c r="P29" s="37">
        <f t="shared" si="7"/>
        <v>0.03862541176470584</v>
      </c>
      <c r="Q29" s="38">
        <f>COUNTIF(Vertices[PageRank],"&gt;= "&amp;P29)-COUNTIF(Vertices[PageRank],"&gt;="&amp;P30)</f>
        <v>0</v>
      </c>
      <c r="R29" s="37">
        <f t="shared" si="8"/>
        <v>0</v>
      </c>
      <c r="S29" s="42">
        <f>COUNTIF(Vertices[Clustering Coefficient],"&gt;= "&amp;R29)-COUNTIF(Vertices[Clustering Coefficient],"&gt;="&amp;R30)</f>
        <v>0</v>
      </c>
      <c r="T29" s="37" t="e">
        <f ca="1" t="shared" si="9"/>
        <v>#REF!</v>
      </c>
      <c r="U29" s="38" t="e">
        <f ca="1" t="shared" si="10"/>
        <v>#REF!</v>
      </c>
    </row>
    <row r="30" spans="1:21" ht="15">
      <c r="A30" s="108"/>
      <c r="B30" s="108"/>
      <c r="D30" s="30">
        <f t="shared" si="1"/>
        <v>0</v>
      </c>
      <c r="E30">
        <f>COUNTIF(Vertices[Degree],"&gt;= "&amp;D30)-COUNTIF(Vertices[Degree],"&gt;="&amp;D31)</f>
        <v>0</v>
      </c>
      <c r="F30" s="35">
        <f t="shared" si="2"/>
        <v>4.941176470588235</v>
      </c>
      <c r="G30" s="36">
        <f>COUNTIF(Vertices[In-Degree],"&gt;= "&amp;F30)-COUNTIF(Vertices[In-Degree],"&gt;="&amp;F31)</f>
        <v>2</v>
      </c>
      <c r="H30" s="35">
        <f t="shared" si="3"/>
        <v>4.117647058823528</v>
      </c>
      <c r="I30" s="36">
        <f>COUNTIF(Vertices[Out-Degree],"&gt;= "&amp;H30)-COUNTIF(Vertices[Out-Degree],"&gt;="&amp;H31)</f>
        <v>0</v>
      </c>
      <c r="J30" s="35">
        <f t="shared" si="4"/>
        <v>264.47771823529405</v>
      </c>
      <c r="K30" s="36">
        <f>COUNTIF(Vertices[Betweenness Centrality],"&gt;= "&amp;J30)-COUNTIF(Vertices[Betweenness Centrality],"&gt;="&amp;J31)</f>
        <v>0</v>
      </c>
      <c r="L30" s="35">
        <f t="shared" si="5"/>
        <v>0.3093520588235294</v>
      </c>
      <c r="M30" s="36">
        <f>COUNTIF(Vertices[Closeness Centrality],"&gt;= "&amp;L30)-COUNTIF(Vertices[Closeness Centrality],"&gt;="&amp;L31)</f>
        <v>1</v>
      </c>
      <c r="N30" s="35">
        <f t="shared" si="6"/>
        <v>0.3151227058823531</v>
      </c>
      <c r="O30" s="36">
        <f>COUNTIF(Vertices[Eigenvector Centrality],"&gt;= "&amp;N30)-COUNTIF(Vertices[Eigenvector Centrality],"&gt;="&amp;N31)</f>
        <v>1</v>
      </c>
      <c r="P30" s="35">
        <f t="shared" si="7"/>
        <v>0.039146352941176424</v>
      </c>
      <c r="Q30" s="36">
        <f>COUNTIF(Vertices[PageRank],"&gt;= "&amp;P30)-COUNTIF(Vertices[PageRank],"&gt;="&amp;P31)</f>
        <v>0</v>
      </c>
      <c r="R30" s="35">
        <f t="shared" si="8"/>
        <v>0</v>
      </c>
      <c r="S30" s="41">
        <f>COUNTIF(Vertices[Clustering Coefficient],"&gt;= "&amp;R30)-COUNTIF(Vertices[Clustering Coefficient],"&gt;="&amp;R31)</f>
        <v>0</v>
      </c>
      <c r="T30" s="35" t="e">
        <f ca="1" t="shared" si="9"/>
        <v>#REF!</v>
      </c>
      <c r="U30" s="36" t="e">
        <f ca="1" t="shared" si="10"/>
        <v>#REF!</v>
      </c>
    </row>
    <row r="31" spans="1:21" ht="15">
      <c r="A31" s="32" t="s">
        <v>279</v>
      </c>
      <c r="B31" s="32" t="s">
        <v>304</v>
      </c>
      <c r="D31" s="30">
        <f t="shared" si="1"/>
        <v>0</v>
      </c>
      <c r="E31">
        <f>COUNTIF(Vertices[Degree],"&gt;= "&amp;D31)-COUNTIF(Vertices[Degree],"&gt;="&amp;D32)</f>
        <v>0</v>
      </c>
      <c r="F31" s="37">
        <f t="shared" si="2"/>
        <v>5.117647058823529</v>
      </c>
      <c r="G31" s="38">
        <f>COUNTIF(Vertices[In-Degree],"&gt;= "&amp;F31)-COUNTIF(Vertices[In-Degree],"&gt;="&amp;F32)</f>
        <v>0</v>
      </c>
      <c r="H31" s="37">
        <f t="shared" si="3"/>
        <v>4.26470588235294</v>
      </c>
      <c r="I31" s="38">
        <f>COUNTIF(Vertices[Out-Degree],"&gt;= "&amp;H31)-COUNTIF(Vertices[Out-Degree],"&gt;="&amp;H32)</f>
        <v>0</v>
      </c>
      <c r="J31" s="37">
        <f t="shared" si="4"/>
        <v>273.9233510294117</v>
      </c>
      <c r="K31" s="38">
        <f>COUNTIF(Vertices[Betweenness Centrality],"&gt;= "&amp;J31)-COUNTIF(Vertices[Betweenness Centrality],"&gt;="&amp;J32)</f>
        <v>0</v>
      </c>
      <c r="L31" s="37">
        <f t="shared" si="5"/>
        <v>0.31756588235294114</v>
      </c>
      <c r="M31" s="38">
        <f>COUNTIF(Vertices[Closeness Centrality],"&gt;= "&amp;L31)-COUNTIF(Vertices[Closeness Centrality],"&gt;="&amp;L32)</f>
        <v>1</v>
      </c>
      <c r="N31" s="37">
        <f t="shared" si="6"/>
        <v>0.32637708823529427</v>
      </c>
      <c r="O31" s="38">
        <f>COUNTIF(Vertices[Eigenvector Centrality],"&gt;= "&amp;N31)-COUNTIF(Vertices[Eigenvector Centrality],"&gt;="&amp;N32)</f>
        <v>0</v>
      </c>
      <c r="P31" s="37">
        <f t="shared" si="7"/>
        <v>0.03966729411764701</v>
      </c>
      <c r="Q31" s="38">
        <f>COUNTIF(Vertices[PageRank],"&gt;= "&amp;P31)-COUNTIF(Vertices[PageRank],"&gt;="&amp;P32)</f>
        <v>0</v>
      </c>
      <c r="R31" s="37">
        <f t="shared" si="8"/>
        <v>0</v>
      </c>
      <c r="S31" s="42">
        <f>COUNTIF(Vertices[Clustering Coefficient],"&gt;= "&amp;R31)-COUNTIF(Vertices[Clustering Coefficient],"&gt;="&amp;R32)</f>
        <v>0</v>
      </c>
      <c r="T31" s="37" t="e">
        <f ca="1" t="shared" si="9"/>
        <v>#REF!</v>
      </c>
      <c r="U31" s="38" t="e">
        <f ca="1" t="shared" si="10"/>
        <v>#REF!</v>
      </c>
    </row>
    <row r="32" spans="1:21" ht="15">
      <c r="A32" s="32" t="s">
        <v>280</v>
      </c>
      <c r="B32" s="32"/>
      <c r="D32" s="30">
        <f t="shared" si="1"/>
        <v>0</v>
      </c>
      <c r="E32">
        <f>COUNTIF(Vertices[Degree],"&gt;= "&amp;D32)-COUNTIF(Vertices[Degree],"&gt;="&amp;D33)</f>
        <v>0</v>
      </c>
      <c r="F32" s="35">
        <f t="shared" si="2"/>
        <v>5.294117647058823</v>
      </c>
      <c r="G32" s="36">
        <f>COUNTIF(Vertices[In-Degree],"&gt;= "&amp;F32)-COUNTIF(Vertices[In-Degree],"&gt;="&amp;F33)</f>
        <v>0</v>
      </c>
      <c r="H32" s="35">
        <f t="shared" si="3"/>
        <v>4.411764705882352</v>
      </c>
      <c r="I32" s="36">
        <f>COUNTIF(Vertices[Out-Degree],"&gt;= "&amp;H32)-COUNTIF(Vertices[Out-Degree],"&gt;="&amp;H33)</f>
        <v>0</v>
      </c>
      <c r="J32" s="35">
        <f t="shared" si="4"/>
        <v>283.3689838235294</v>
      </c>
      <c r="K32" s="36">
        <f>COUNTIF(Vertices[Betweenness Centrality],"&gt;= "&amp;J32)-COUNTIF(Vertices[Betweenness Centrality],"&gt;="&amp;J33)</f>
        <v>0</v>
      </c>
      <c r="L32" s="35">
        <f t="shared" si="5"/>
        <v>0.3257797058823529</v>
      </c>
      <c r="M32" s="36">
        <f>COUNTIF(Vertices[Closeness Centrality],"&gt;= "&amp;L32)-COUNTIF(Vertices[Closeness Centrality],"&gt;="&amp;L33)</f>
        <v>1</v>
      </c>
      <c r="N32" s="35">
        <f t="shared" si="6"/>
        <v>0.33763147058823545</v>
      </c>
      <c r="O32" s="36">
        <f>COUNTIF(Vertices[Eigenvector Centrality],"&gt;= "&amp;N32)-COUNTIF(Vertices[Eigenvector Centrality],"&gt;="&amp;N33)</f>
        <v>0</v>
      </c>
      <c r="P32" s="35">
        <f t="shared" si="7"/>
        <v>0.040188235294117594</v>
      </c>
      <c r="Q32" s="36">
        <f>COUNTIF(Vertices[PageRank],"&gt;= "&amp;P32)-COUNTIF(Vertices[PageRank],"&gt;="&amp;P33)</f>
        <v>0</v>
      </c>
      <c r="R32" s="35">
        <f t="shared" si="8"/>
        <v>0</v>
      </c>
      <c r="S32" s="41">
        <f>COUNTIF(Vertices[Clustering Coefficient],"&gt;= "&amp;R32)-COUNTIF(Vertices[Clustering Coefficient],"&gt;="&amp;R33)</f>
        <v>0</v>
      </c>
      <c r="T32" s="35" t="e">
        <f ca="1" t="shared" si="9"/>
        <v>#REF!</v>
      </c>
      <c r="U32" s="36" t="e">
        <f ca="1" t="shared" si="10"/>
        <v>#REF!</v>
      </c>
    </row>
    <row r="33" spans="1:21" ht="15">
      <c r="A33" s="32" t="s">
        <v>281</v>
      </c>
      <c r="B33" s="32" t="s">
        <v>305</v>
      </c>
      <c r="D33" s="30">
        <f t="shared" si="1"/>
        <v>0</v>
      </c>
      <c r="E33">
        <f>COUNTIF(Vertices[Degree],"&gt;= "&amp;D33)-COUNTIF(Vertices[Degree],"&gt;="&amp;D34)</f>
        <v>0</v>
      </c>
      <c r="F33" s="37">
        <f t="shared" si="2"/>
        <v>5.470588235294118</v>
      </c>
      <c r="G33" s="38">
        <f>COUNTIF(Vertices[In-Degree],"&gt;= "&amp;F33)-COUNTIF(Vertices[In-Degree],"&gt;="&amp;F34)</f>
        <v>0</v>
      </c>
      <c r="H33" s="37">
        <f t="shared" si="3"/>
        <v>4.5588235294117645</v>
      </c>
      <c r="I33" s="38">
        <f>COUNTIF(Vertices[Out-Degree],"&gt;= "&amp;H33)-COUNTIF(Vertices[Out-Degree],"&gt;="&amp;H34)</f>
        <v>0</v>
      </c>
      <c r="J33" s="37">
        <f t="shared" si="4"/>
        <v>292.81461661764706</v>
      </c>
      <c r="K33" s="38">
        <f>COUNTIF(Vertices[Betweenness Centrality],"&gt;= "&amp;J33)-COUNTIF(Vertices[Betweenness Centrality],"&gt;="&amp;J34)</f>
        <v>0</v>
      </c>
      <c r="L33" s="37">
        <f t="shared" si="5"/>
        <v>0.33399352941176463</v>
      </c>
      <c r="M33" s="38">
        <f>COUNTIF(Vertices[Closeness Centrality],"&gt;= "&amp;L33)-COUNTIF(Vertices[Closeness Centrality],"&gt;="&amp;L34)</f>
        <v>0</v>
      </c>
      <c r="N33" s="37">
        <f t="shared" si="6"/>
        <v>0.34888585294117663</v>
      </c>
      <c r="O33" s="38">
        <f>COUNTIF(Vertices[Eigenvector Centrality],"&gt;= "&amp;N33)-COUNTIF(Vertices[Eigenvector Centrality],"&gt;="&amp;N34)</f>
        <v>1</v>
      </c>
      <c r="P33" s="37">
        <f t="shared" si="7"/>
        <v>0.04070917647058818</v>
      </c>
      <c r="Q33" s="38">
        <f>COUNTIF(Vertices[PageRank],"&gt;= "&amp;P33)-COUNTIF(Vertices[PageRank],"&gt;="&amp;P34)</f>
        <v>0</v>
      </c>
      <c r="R33" s="37">
        <f t="shared" si="8"/>
        <v>0</v>
      </c>
      <c r="S33" s="42">
        <f>COUNTIF(Vertices[Clustering Coefficient],"&gt;= "&amp;R33)-COUNTIF(Vertices[Clustering Coefficient],"&gt;="&amp;R34)</f>
        <v>0</v>
      </c>
      <c r="T33" s="37" t="e">
        <f ca="1" t="shared" si="9"/>
        <v>#REF!</v>
      </c>
      <c r="U33" s="38" t="e">
        <f ca="1" t="shared" si="10"/>
        <v>#REF!</v>
      </c>
    </row>
    <row r="34" spans="1:21" ht="15">
      <c r="A34" s="32" t="s">
        <v>282</v>
      </c>
      <c r="B34" s="32" t="s">
        <v>306</v>
      </c>
      <c r="D34" s="30">
        <f t="shared" si="1"/>
        <v>0</v>
      </c>
      <c r="E34">
        <f>COUNTIF(Vertices[Degree],"&gt;= "&amp;D34)-COUNTIF(Vertices[Degree],"&gt;="&amp;D35)</f>
        <v>0</v>
      </c>
      <c r="F34" s="35">
        <f t="shared" si="2"/>
        <v>5.647058823529412</v>
      </c>
      <c r="G34" s="36">
        <f>COUNTIF(Vertices[In-Degree],"&gt;= "&amp;F34)-COUNTIF(Vertices[In-Degree],"&gt;="&amp;F35)</f>
        <v>0</v>
      </c>
      <c r="H34" s="35">
        <f t="shared" si="3"/>
        <v>4.705882352941177</v>
      </c>
      <c r="I34" s="36">
        <f>COUNTIF(Vertices[Out-Degree],"&gt;= "&amp;H34)-COUNTIF(Vertices[Out-Degree],"&gt;="&amp;H35)</f>
        <v>0</v>
      </c>
      <c r="J34" s="35">
        <f t="shared" si="4"/>
        <v>302.26024941176473</v>
      </c>
      <c r="K34" s="36">
        <f>COUNTIF(Vertices[Betweenness Centrality],"&gt;= "&amp;J34)-COUNTIF(Vertices[Betweenness Centrality],"&gt;="&amp;J35)</f>
        <v>0</v>
      </c>
      <c r="L34" s="35">
        <f t="shared" si="5"/>
        <v>0.3422073529411764</v>
      </c>
      <c r="M34" s="36">
        <f>COUNTIF(Vertices[Closeness Centrality],"&gt;= "&amp;L34)-COUNTIF(Vertices[Closeness Centrality],"&gt;="&amp;L35)</f>
        <v>3</v>
      </c>
      <c r="N34" s="35">
        <f t="shared" si="6"/>
        <v>0.3601402352941178</v>
      </c>
      <c r="O34" s="36">
        <f>COUNTIF(Vertices[Eigenvector Centrality],"&gt;= "&amp;N34)-COUNTIF(Vertices[Eigenvector Centrality],"&gt;="&amp;N35)</f>
        <v>0</v>
      </c>
      <c r="P34" s="35">
        <f t="shared" si="7"/>
        <v>0.041230117647058764</v>
      </c>
      <c r="Q34" s="36">
        <f>COUNTIF(Vertices[PageRank],"&gt;= "&amp;P34)-COUNTIF(Vertices[PageRank],"&gt;="&amp;P35)</f>
        <v>0</v>
      </c>
      <c r="R34" s="35">
        <f t="shared" si="8"/>
        <v>0</v>
      </c>
      <c r="S34" s="41">
        <f>COUNTIF(Vertices[Clustering Coefficient],"&gt;= "&amp;R34)-COUNTIF(Vertices[Clustering Coefficient],"&gt;="&amp;R35)</f>
        <v>0</v>
      </c>
      <c r="T34" s="35" t="e">
        <f ca="1" t="shared" si="9"/>
        <v>#REF!</v>
      </c>
      <c r="U34" s="36" t="e">
        <f ca="1" t="shared" si="10"/>
        <v>#REF!</v>
      </c>
    </row>
    <row r="35" spans="1:21" ht="15">
      <c r="A35" s="32" t="s">
        <v>283</v>
      </c>
      <c r="B35" s="32" t="s">
        <v>307</v>
      </c>
      <c r="D35" s="30">
        <f t="shared" si="1"/>
        <v>0</v>
      </c>
      <c r="E35">
        <f>COUNTIF(Vertices[Degree],"&gt;= "&amp;D35)-COUNTIF(Vertices[Degree],"&gt;="&amp;D36)</f>
        <v>0</v>
      </c>
      <c r="F35" s="37">
        <f t="shared" si="2"/>
        <v>5.8235294117647065</v>
      </c>
      <c r="G35" s="38">
        <f>COUNTIF(Vertices[In-Degree],"&gt;= "&amp;F35)-COUNTIF(Vertices[In-Degree],"&gt;="&amp;F36)</f>
        <v>0</v>
      </c>
      <c r="H35" s="37">
        <f t="shared" si="3"/>
        <v>4.852941176470589</v>
      </c>
      <c r="I35" s="38">
        <f>COUNTIF(Vertices[Out-Degree],"&gt;= "&amp;H35)-COUNTIF(Vertices[Out-Degree],"&gt;="&amp;H36)</f>
        <v>0</v>
      </c>
      <c r="J35" s="37">
        <f t="shared" si="4"/>
        <v>311.7058822058824</v>
      </c>
      <c r="K35" s="38">
        <f>COUNTIF(Vertices[Betweenness Centrality],"&gt;= "&amp;J35)-COUNTIF(Vertices[Betweenness Centrality],"&gt;="&amp;J36)</f>
        <v>0</v>
      </c>
      <c r="L35" s="37">
        <f t="shared" si="5"/>
        <v>0.3504211764705881</v>
      </c>
      <c r="M35" s="38">
        <f>COUNTIF(Vertices[Closeness Centrality],"&gt;= "&amp;L35)-COUNTIF(Vertices[Closeness Centrality],"&gt;="&amp;L36)</f>
        <v>0</v>
      </c>
      <c r="N35" s="37">
        <f t="shared" si="6"/>
        <v>0.371394617647059</v>
      </c>
      <c r="O35" s="38">
        <f>COUNTIF(Vertices[Eigenvector Centrality],"&gt;= "&amp;N35)-COUNTIF(Vertices[Eigenvector Centrality],"&gt;="&amp;N36)</f>
        <v>0</v>
      </c>
      <c r="P35" s="37">
        <f t="shared" si="7"/>
        <v>0.04175105882352935</v>
      </c>
      <c r="Q35" s="38">
        <f>COUNTIF(Vertices[PageRank],"&gt;= "&amp;P35)-COUNTIF(Vertices[PageRank],"&gt;="&amp;P36)</f>
        <v>0</v>
      </c>
      <c r="R35" s="37">
        <f t="shared" si="8"/>
        <v>0</v>
      </c>
      <c r="S35" s="42">
        <f>COUNTIF(Vertices[Clustering Coefficient],"&gt;= "&amp;R35)-COUNTIF(Vertices[Clustering Coefficient],"&gt;="&amp;R36)</f>
        <v>0</v>
      </c>
      <c r="T35" s="37" t="e">
        <f ca="1" t="shared" si="9"/>
        <v>#REF!</v>
      </c>
      <c r="U35" s="38" t="e">
        <f ca="1" t="shared" si="10"/>
        <v>#REF!</v>
      </c>
    </row>
    <row r="36" spans="1:21" ht="15">
      <c r="A36" s="32" t="s">
        <v>284</v>
      </c>
      <c r="B36" s="32" t="s">
        <v>259</v>
      </c>
      <c r="D36" s="30">
        <f>MAX(Vertices[Degree])</f>
        <v>0</v>
      </c>
      <c r="E36">
        <f>COUNTIF(Vertices[Degree],"&gt;= "&amp;D36)-COUNTIF(Vertices[Degree],"&gt;="&amp;#REF!)</f>
        <v>0</v>
      </c>
      <c r="F36" s="39">
        <f>MAX(Vertices[In-Degree])</f>
        <v>6</v>
      </c>
      <c r="G36" s="40">
        <f>COUNTIF(Vertices[In-Degree],"&gt;= "&amp;F36)-COUNTIF(Vertices[In-Degree],"&gt;="&amp;#REF!)</f>
        <v>1</v>
      </c>
      <c r="H36" s="39">
        <f>MAX(Vertices[Out-Degree])</f>
        <v>5</v>
      </c>
      <c r="I36" s="40">
        <f>COUNTIF(Vertices[Out-Degree],"&gt;= "&amp;H36)-COUNTIF(Vertices[Out-Degree],"&gt;="&amp;#REF!)</f>
        <v>10</v>
      </c>
      <c r="J36" s="39">
        <f>MAX(Vertices[Betweenness Centrality])</f>
        <v>321.151515</v>
      </c>
      <c r="K36" s="40">
        <f>COUNTIF(Vertices[Betweenness Centrality],"&gt;= "&amp;J36)-COUNTIF(Vertices[Betweenness Centrality],"&gt;="&amp;#REF!)</f>
        <v>1</v>
      </c>
      <c r="L36" s="39">
        <f>MAX(Vertices[Closeness Centrality])</f>
        <v>0.358635</v>
      </c>
      <c r="M36" s="40">
        <f>COUNTIF(Vertices[Closeness Centrality],"&gt;= "&amp;L36)-COUNTIF(Vertices[Closeness Centrality],"&gt;="&amp;#REF!)</f>
        <v>1</v>
      </c>
      <c r="N36" s="39">
        <f>MAX(Vertices[Eigenvector Centrality])</f>
        <v>0.382649</v>
      </c>
      <c r="O36" s="40">
        <f>COUNTIF(Vertices[Eigenvector Centrality],"&gt;= "&amp;N36)-COUNTIF(Vertices[Eigenvector Centrality],"&gt;="&amp;#REF!)</f>
        <v>1</v>
      </c>
      <c r="P36" s="39">
        <f>MAX(Vertices[PageRank])</f>
        <v>0.042272</v>
      </c>
      <c r="Q36" s="40">
        <f>COUNTIF(Vertices[PageRank],"&gt;= "&amp;P36)-COUNTIF(Vertices[PageRank],"&gt;="&amp;#REF!)</f>
        <v>1</v>
      </c>
      <c r="R36" s="39">
        <f>MAX(Vertices[Clustering Coefficient])</f>
        <v>0</v>
      </c>
      <c r="S36" s="43">
        <f>COUNTIF(Vertices[Clustering Coefficient],"&gt;= "&amp;R36)-COUNTIF(Vertices[Clustering Coefficient],"&gt;="&amp;#REF!)</f>
        <v>36</v>
      </c>
      <c r="T36" s="39" t="e">
        <f ca="1">MAX(INDIRECT(DynamicFilterSourceColumnRange))</f>
        <v>#REF!</v>
      </c>
      <c r="U36" s="40" t="e">
        <f ca="1">COUNTIF(INDIRECT(DynamicFilterSourceColumnRange),"&gt;= "&amp;T36)-COUNTIF(INDIRECT(DynamicFilterSourceColumnRange),"&gt;="&amp;#REF!)</f>
        <v>#REF!</v>
      </c>
    </row>
    <row r="37" spans="1:2" ht="15">
      <c r="A37" s="32" t="s">
        <v>285</v>
      </c>
      <c r="B37" s="32" t="s">
        <v>259</v>
      </c>
    </row>
    <row r="38" spans="1:2" ht="15">
      <c r="A38" s="32" t="s">
        <v>286</v>
      </c>
      <c r="B38" s="32" t="s">
        <v>259</v>
      </c>
    </row>
    <row r="39" spans="1:2" ht="15">
      <c r="A39" s="32" t="s">
        <v>287</v>
      </c>
      <c r="B39" s="32"/>
    </row>
    <row r="40" spans="1:2" ht="15">
      <c r="A40" s="32" t="s">
        <v>21</v>
      </c>
      <c r="B40" s="32"/>
    </row>
    <row r="41" spans="1:2" ht="15">
      <c r="A41" s="32" t="s">
        <v>288</v>
      </c>
      <c r="B41" s="32" t="s">
        <v>34</v>
      </c>
    </row>
    <row r="42" spans="1:2" ht="15">
      <c r="A42" s="32" t="s">
        <v>289</v>
      </c>
      <c r="B42" s="32"/>
    </row>
    <row r="43" spans="1:2" ht="15">
      <c r="A43" s="32" t="s">
        <v>290</v>
      </c>
      <c r="B43"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6</v>
      </c>
    </row>
    <row r="90" spans="1:2" ht="15">
      <c r="A90" s="31" t="s">
        <v>90</v>
      </c>
      <c r="B90" s="45">
        <f>_xlfn.IFERROR(AVERAGE(Vertices[In-Degree]),NoMetricMessage)</f>
        <v>1.3888888888888888</v>
      </c>
    </row>
    <row r="91" spans="1:2" ht="15">
      <c r="A91" s="31" t="s">
        <v>91</v>
      </c>
      <c r="B91" s="45">
        <f>_xlfn.IFERROR(MEDIAN(Vertices[In-Degree]),NoMetricMessage)</f>
        <v>1</v>
      </c>
    </row>
    <row r="102" spans="1:2" ht="15">
      <c r="A102" s="31" t="s">
        <v>94</v>
      </c>
      <c r="B102" s="44">
        <f>IF(COUNT(Vertices[Out-Degree])&gt;0,H2,NoMetricMessage)</f>
        <v>0</v>
      </c>
    </row>
    <row r="103" spans="1:2" ht="15">
      <c r="A103" s="31" t="s">
        <v>95</v>
      </c>
      <c r="B103" s="44">
        <f>IF(COUNT(Vertices[Out-Degree])&gt;0,H36,NoMetricMessage)</f>
        <v>5</v>
      </c>
    </row>
    <row r="104" spans="1:2" ht="15">
      <c r="A104" s="31" t="s">
        <v>96</v>
      </c>
      <c r="B104" s="45">
        <f>_xlfn.IFERROR(AVERAGE(Vertices[Out-Degree]),NoMetricMessage)</f>
        <v>1.3888888888888888</v>
      </c>
    </row>
    <row r="105" spans="1:2" ht="15">
      <c r="A105" s="31" t="s">
        <v>97</v>
      </c>
      <c r="B105" s="45">
        <f>_xlfn.IFERROR(MEDIAN(Vertices[Out-Degree]),NoMetricMessage)</f>
        <v>0</v>
      </c>
    </row>
    <row r="116" spans="1:2" ht="15">
      <c r="A116" s="31" t="s">
        <v>100</v>
      </c>
      <c r="B116" s="45">
        <f>IF(COUNT(Vertices[Betweenness Centrality])&gt;0,J2,NoMetricMessage)</f>
        <v>0</v>
      </c>
    </row>
    <row r="117" spans="1:2" ht="15">
      <c r="A117" s="31" t="s">
        <v>101</v>
      </c>
      <c r="B117" s="45">
        <f>IF(COUNT(Vertices[Betweenness Centrality])&gt;0,J36,NoMetricMessage)</f>
        <v>321.151515</v>
      </c>
    </row>
    <row r="118" spans="1:2" ht="15">
      <c r="A118" s="31" t="s">
        <v>102</v>
      </c>
      <c r="B118" s="45">
        <f>_xlfn.IFERROR(AVERAGE(Vertices[Betweenness Centrality]),NoMetricMessage)</f>
        <v>56.22222225</v>
      </c>
    </row>
    <row r="119" spans="1:2" ht="15">
      <c r="A119" s="31" t="s">
        <v>103</v>
      </c>
      <c r="B119" s="45">
        <f>_xlfn.IFERROR(MEDIAN(Vertices[Betweenness Centrality]),NoMetricMessage)</f>
        <v>5.0285715</v>
      </c>
    </row>
    <row r="130" spans="1:2" ht="15">
      <c r="A130" s="31" t="s">
        <v>106</v>
      </c>
      <c r="B130" s="45">
        <f>IF(COUNT(Vertices[Closeness Centrality])&gt;0,L2,NoMetricMessage)</f>
        <v>0.079365</v>
      </c>
    </row>
    <row r="131" spans="1:2" ht="15">
      <c r="A131" s="31" t="s">
        <v>107</v>
      </c>
      <c r="B131" s="45">
        <f>IF(COUNT(Vertices[Closeness Centrality])&gt;0,L36,NoMetricMessage)</f>
        <v>0.358635</v>
      </c>
    </row>
    <row r="132" spans="1:2" ht="15">
      <c r="A132" s="31" t="s">
        <v>108</v>
      </c>
      <c r="B132" s="45">
        <f>_xlfn.IFERROR(AVERAGE(Vertices[Closeness Centrality]),NoMetricMessage)</f>
        <v>0.2319550833333333</v>
      </c>
    </row>
    <row r="133" spans="1:2" ht="15">
      <c r="A133" s="31" t="s">
        <v>109</v>
      </c>
      <c r="B133" s="45">
        <f>_xlfn.IFERROR(MEDIAN(Vertices[Closeness Centrality]),NoMetricMessage)</f>
        <v>0.220446</v>
      </c>
    </row>
    <row r="144" spans="1:2" ht="15">
      <c r="A144" s="31" t="s">
        <v>112</v>
      </c>
      <c r="B144" s="45">
        <f>IF(COUNT(Vertices[Eigenvector Centrality])&gt;0,N2,NoMetricMessage)</f>
        <v>0</v>
      </c>
    </row>
    <row r="145" spans="1:2" ht="15">
      <c r="A145" s="31" t="s">
        <v>113</v>
      </c>
      <c r="B145" s="45">
        <f>IF(COUNT(Vertices[Eigenvector Centrality])&gt;0,N36,NoMetricMessage)</f>
        <v>0.382649</v>
      </c>
    </row>
    <row r="146" spans="1:2" ht="15">
      <c r="A146" s="31" t="s">
        <v>114</v>
      </c>
      <c r="B146" s="45">
        <f>_xlfn.IFERROR(AVERAGE(Vertices[Eigenvector Centrality]),NoMetricMessage)</f>
        <v>0.12662844444444443</v>
      </c>
    </row>
    <row r="147" spans="1:2" ht="15">
      <c r="A147" s="31" t="s">
        <v>115</v>
      </c>
      <c r="B147" s="45">
        <f>_xlfn.IFERROR(MEDIAN(Vertices[Eigenvector Centrality]),NoMetricMessage)</f>
        <v>0.095865</v>
      </c>
    </row>
    <row r="158" spans="1:2" ht="15">
      <c r="A158" s="31" t="s">
        <v>140</v>
      </c>
      <c r="B158" s="45">
        <f>IF(COUNT(Vertices[PageRank])&gt;0,P2,NoMetricMessage)</f>
        <v>0.02456</v>
      </c>
    </row>
    <row r="159" spans="1:2" ht="15">
      <c r="A159" s="31" t="s">
        <v>141</v>
      </c>
      <c r="B159" s="45">
        <f>IF(COUNT(Vertices[PageRank])&gt;0,P36,NoMetricMessage)</f>
        <v>0.042272</v>
      </c>
    </row>
    <row r="160" spans="1:2" ht="15">
      <c r="A160" s="31" t="s">
        <v>142</v>
      </c>
      <c r="B160" s="45">
        <f>_xlfn.IFERROR(AVERAGE(Vertices[PageRank]),NoMetricMessage)</f>
        <v>0.027777777777777776</v>
      </c>
    </row>
    <row r="161" spans="1:2" ht="15">
      <c r="A161" s="31" t="s">
        <v>143</v>
      </c>
      <c r="B161" s="45">
        <f>_xlfn.IFERROR(MEDIAN(Vertices[PageRank]),NoMetricMessage)</f>
        <v>0.0256355</v>
      </c>
    </row>
    <row r="172" spans="1:2" ht="15">
      <c r="A172" s="31" t="s">
        <v>118</v>
      </c>
      <c r="B172" s="45">
        <f>IF(COUNT(Vertices[Clustering Coefficient])&gt;0,R2,NoMetricMessage)</f>
        <v>0</v>
      </c>
    </row>
    <row r="173" spans="1:2" ht="15">
      <c r="A173" s="31" t="s">
        <v>119</v>
      </c>
      <c r="B173" s="45">
        <f>IF(COUNT(Vertices[Clustering Coefficient])&gt;0,R36,NoMetricMessage)</f>
        <v>0</v>
      </c>
    </row>
    <row r="174" spans="1:2" ht="15">
      <c r="A174" s="31" t="s">
        <v>120</v>
      </c>
      <c r="B174" s="45">
        <f>_xlfn.IFERROR(AVERAGE(Vertices[Clustering Coefficient]),NoMetricMessage)</f>
        <v>0</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254</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255</v>
      </c>
    </row>
    <row r="6" spans="1:18" ht="15">
      <c r="A6">
        <v>0</v>
      </c>
      <c r="B6" s="1" t="s">
        <v>136</v>
      </c>
      <c r="C6">
        <v>1</v>
      </c>
      <c r="D6" t="s">
        <v>59</v>
      </c>
      <c r="E6" t="s">
        <v>59</v>
      </c>
      <c r="F6">
        <v>0</v>
      </c>
      <c r="H6" t="s">
        <v>71</v>
      </c>
      <c r="J6" t="s">
        <v>173</v>
      </c>
      <c r="K6">
        <v>4</v>
      </c>
      <c r="R6" t="s">
        <v>129</v>
      </c>
    </row>
    <row r="7" spans="1:11" ht="15">
      <c r="A7">
        <v>2</v>
      </c>
      <c r="B7">
        <v>1</v>
      </c>
      <c r="C7">
        <v>0</v>
      </c>
      <c r="D7" t="s">
        <v>60</v>
      </c>
      <c r="E7" t="s">
        <v>60</v>
      </c>
      <c r="F7">
        <v>2</v>
      </c>
      <c r="H7" t="s">
        <v>72</v>
      </c>
      <c r="J7" t="s">
        <v>174</v>
      </c>
      <c r="K7" t="s">
        <v>300</v>
      </c>
    </row>
    <row r="8" spans="1:11" ht="15">
      <c r="A8"/>
      <c r="B8">
        <v>2</v>
      </c>
      <c r="C8">
        <v>2</v>
      </c>
      <c r="D8" t="s">
        <v>61</v>
      </c>
      <c r="E8" t="s">
        <v>61</v>
      </c>
      <c r="H8" t="s">
        <v>73</v>
      </c>
      <c r="J8" t="s">
        <v>175</v>
      </c>
      <c r="K8" t="s">
        <v>301</v>
      </c>
    </row>
    <row r="9" spans="1:11" ht="409.5">
      <c r="A9"/>
      <c r="B9">
        <v>3</v>
      </c>
      <c r="C9">
        <v>4</v>
      </c>
      <c r="D9" t="s">
        <v>62</v>
      </c>
      <c r="E9" t="s">
        <v>62</v>
      </c>
      <c r="H9" t="s">
        <v>74</v>
      </c>
      <c r="J9" t="s">
        <v>256</v>
      </c>
      <c r="K9" s="7" t="s">
        <v>302</v>
      </c>
    </row>
    <row r="10" spans="1:11" ht="409.5">
      <c r="A10"/>
      <c r="B10">
        <v>4</v>
      </c>
      <c r="D10" t="s">
        <v>63</v>
      </c>
      <c r="E10" t="s">
        <v>63</v>
      </c>
      <c r="H10" t="s">
        <v>75</v>
      </c>
      <c r="J10" t="s">
        <v>257</v>
      </c>
      <c r="K10" s="7" t="s">
        <v>311</v>
      </c>
    </row>
    <row r="11" spans="1:11" ht="409.5">
      <c r="A11"/>
      <c r="B11">
        <v>5</v>
      </c>
      <c r="D11" t="s">
        <v>46</v>
      </c>
      <c r="E11">
        <v>1</v>
      </c>
      <c r="H11" t="s">
        <v>76</v>
      </c>
      <c r="J11" t="s">
        <v>258</v>
      </c>
      <c r="K11" s="7" t="s">
        <v>308</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C6A5A-3ADD-4FCA-ADD6-817752EE2D76}">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1" t="s">
        <v>42</v>
      </c>
    </row>
    <row r="2" spans="1:3" ht="15" customHeight="1">
      <c r="A2" s="7" t="s">
        <v>271</v>
      </c>
      <c r="B2" s="107" t="s">
        <v>272</v>
      </c>
      <c r="C2" s="64" t="s">
        <v>273</v>
      </c>
    </row>
    <row r="3" spans="1:3" ht="15">
      <c r="A3" s="106" t="s">
        <v>260</v>
      </c>
      <c r="B3" s="106" t="s">
        <v>260</v>
      </c>
      <c r="C3" s="32">
        <v>17</v>
      </c>
    </row>
    <row r="4" spans="1:3" ht="15">
      <c r="A4" s="106" t="s">
        <v>260</v>
      </c>
      <c r="B4" s="106" t="s">
        <v>261</v>
      </c>
      <c r="C4" s="32">
        <v>2</v>
      </c>
    </row>
    <row r="5" spans="1:3" ht="15">
      <c r="A5" s="106" t="s">
        <v>260</v>
      </c>
      <c r="B5" s="106" t="s">
        <v>262</v>
      </c>
      <c r="C5" s="32">
        <v>1</v>
      </c>
    </row>
    <row r="6" spans="1:3" ht="15">
      <c r="A6" s="106" t="s">
        <v>261</v>
      </c>
      <c r="B6" s="106" t="s">
        <v>260</v>
      </c>
      <c r="C6" s="32">
        <v>2</v>
      </c>
    </row>
    <row r="7" spans="1:3" ht="15">
      <c r="A7" s="106" t="s">
        <v>261</v>
      </c>
      <c r="B7" s="106" t="s">
        <v>261</v>
      </c>
      <c r="C7" s="32">
        <v>10</v>
      </c>
    </row>
    <row r="8" spans="1:3" ht="15">
      <c r="A8" s="106" t="s">
        <v>261</v>
      </c>
      <c r="B8" s="106" t="s">
        <v>262</v>
      </c>
      <c r="C8" s="32">
        <v>3</v>
      </c>
    </row>
    <row r="9" spans="1:3" ht="15">
      <c r="A9" s="106" t="s">
        <v>262</v>
      </c>
      <c r="B9" s="106" t="s">
        <v>261</v>
      </c>
      <c r="C9" s="32">
        <v>1</v>
      </c>
    </row>
    <row r="10" spans="1:3" ht="15">
      <c r="A10" s="106" t="s">
        <v>262</v>
      </c>
      <c r="B10" s="106" t="s">
        <v>262</v>
      </c>
      <c r="C10" s="32">
        <v>9</v>
      </c>
    </row>
    <row r="11" spans="1:3" ht="15">
      <c r="A11" s="106" t="s">
        <v>263</v>
      </c>
      <c r="B11" s="106" t="s">
        <v>263</v>
      </c>
      <c r="C11" s="32">
        <v>5</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847C1-1C5C-40E1-988C-7F02985136A6}">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292</v>
      </c>
      <c r="B1" s="7" t="s">
        <v>17</v>
      </c>
    </row>
    <row r="2" spans="1:2" ht="15">
      <c r="A2" s="79" t="s">
        <v>293</v>
      </c>
      <c r="B2" s="79"/>
    </row>
    <row r="3" spans="1:2" ht="15">
      <c r="A3" s="80" t="s">
        <v>294</v>
      </c>
      <c r="B3" s="79"/>
    </row>
    <row r="4" spans="1:2" ht="15">
      <c r="A4" s="80" t="s">
        <v>295</v>
      </c>
      <c r="B4" s="79"/>
    </row>
    <row r="5" spans="1:2" ht="15">
      <c r="A5" s="80" t="s">
        <v>296</v>
      </c>
      <c r="B5" s="79"/>
    </row>
    <row r="6" spans="1:2" ht="15">
      <c r="A6" s="80" t="s">
        <v>297</v>
      </c>
      <c r="B6" s="79"/>
    </row>
    <row r="7" spans="1:2" ht="15">
      <c r="A7" s="80" t="s">
        <v>298</v>
      </c>
      <c r="B7" s="79"/>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4888187-CDA4-407A-A9CC-5D0167A4FF1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Digital Space Lab</dc:creator>
  <cp:keywords/>
  <dc:description/>
  <cp:lastModifiedBy>Digital Space Lab</cp:lastModifiedBy>
  <dcterms:created xsi:type="dcterms:W3CDTF">2008-01-30T00:41:58Z</dcterms:created>
  <dcterms:modified xsi:type="dcterms:W3CDTF">2023-05-17T09:38:18Z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