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026"/>
  <workbookPr codeName="ThisWorkbook" defaultThemeVersion="124226"/>
  <bookViews>
    <workbookView xWindow="65416" yWindow="65416" windowWidth="20640" windowHeight="1176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Path Edges" sheetId="8" r:id="rId8"/>
    <sheet name="Path Vertices" sheetId="9" r:id="rId9"/>
    <sheet name="Path Metrics" sheetId="10" r:id="rId10"/>
    <sheet name="Words" sheetId="11" r:id="rId11"/>
    <sheet name="Word Pairs" sheetId="12" r:id="rId12"/>
    <sheet name="Group Edges" sheetId="13" r:id="rId13"/>
    <sheet name="Export Options" sheetId="14" r:id="rId14"/>
    <sheet name="Top Items" sheetId="15" r:id="rId15"/>
    <sheet name="Time Series Edges" sheetId="17" state="hidden" r:id="rId16"/>
    <sheet name="Network Top Items" sheetId="16" r:id="rId17"/>
    <sheet name="Time Series" sheetId="18" r:id="rId18"/>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9"/>
  </pivotCaches>
  <extLst>
    <ext xmlns:x14="http://schemas.microsoft.com/office/spreadsheetml/2009/9/main" uri="{BBE1A952-AA13-448e-AADC-164F8A28A991}">
      <x14:slicerCaches>
        <x14:slicerCache r:id="rId23"/>
        <x14:slicerCache r:id="rId24"/>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<sst xmlns="http://schemas.openxmlformats.org/spreadsheetml/2006/main" count="3806" uniqueCount="1000">
  <si>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</si>
  <si>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</si>
  <si>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</si>
  <si>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</si>
  <si>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</si>
  <si>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</si>
  <si>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</si>
  <si>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</si>
  <si>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</si>
  <si>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</si>
  <si>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</si>
  <si>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</si>
  <si>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</si>
  <si>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</si>
  <si>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</si>
  <si>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</si>
  <si>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</si>
  <si>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</si>
  <si>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</si>
  <si>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</si>
  <si>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</si>
  <si>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</si>
  <si>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</si>
  <si>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</si>
  <si>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</si>
  <si>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</si>
  <si>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</si>
  <si>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</si>
  <si>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</si>
  <si>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</si>
  <si>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</si>
  <si>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</si>
  <si>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</si>
  <si>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</si>
  <si>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</si>
  <si>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</si>
  <si>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</si>
  <si>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</si>
  <si>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</si>
  <si>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</si>
  <si>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</si>
  <si>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</si>
  <si>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</si>
  <si>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</si>
  <si>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</si>
  <si>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</si>
  <si>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</si>
  <si>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</si>
  <si>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</si>
  <si>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</si>
  <si>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</si>
  <si>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</si>
  <si>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</si>
  <si>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</si>
  <si>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</si>
  <si>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</si>
  <si>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</si>
  <si>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</si>
  <si>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</si>
  <si>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</si>
  <si>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</si>
  <si>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</si>
  <si>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</si>
  <si>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</si>
  <si>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</si>
  <si>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</si>
  <si>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</si>
  <si>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</si>
  <si>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</si>
  <si>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</si>
  <si>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</si>
  <si>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</si>
  <si>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</si>
  <si>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</si>
  <si>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</si>
  <si>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</si>
  <si>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</si>
  <si>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</si>
  <si>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</si>
  <si>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</si>
  <si>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</si>
  <si>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</si>
  <si>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</si>
  <si>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</si>
  <si>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</si>
  <si>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</si>
  <si>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</si>
  <si>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</si>
  <si>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</si>
  <si>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</si>
  <si>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</si>
  <si>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</si>
  <si>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</si>
  <si>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</si>
  <si>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</si>
  <si>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</si>
  <si>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</si>
  <si>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</si>
  <si>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</si>
  <si>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</si>
  <si>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</si>
  <si>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</si>
  <si>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</si>
  <si>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</si>
  <si>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</si>
  <si>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</si>
  <si>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</si>
  <si>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</si>
  <si>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</si>
  <si>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</si>
  <si>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</si>
  <si>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</si>
  <si>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</si>
  <si>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</si>
  <si>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</si>
  <si>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</si>
  <si>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</si>
  <si>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</si>
  <si>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</si>
  <si>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</si>
  <si>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</si>
  <si>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</si>
  <si>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</si>
  <si>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</si>
  <si>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</si>
  <si>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</si>
  <si>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</si>
  <si>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</si>
  <si>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</si>
  <si>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</si>
  <si>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</si>
  <si>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</si>
  <si>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</si>
  <si>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</si>
  <si>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</si>
  <si>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</si>
  <si>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</si>
  <si>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</si>
  <si>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</si>
  <si>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</si>
  <si>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</si>
  <si>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</si>
  <si>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</si>
  <si>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</si>
  <si>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</si>
  <si>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</si>
  <si>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</si>
  <si>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</si>
  <si>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</si>
  <si>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</si>
  <si>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</si>
  <si>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</si>
  <si>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</si>
  <si>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</si>
  <si>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</si>
  <si>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</si>
  <si>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</si>
  <si>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</si>
  <si>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</si>
  <si>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</si>
  <si>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</si>
  <si>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</si>
  <si>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</si>
  <si>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</si>
  <si>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</si>
  <si>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</si>
  <si>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</si>
  <si>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</si>
  <si>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</si>
  <si>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</si>
  <si>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</si>
  <si>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</si>
  <si>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</si>
  <si>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</si>
  <si>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</si>
  <si>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</si>
  <si>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</si>
  <si>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</si>
  <si>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</si>
  <si>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</si>
  <si>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</si>
  <si>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</si>
  <si>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</si>
  <si>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</si>
  <si>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</si>
  <si>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</si>
  <si>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</si>
  <si>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</si>
  <si>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</si>
  <si>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</si>
  <si>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</si>
  <si>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</si>
  <si>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</si>
  <si>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</si>
  <si>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</si>
  <si>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</si>
  <si>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</si>
  <si>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</si>
  <si>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</si>
  <si>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</si>
  <si>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</si>
  <si>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</si>
  <si>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</si>
  <si>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</si>
  <si>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</si>
  <si>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</si>
  <si>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</si>
  <si>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</si>
  <si>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</si>
  <si>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</si>
  <si>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</si>
  <si>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</si>
  <si>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</si>
  <si>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</si>
  <si>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</si>
  <si>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</si>
  <si>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</si>
  <si>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</si>
  <si>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</si>
  <si>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</si>
  <si>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</si>
  <si>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</si>
  <si>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</si>
  <si>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</si>
  <si>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</si>
  <si>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</si>
  <si>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</si>
  <si>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</si>
  <si>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</si>
  <si>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</si>
  <si>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</si>
  <si>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</si>
  <si>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</si>
  <si>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</si>
  <si>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cellbasednews</t>
  </si>
  <si>
    <t>fundtrading</t>
  </si>
  <si>
    <t>theashiwani</t>
  </si>
  <si>
    <t>mercuryglobal</t>
  </si>
  <si>
    <t>craftmeati</t>
  </si>
  <si>
    <t>goalsecom</t>
  </si>
  <si>
    <t>elliotswartz</t>
  </si>
  <si>
    <t>biftekco</t>
  </si>
  <si>
    <t>marqmetrix_inc</t>
  </si>
  <si>
    <t>avmajavma</t>
  </si>
  <si>
    <t>vetpathophile</t>
  </si>
  <si>
    <t>hmtmetabolomics</t>
  </si>
  <si>
    <t>binfotrends</t>
  </si>
  <si>
    <t>sciupdate</t>
  </si>
  <si>
    <t>nutreco</t>
  </si>
  <si>
    <t>mosa_meat</t>
  </si>
  <si>
    <t>itsmeatable</t>
  </si>
  <si>
    <t>cellagritech</t>
  </si>
  <si>
    <t>Retweet</t>
  </si>
  <si>
    <t>Mentions</t>
  </si>
  <si>
    <t>MentionsInRetweet</t>
  </si>
  <si>
    <t>Join our community of global cellular agriculture entrepreneurs, scientists and advocates. 
Each week we deliver a free newsletter that curates the most meaningful news in the world of cultivated meat and cultured dairy. 
Sign up here, free:
https://t.co/DDa9mVIMRM</t>
  </si>
  <si>
    <t>https://t.co/Q4Z0IObGHv
Cell-Cultured Snapshot : how exactly are cuts of cultivated meat created and how soon can consumers purchase these products? https://t.co/dbZ8T0qSi3</t>
  </si>
  <si>
    <t>Cultured meat, or the use of animal cells grown to create lab-grown meat products, has been a hot topic in recent years, with big milestones such as its commercialization in Singapore in 2020 and, recently, regulatory approval in t…https://t.co/OXkn6RKvVY https://t.co/kawmSFffqW</t>
  </si>
  <si>
    <t>Dutch #foodtech company @mosa_meat and @Nutreco have signed a LOI announcing their commitment to develop and produce a low-cost cell feed supply chain to scale up the production of #cultivatedbeef. https://t.co/yei9uxdmQP  #CraveChange #Sustainability</t>
  </si>
  <si>
    <t>The Esco Aster facility, to be operational in 2025, will house 50,000L of bioreactor capacity &amp;amp; be able to produce 400-500 tons of cultivated meat annually from contract manufacturer clients, including @mosa_meat and @itsmeatable 
https://t.co/9ka49h7drF</t>
  </si>
  <si>
    <t>As the cultivated meat industry continues to scale, Raman spectroscopy could play a crucial role in reducing costs and improving sustainability.
Read more: https://t.co/UIrNjpT1oK
#cultured #raman #qualitycontrol #altprotein https://t.co/RRuVIuZ0CR</t>
  </si>
  <si>
    <t>The Food and Drug Administration’s Center for Food Safety and Applied Nutrition has completed its first premarket consultation for a human food made from cultured animal cells. This step brings cultivated chicken one step closer to U.S. dinner tables. https://t.co/k9la86WPB2 https://t.co/0yRQDWtGSi</t>
  </si>
  <si>
    <t>Check out our new article with @cellagritech to learn more about how #metabolomics is advancing the development of cell-cultured meat! https://t.co/C70eJ33T9W</t>
  </si>
  <si>
    <t>_xD83D__xDCE2_Register Now! https://t.co/72BiwBfgEz
Mark is the scientist behind the world’s first cultured burger. As a medical doctor by training and having worked on tissue engineering for vascular grafts, he became inspired by the possibilities of cultured meat, and co-founded Mosa Meat. https://t.co/J9owhYqWgU</t>
  </si>
  <si>
    <t>https://www.linkedin.com/feed/update/urn:li:share:7037740749643223040 https://www.foodingredientsfirst.com/news/cultivated-meat-players-race-to-commercialization-by-overcoming-critical-cost-and-scaling-challenges.html#.ZAMmdhh3H_s.linkedin</t>
  </si>
  <si>
    <t>cellbasednews.com</t>
  </si>
  <si>
    <t>foodinstitute.com</t>
  </si>
  <si>
    <t>linkedin.com foodingredientsfirst.com</t>
  </si>
  <si>
    <t>vegconomist.com</t>
  </si>
  <si>
    <t>straitstimes.com</t>
  </si>
  <si>
    <t>marqmetrix.com</t>
  </si>
  <si>
    <t>avma.org</t>
  </si>
  <si>
    <t>cell.ag</t>
  </si>
  <si>
    <t>soci.org</t>
  </si>
  <si>
    <t>foodtech cultivatedbeef cravechange sustainability</t>
  </si>
  <si>
    <t>cultured raman qualitycontrol altprotein</t>
  </si>
  <si>
    <t>metabolomics</t>
  </si>
  <si>
    <t>16:21:26</t>
  </si>
  <si>
    <t>18:46:46</t>
  </si>
  <si>
    <t>15:11:02</t>
  </si>
  <si>
    <t>11:09:25</t>
  </si>
  <si>
    <t>18:03:01</t>
  </si>
  <si>
    <t>03:49:17</t>
  </si>
  <si>
    <t>04:40:48</t>
  </si>
  <si>
    <t>02:03:30</t>
  </si>
  <si>
    <t>06:28:24</t>
  </si>
  <si>
    <t>16:00:52</t>
  </si>
  <si>
    <t>20:02:20</t>
  </si>
  <si>
    <t>20:07:57</t>
  </si>
  <si>
    <t>18:57:51</t>
  </si>
  <si>
    <t>19:12:52</t>
  </si>
  <si>
    <t>16:12:44</t>
  </si>
  <si>
    <t>1625530667671994373</t>
  </si>
  <si>
    <t>1631727836431097863</t>
  </si>
  <si>
    <t>1630948768446021633</t>
  </si>
  <si>
    <t>1631975126269845511</t>
  </si>
  <si>
    <t>1632803989371625476</t>
  </si>
  <si>
    <t>1632951525898088448</t>
  </si>
  <si>
    <t>1632964492140199936</t>
  </si>
  <si>
    <t>1632924905410027521</t>
  </si>
  <si>
    <t>1632991569471995907</t>
  </si>
  <si>
    <t>1633135636054982660</t>
  </si>
  <si>
    <t>1633921176992104450</t>
  </si>
  <si>
    <t>1633922594150793217</t>
  </si>
  <si>
    <t>1634267338282504192</t>
  </si>
  <si>
    <t>1634271118780424194</t>
  </si>
  <si>
    <t>1631326683398803457</t>
  </si>
  <si>
    <t>1632924903816167425</t>
  </si>
  <si>
    <t/>
  </si>
  <si>
    <t>233805699</t>
  </si>
  <si>
    <t>en</t>
  </si>
  <si>
    <t>Twitter Web App</t>
  </si>
  <si>
    <t>Twitter for iPhone</t>
  </si>
  <si>
    <t>LinkedIn</t>
  </si>
  <si>
    <t>Hootsuite Inc.</t>
  </si>
  <si>
    <t>Twitter for Android</t>
  </si>
  <si>
    <t>Goalse</t>
  </si>
  <si>
    <t>Canva</t>
  </si>
  <si>
    <t>BinfoTrends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</si>
  <si>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</si>
  <si>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</si>
  <si>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</si>
  <si>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</si>
  <si>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</si>
  <si>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</si>
  <si>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</si>
  <si>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</si>
  <si>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</si>
  <si>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</si>
  <si>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</si>
  <si>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</si>
  <si>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</si>
  <si>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</si>
  <si>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</si>
  <si>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</si>
  <si>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</si>
  <si>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</si>
  <si>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</si>
  <si>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</si>
  <si>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</si>
  <si>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</si>
  <si>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Cell Based News</t>
  </si>
  <si>
    <t>Trader Joe</t>
  </si>
  <si>
    <t>Ashiwani Awasthi</t>
  </si>
  <si>
    <t>wearemgp</t>
  </si>
  <si>
    <t>Nutreco</t>
  </si>
  <si>
    <t>Mosa Meat</t>
  </si>
  <si>
    <t>CraftmeatI</t>
  </si>
  <si>
    <t>Meatable</t>
  </si>
  <si>
    <t>Elliot Swartz</t>
  </si>
  <si>
    <t>Biftek - Postbiotics as a service _xD83D__xDD2C__xD83D__xDC69_‍_xD83D__xDD2C__xD83D__xDC04__xD83E__xDD57_</t>
  </si>
  <si>
    <t>MarqMetrix</t>
  </si>
  <si>
    <t>JAVMA</t>
  </si>
  <si>
    <t>Dr Nicola Parry</t>
  </si>
  <si>
    <t>HumanMetabolomeTech</t>
  </si>
  <si>
    <t>CellAgri</t>
  </si>
  <si>
    <t>Bioinformatics Trends </t>
  </si>
  <si>
    <t>SCI – Where Science Meets Business_xD83D__xDCA1_</t>
  </si>
  <si>
    <t>108406584</t>
  </si>
  <si>
    <t>595289305</t>
  </si>
  <si>
    <t>4120430787</t>
  </si>
  <si>
    <t>92537795</t>
  </si>
  <si>
    <t>3249998004</t>
  </si>
  <si>
    <t>2610118488</t>
  </si>
  <si>
    <t>85802831</t>
  </si>
  <si>
    <t>Showcasing the scientific breakthroughs, industry pioneers and exciting opportunities within the emerging cell-based food and lab grown meat industry.</t>
  </si>
  <si>
    <t>Progressive theme investor backing viable solutions to immediate global problems. Clean energy, chemical engineering, recycling, future food and gene therapies.</t>
  </si>
  <si>
    <t>Inspiring Change in your eating habits!
                             It's all about texture, taste, and aroma of food.</t>
  </si>
  <si>
    <t>MGP is a boutique PR firm specialized in emerging technologies. Over the past 10+ years, we've helped more than 30 companies to exit. Are you next?</t>
  </si>
  <si>
    <t>A global leader in animal nutrition and aquafeed. Helping our customers provide enough food for a growing world. Our purpose is Feeding the Future.</t>
  </si>
  <si>
    <t>Pioneering a cleaner, kinder way of making beef.</t>
  </si>
  <si>
    <t>We're pioneering a way to produce real, tasty meat without harming animals or the planet. It isn’t like meat, it is meat.</t>
  </si>
  <si>
    <t>Lead scientist @GoodFoodInst, analyzing progress &amp; challenges in #cultivatedmeat. If you build it, they will come. 
Opinions my own. Likes ≠ endorsements.</t>
  </si>
  <si>
    <t>#Goalse is marketplace to utilize your production and manufacturing capacity - smart manufacturing. List your business for free at https://t.co/YPs8M4T1Gu  #TradeTech</t>
  </si>
  <si>
    <t>#biftek.co produces cost-effective cultured meat growth medium supplement and more.</t>
  </si>
  <si>
    <t>Measure Anything. Anywhere. Instantly. Accurately.</t>
  </si>
  <si>
    <t>The official account for JAVMA, a peer-reviewed, scientific journal published monthly online and in print by the AVMA (@AVMAvets)</t>
  </si>
  <si>
    <t>Scouser | Veterinary Pathologist | @livuni ‘97 | ACVP BoD | She/Her | **Too many DMs - no longer respond - muted, not monitored</t>
  </si>
  <si>
    <t>HMT is a biotechnology company providing innovative metabolomics services to drive biomarker discovery, flux analysis, and life science research.</t>
  </si>
  <si>
    <t>Exploring the #futureoffood. Sign up for our weekly newsletter on #cellag</t>
  </si>
  <si>
    <t>Your Bioinformatics tweets!  
_xD83C__xDF0E_ _xD83C__xDF0D_ _xD83C__xDF0F_</t>
  </si>
  <si>
    <t>We are a global innovation hub where science meets business. Founded to benefit society, we are now helping the next generation of scientists and innovators!</t>
  </si>
  <si>
    <t>London</t>
  </si>
  <si>
    <t>India</t>
  </si>
  <si>
    <t>San Francisco, London, Amsterdam</t>
  </si>
  <si>
    <t>The Netherlands</t>
  </si>
  <si>
    <t>Amsterdam, The Netherlands</t>
  </si>
  <si>
    <t>New York City</t>
  </si>
  <si>
    <t>Worldwide</t>
  </si>
  <si>
    <t>lab</t>
  </si>
  <si>
    <t>Seattle, WA</t>
  </si>
  <si>
    <t>Schaumburg, IL</t>
  </si>
  <si>
    <t>Boston, MA</t>
  </si>
  <si>
    <t>Boston &amp; Tokyo</t>
  </si>
  <si>
    <t>Dubai / Singapore</t>
  </si>
  <si>
    <t>127.0.0.1</t>
  </si>
  <si>
    <t>_xD83C__xDF0E_</t>
  </si>
  <si>
    <t>Open Twitter Page for This Person</t>
  </si>
  <si>
    <t>cellbasednews
Join our community of global cellular
agriculture entrepreneurs, scientists
and advocates. Each week we deliver
a free newsletter that curates
the most meaningful news in the
world of cultivated meat and cultured
dairy. Sign up here, free: https://t.co/DDa9mVIMRM</t>
  </si>
  <si>
    <t>fundtrading
Join our community of global cellular
agriculture entrepreneurs, scientists
and advocates. Each week we deliver
a free newsletter that curates
the most meaningful news in the
world of cultivated meat and cultured
dairy. Sign up here, free: https://t.co/DDa9mVIMRM</t>
  </si>
  <si>
    <t>theashiwani
Cultured meat, or the use of animal
cells grown to create lab-grown
meat products, has been a hot topic
in recent years, with big milestones
such as its commercialization in
Singapore in 2020 and, recently,
regulatory approval in t…https://t.co/OXkn6RKvVY
https://t.co/kawmSFffqW</t>
  </si>
  <si>
    <t>mercuryglobal
Dutch #foodtech company @mosa_meat
and @Nutreco have signed a LOI
announcing their commitment to
develop and produce a low-cost
cell feed supply chain to scale
up the production of #cultivatedbeef.
https://t.co/yei9uxdmQP #CraveChange
#Sustainability</t>
  </si>
  <si>
    <t xml:space="preserve">nutreco
</t>
  </si>
  <si>
    <t xml:space="preserve">mosa_meat
</t>
  </si>
  <si>
    <t>craftmeati
The Esco Aster facility, to be
operational in 2025, will house
50,000L of bioreactor capacity
&amp;amp; be able to produce 400-500
tons of cultivated meat annually
from contract manufacturer clients,
including @mosa_meat and @itsmeatable
https://t.co/9ka49h7drF</t>
  </si>
  <si>
    <t xml:space="preserve">itsmeatable
</t>
  </si>
  <si>
    <t>goalsecom
The Esco Aster facility, to be
operational in 2025, will house
50,000L of bioreactor capacity
&amp;amp; be able to produce 400-500
tons of cultivated meat annually
from contract manufacturer clients,
including @mosa_meat and @itsmeatable
https://t.co/9ka49h7drF</t>
  </si>
  <si>
    <t>biftekco
The Esco Aster facility, to be
operational in 2025, will house
50,000L of bioreactor capacity
&amp;amp; be able to produce 400-500
tons of cultivated meat annually
from contract manufacturer clients,
including @mosa_meat and @itsmeatable
https://t.co/9ka49h7drF</t>
  </si>
  <si>
    <t>marqmetrix_inc
As the cultivated meat industry
continues to scale, Raman spectroscopy
could play a crucial role in reducing
costs and improving sustainability.
Read more: https://t.co/UIrNjpT1oK
#cultured #raman #qualitycontrol
#altprotein https://t.co/RRuVIuZ0CR</t>
  </si>
  <si>
    <t>avmajavma
The Food and Drug Administration’s
Center for Food Safety and Applied
Nutrition has completed its first
premarket consultation for a human
food made from cultured animal
cells. This step brings cultivated
chicken one step closer to U.S.
dinner tables. https://t.co/k9la86WPB2
https://t.co/0yRQDWtGSi</t>
  </si>
  <si>
    <t>vetpathophile
The Food and Drug Administration’s
Center for Food Safety and Applied
Nutrition has completed its first
premarket consultation for a human
food made from cultured animal
cells. This step brings cultivated
chicken one step closer to U.S.
dinner tables. https://t.co/k9la86WPB2
https://t.co/0yRQDWtGSi</t>
  </si>
  <si>
    <t>hmtmetabolomics
Check out our new article with
@cellagritech to learn more about
how #metabolomics is advancing
the development of cell-cultured
meat! https://t.co/C70eJ33T9W</t>
  </si>
  <si>
    <t xml:space="preserve">cellagritech
</t>
  </si>
  <si>
    <t>binfotrends
Check out our new article with
@cellagritech to learn more about
how #metabolomics is advancing
the development of cell-cultured
meat! https://t.co/C70eJ33T9W</t>
  </si>
  <si>
    <t>sciupdate
_xD83D__xDCE2_Register Now! https://t.co/72BiwBfgEz
Mark is the scientist behind the
world’s first cultured burger.
As a medical doctor by training
and having worked on tissue engineering
for vascular grafts, he became
inspired by the possibilities of
cultured meat, and co-founded Mosa
Meat. https://t.co/J9owhYqWgU</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</si>
  <si>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t>
  </si>
  <si>
    <t>e&gt;http://www.connectedaction.net/wp-content/uploads/2009/11/2009-Connected-Action-Logo.png&lt;/value&gt;
      &lt;/setting&gt;
    &lt;/ExportDataUserSettings&gt;
    &lt;PlugInUserSettings&gt;
      &lt;setting name="PlugInFolderPath" serializeAs="String"&gt;
        &lt;value&gt;D:\Dropbox\_NodeXL\NodeXL Addins&lt;/value&gt;
      &lt;/setting&gt;
    &lt;/PlugInUserSettings&gt;
    &lt;ExportToNodeXLGraphGalleryUserSettings&gt;
      &lt;setting name="SpaceDelimitedTags" serializeAs="String"&gt;
        &lt;value&gt;Connected Action - Your link to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t>
  </si>
  <si>
    <t>alephfarms</t>
  </si>
  <si>
    <t>Israeli #cultivatedmeat manufacturer @AlephFarms acquires new facility in Israel and partners with contract manufacturer Esco Aster to produce cultivated steak in a new facility based in Singapore that aims to be halal-certified.
https://t.co/3TMxv52Jmy</t>
  </si>
  <si>
    <t>timesofisrael.com</t>
  </si>
  <si>
    <t>cultivatedmeat</t>
  </si>
  <si>
    <t>Reply-To</t>
  </si>
  <si>
    <t>Aleph Farms</t>
  </si>
  <si>
    <t>1070616411951779840</t>
  </si>
  <si>
    <t>We cultivate quality steaks directly from their cells. #MeatForEarth #MeatGrowers</t>
  </si>
  <si>
    <t>Israel</t>
  </si>
  <si>
    <t>elliotswartz
Israeli #cultivatedmeat manufacturer
@AlephFarms acquires new facility
in Israel and partners with contract
manufacturer Esco Aster to produce
cultivated steak in a new facility
based in Singapore that aims to
be halal-certified. https://t.co/3TMxv52Jmy</t>
  </si>
  <si>
    <t xml:space="preserve">alephfarms
</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</si>
  <si>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</si>
  <si>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</si>
  <si>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</si>
  <si>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</si>
  <si>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</si>
  <si>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</si>
  <si>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</si>
  <si>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</si>
  <si>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</si>
  <si>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</si>
  <si>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</si>
  <si>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</si>
  <si>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</si>
  <si>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</si>
  <si>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</si>
  <si>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</si>
  <si>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</si>
  <si>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Path Vertex 1</t>
  </si>
  <si>
    <t>Path Vertex 2</t>
  </si>
  <si>
    <t>Edge Vertex 1</t>
  </si>
  <si>
    <t>Edge Vertex 2</t>
  </si>
  <si>
    <t>https://www.timesofisrael.com/kosher-now-maybe-halal-aleph-farms-gears-up-for-rollout-of-cultivated-steak/</t>
  </si>
  <si>
    <t>https://www.cell.ag/blog/cellular-metabolomics-and-optimizing-cultivated-meat-cell-line-selection</t>
  </si>
  <si>
    <t>https://www.avma.org/news/fda-concludes-first-premarket-consultation-meat-cultured-animal-cells</t>
  </si>
  <si>
    <t>https://marqmetrix.com/cultivated-meat-raman-seven-benefits/</t>
  </si>
  <si>
    <t>https://www.straitstimes.com/singapore/cell-cultured-meat-industry-set-for-another-leap-forward-with-new-changi-plant</t>
  </si>
  <si>
    <t>https://vegconomist.com/cultivated-cell-cultured-biotechnology/mosa-meat-and-nutreco-low-cost-cell-feed/</t>
  </si>
  <si>
    <t>https://foodinstitute.com/focus/cell-cultured-snapshot-how-to-make-meat/</t>
  </si>
  <si>
    <t>https://www.cellbasednews.com/</t>
  </si>
  <si>
    <t>https://www.soci.org/events/hq-events/2023/cultivated-meat-from-the-field-via-cellular-agriculture-to-the-plate</t>
  </si>
  <si>
    <t>https://pbs.twimg.com/media/FqzapwxX0AEeeKL.jpg</t>
  </si>
  <si>
    <t>https://pbs.twimg.com/media/FqoQNJFWAAIgdDT.jpg</t>
  </si>
  <si>
    <t>https://pbs.twimg.com/media/FqJLDbXXgAEFmbh.jpg</t>
  </si>
  <si>
    <t>https://pbs.twimg.com/media/FqOiPuSWcAArbXJ.jpg</t>
  </si>
  <si>
    <t>https://pbs.twimg.com/profile_images/1244683441599373314/AFkHERkJ_normal.jpg</t>
  </si>
  <si>
    <t>https://pbs.twimg.com/profile_images/1342903725782953986/_tvytAU6_normal.png</t>
  </si>
  <si>
    <t>https://pbs.twimg.com/profile_images/486221724870926337/cS0048NP_normal.png</t>
  </si>
  <si>
    <t>https://pbs.twimg.com/profile_images/1623675266097717248/wf2uvNt__normal.jpg</t>
  </si>
  <si>
    <t>https://pbs.twimg.com/profile_images/1479437477593108485/CmmGWpoI_normal.png</t>
  </si>
  <si>
    <t>https://pbs.twimg.com/profile_images/1207023594204741634/oNEPNuoG_normal.jpg</t>
  </si>
  <si>
    <t>https://pbs.twimg.com/profile_images/1314159878710075392/-McujwWI_normal.jpg</t>
  </si>
  <si>
    <t>https://pbs.twimg.com/profile_images/1611413212670345233/I-uez6tQ_normal.jpg</t>
  </si>
  <si>
    <t>https://pbs.twimg.com/profile_images/1354282597380222976/jb9ii-Ga_normal.jpg</t>
  </si>
  <si>
    <t>https://pbs.twimg.com/profile_images/1609275616767119365/z90gUKUY_normal.jpg</t>
  </si>
  <si>
    <t>https://twitter.com/elliotswartz/status/1632924903816167425</t>
  </si>
  <si>
    <t>https://twitter.com/binfotrends/status/1634271118780424194</t>
  </si>
  <si>
    <t>https://twitter.com/hmtmetabolomics/status/1634267338282504192</t>
  </si>
  <si>
    <t>https://twitter.com/vetpathophile/status/1633922594150793217</t>
  </si>
  <si>
    <t>https://twitter.com/avmajavma/status/1633921176992104450</t>
  </si>
  <si>
    <t>https://twitter.com/marqmetrix_inc/status/1633135636054982660</t>
  </si>
  <si>
    <t>https://twitter.com/biftekco/status/1632991569471995907</t>
  </si>
  <si>
    <t>https://twitter.com/goalsecom/status/1632964492140199936</t>
  </si>
  <si>
    <t>https://twitter.com/elliotswartz/status/1632924905410027521</t>
  </si>
  <si>
    <t>https://twitter.com/craftmeati/status/1632951525898088448</t>
  </si>
  <si>
    <t>https://twitter.com/mercuryglobal/status/1632803989371625476</t>
  </si>
  <si>
    <t>https://twitter.com/theashiwani/status/1631975126269845511</t>
  </si>
  <si>
    <t>https://twitter.com/fundtrading/status/1630948768446021633</t>
  </si>
  <si>
    <t>https://twitter.com/fundtrading/status/1631727836431097863</t>
  </si>
  <si>
    <t>https://twitter.com/cellbasednews/status/1625530667671994373</t>
  </si>
  <si>
    <t>https://twitter.com/sciupdate/status/1631326683398803457</t>
  </si>
  <si>
    <t>Vertex 1 Vertex</t>
  </si>
  <si>
    <t>Vertex 1 Degree</t>
  </si>
  <si>
    <t>Vertex 1 In-Degree</t>
  </si>
  <si>
    <t>Vertex 1 Out-Degree</t>
  </si>
  <si>
    <t>Vertex 1 Betweenness Centrality</t>
  </si>
  <si>
    <t>Vertex 1 Closeness Centrality</t>
  </si>
  <si>
    <t>Vertex 1 Eigenvector Centrality</t>
  </si>
  <si>
    <t>Vertex 1 PageRank</t>
  </si>
  <si>
    <t>Vertex 1 Clustering Coefficient</t>
  </si>
  <si>
    <t>Vertex 1 Reciprocated Vertex Pair Ratio</t>
  </si>
  <si>
    <t>Vertex 1 Name</t>
  </si>
  <si>
    <t>Vertex 1 User ID</t>
  </si>
  <si>
    <t>1.34256709421545E+18</t>
  </si>
  <si>
    <t>7.02925771925356E+17</t>
  </si>
  <si>
    <t>9.52194745744359E+17</t>
  </si>
  <si>
    <t>1.03706242073123E+18</t>
  </si>
  <si>
    <t>1.60560970762383E+18</t>
  </si>
  <si>
    <t>1.35221838386608E+18</t>
  </si>
  <si>
    <t>1.60925559333181E+18</t>
  </si>
  <si>
    <t>Vertex 1 Followed</t>
  </si>
  <si>
    <t>Vertex 1 Followers</t>
  </si>
  <si>
    <t>Vertex 1 Tweets</t>
  </si>
  <si>
    <t>Vertex 1 Favorites</t>
  </si>
  <si>
    <t>Vertex 1 Time Zone UTC Offset (Seconds)</t>
  </si>
  <si>
    <t>Vertex 1 Description</t>
  </si>
  <si>
    <t>Vertex 1 Location</t>
  </si>
  <si>
    <t>Vertex 1 Web</t>
  </si>
  <si>
    <t>https://t.co/6WzHjGVLoa</t>
  </si>
  <si>
    <t>https://t.co/eaYerpg04c</t>
  </si>
  <si>
    <t>https://t.co/4rl7NdJz2y</t>
  </si>
  <si>
    <t>https://t.co/zlbifhs3wM</t>
  </si>
  <si>
    <t>https://t.co/U9bTO2BIzS</t>
  </si>
  <si>
    <t>https://t.co/YPs8M4T1Gu</t>
  </si>
  <si>
    <t>https://t.co/cMrssDUqRL</t>
  </si>
  <si>
    <t>https://t.co/OhSpdiysFP</t>
  </si>
  <si>
    <t>https://t.co/R3uB34hMTQ</t>
  </si>
  <si>
    <t>Vertex 1 Time Zone</t>
  </si>
  <si>
    <t>Vertex 1 Joined Twitter Date (UTC)</t>
  </si>
  <si>
    <t>Vertex 1 Profile Banner Url</t>
  </si>
  <si>
    <t>https://pbs.twimg.com/profile_banners/233805699/1601424530</t>
  </si>
  <si>
    <t>https://pbs.twimg.com/profile_banners/1342567094215454720/1609009698</t>
  </si>
  <si>
    <t>https://pbs.twimg.com/profile_banners/2610118488/1545243188</t>
  </si>
  <si>
    <t>https://pbs.twimg.com/profile_banners/3249998004/1434745058</t>
  </si>
  <si>
    <t>https://pbs.twimg.com/profile_banners/92537795/1673300809</t>
  </si>
  <si>
    <t>https://pbs.twimg.com/profile_banners/702925771925356544/1456427586</t>
  </si>
  <si>
    <t>https://pbs.twimg.com/profile_banners/952194745744359424/1524556283</t>
  </si>
  <si>
    <t>https://pbs.twimg.com/profile_banners/4120430787/1457106664</t>
  </si>
  <si>
    <t>https://pbs.twimg.com/profile_banners/108406584/1519623763</t>
  </si>
  <si>
    <t>https://pbs.twimg.com/profile_banners/1605609707623833600/1671976716</t>
  </si>
  <si>
    <t>https://pbs.twimg.com/profile_banners/1352218383866089474/1637008424</t>
  </si>
  <si>
    <t>https://pbs.twimg.com/profile_banners/1609255593331810305/1674141188</t>
  </si>
  <si>
    <t>https://pbs.twimg.com/profile_banners/85802831/1663664790</t>
  </si>
  <si>
    <t>Vertex 1 Default Profile</t>
  </si>
  <si>
    <t>Vertex 1 Default Profile Image</t>
  </si>
  <si>
    <t>Vertex 1 Geo Enabled</t>
  </si>
  <si>
    <t>Vertex 1 Language</t>
  </si>
  <si>
    <t>Vertex 1 Listed Count</t>
  </si>
  <si>
    <t>Vertex 1 Profile Background Image Url</t>
  </si>
  <si>
    <t>https://abs.twimg.com/images/themes/theme1/bg.png</t>
  </si>
  <si>
    <t>https://abs.twimg.com/images/themes/theme11/bg.gif</t>
  </si>
  <si>
    <t>https://abs.twimg.com/images/themes/theme2/bg.gif</t>
  </si>
  <si>
    <t>Vertex 1 Verified</t>
  </si>
  <si>
    <t>Vertex 1 Tweeted Search Term?</t>
  </si>
  <si>
    <t>Vertex 1 Vertex Group</t>
  </si>
  <si>
    <t>Vertex 2 Vertex</t>
  </si>
  <si>
    <t>Vertex 2 Degree</t>
  </si>
  <si>
    <t>Vertex 2 In-Degree</t>
  </si>
  <si>
    <t>Vertex 2 Out-Degree</t>
  </si>
  <si>
    <t>Vertex 2 Betweenness Centrality</t>
  </si>
  <si>
    <t>Vertex 2 Closeness Centrality</t>
  </si>
  <si>
    <t>Vertex 2 Eigenvector Centrality</t>
  </si>
  <si>
    <t>Vertex 2 PageRank</t>
  </si>
  <si>
    <t>Vertex 2 Clustering Coefficient</t>
  </si>
  <si>
    <t>Vertex 2 Reciprocated Vertex Pair Ratio</t>
  </si>
  <si>
    <t>Vertex 2 Name</t>
  </si>
  <si>
    <t>Vertex 2 User ID</t>
  </si>
  <si>
    <t>9.40456876675817E+17</t>
  </si>
  <si>
    <t>7.87929135423299E+17</t>
  </si>
  <si>
    <t>9.99587594777382E+17</t>
  </si>
  <si>
    <t>Vertex 2 Followed</t>
  </si>
  <si>
    <t>Vertex 2 Followers</t>
  </si>
  <si>
    <t>Vertex 2 Tweets</t>
  </si>
  <si>
    <t>Vertex 2 Favorites</t>
  </si>
  <si>
    <t>Vertex 2 Time Zone UTC Offset (Seconds)</t>
  </si>
  <si>
    <t>Vertex 2 Description</t>
  </si>
  <si>
    <t>Vertex 2 Location</t>
  </si>
  <si>
    <t>Vertex 2 Web</t>
  </si>
  <si>
    <t>https://t.co/5uG6wtRIii</t>
  </si>
  <si>
    <t>https://t.co/GJGW9n11Qi</t>
  </si>
  <si>
    <t>https://t.co/ARZuzVFJri</t>
  </si>
  <si>
    <t>https://t.co/HL3sie1nqV</t>
  </si>
  <si>
    <t>https://t.co/LxbELltYQG</t>
  </si>
  <si>
    <t>Vertex 2 Time Zone</t>
  </si>
  <si>
    <t>Vertex 2 Joined Twitter Date (UTC)</t>
  </si>
  <si>
    <t>Vertex 2 Profile Banner Url</t>
  </si>
  <si>
    <t>https://pbs.twimg.com/profile_banners/1070616411951779840/1625671620</t>
  </si>
  <si>
    <t>https://pbs.twimg.com/profile_banners/940456876675817473/1513620286</t>
  </si>
  <si>
    <t>https://pbs.twimg.com/profile_banners/787929135423299584/1610100480</t>
  </si>
  <si>
    <t>https://pbs.twimg.com/profile_banners/999587594777382912/1605203974</t>
  </si>
  <si>
    <t>https://pbs.twimg.com/profile_banners/595289305/1619002963</t>
  </si>
  <si>
    <t>Vertex 2 Default Profile</t>
  </si>
  <si>
    <t>Vertex 2 Default Profile Image</t>
  </si>
  <si>
    <t>Vertex 2 Geo Enabled</t>
  </si>
  <si>
    <t>Vertex 2 Language</t>
  </si>
  <si>
    <t>Vertex 2 Listed Count</t>
  </si>
  <si>
    <t>Vertex 2 Profile Background Image Url</t>
  </si>
  <si>
    <t>Vertex 2 Verified</t>
  </si>
  <si>
    <t>Vertex 2 Tweeted Search Term?</t>
  </si>
  <si>
    <t>Vertex 2 Vertex Group</t>
  </si>
  <si>
    <t>Path ID Vertex 1</t>
  </si>
  <si>
    <t>Path ID Vertex 2</t>
  </si>
  <si>
    <t>Generation ID Vertex 1</t>
  </si>
  <si>
    <t>Generation ID Vertex 2</t>
  </si>
  <si>
    <t>Path Sequence Vertex 1</t>
  </si>
  <si>
    <t>Path Sequence Vertex 2</t>
  </si>
  <si>
    <t>Path ID</t>
  </si>
  <si>
    <t>Generation ID</t>
  </si>
  <si>
    <t>Path Sequence</t>
  </si>
  <si>
    <t xml:space="preserve">elliotswartz: </t>
  </si>
  <si>
    <t xml:space="preserve">binfotrends: </t>
  </si>
  <si>
    <t xml:space="preserve">hmtmetabolomics: </t>
  </si>
  <si>
    <t xml:space="preserve">vetpathophile: </t>
  </si>
  <si>
    <t xml:space="preserve">avmajavma: </t>
  </si>
  <si>
    <t xml:space="preserve">marqmetrix_inc: </t>
  </si>
  <si>
    <t xml:space="preserve">biftekco: </t>
  </si>
  <si>
    <t xml:space="preserve">goalsecom: </t>
  </si>
  <si>
    <t xml:space="preserve">craftmeati: </t>
  </si>
  <si>
    <t xml:space="preserve">mercuryglobal: </t>
  </si>
  <si>
    <t xml:space="preserve">theashiwani: </t>
  </si>
  <si>
    <t xml:space="preserve">fundtrading: </t>
  </si>
  <si>
    <t xml:space="preserve">cellbasednews: </t>
  </si>
  <si>
    <t xml:space="preserve">sciupdate: </t>
  </si>
  <si>
    <t>Messages</t>
  </si>
  <si>
    <t>Breadth</t>
  </si>
  <si>
    <t>Generations</t>
  </si>
  <si>
    <t>Min Date</t>
  </si>
  <si>
    <t>Max Date</t>
  </si>
  <si>
    <t>Period</t>
  </si>
  <si>
    <t>Word</t>
  </si>
  <si>
    <t>Sentiment List#1</t>
  </si>
  <si>
    <t>Sentiment List#2</t>
  </si>
  <si>
    <t>Sentiment List#3</t>
  </si>
  <si>
    <t>Words in Sentiment List#1</t>
  </si>
  <si>
    <t>Words in Sentiment List#2</t>
  </si>
  <si>
    <t>Words in Sentiment List#3</t>
  </si>
  <si>
    <t>Non-categorized Words</t>
  </si>
  <si>
    <t>Total Words</t>
  </si>
  <si>
    <t>meat</t>
  </si>
  <si>
    <t>cultivated</t>
  </si>
  <si>
    <t>cultured</t>
  </si>
  <si>
    <t>food</t>
  </si>
  <si>
    <t>produce</t>
  </si>
  <si>
    <t>facility</t>
  </si>
  <si>
    <t>manufacturer</t>
  </si>
  <si>
    <t>aster</t>
  </si>
  <si>
    <t>s</t>
  </si>
  <si>
    <t>contract</t>
  </si>
  <si>
    <t>esco</t>
  </si>
  <si>
    <t>cell</t>
  </si>
  <si>
    <t>house</t>
  </si>
  <si>
    <t>step</t>
  </si>
  <si>
    <t>50</t>
  </si>
  <si>
    <t>bioreactor</t>
  </si>
  <si>
    <t>free</t>
  </si>
  <si>
    <t>annually</t>
  </si>
  <si>
    <t>clients</t>
  </si>
  <si>
    <t>capacity</t>
  </si>
  <si>
    <t>000l</t>
  </si>
  <si>
    <t>new</t>
  </si>
  <si>
    <t>including</t>
  </si>
  <si>
    <t>operational</t>
  </si>
  <si>
    <t>400</t>
  </si>
  <si>
    <t>500</t>
  </si>
  <si>
    <t>2025</t>
  </si>
  <si>
    <t>tons</t>
  </si>
  <si>
    <t>more</t>
  </si>
  <si>
    <t>world</t>
  </si>
  <si>
    <t>up</t>
  </si>
  <si>
    <t>cells</t>
  </si>
  <si>
    <t>first</t>
  </si>
  <si>
    <t>animal</t>
  </si>
  <si>
    <t>grown</t>
  </si>
  <si>
    <t>tables</t>
  </si>
  <si>
    <t>brings</t>
  </si>
  <si>
    <t>made</t>
  </si>
  <si>
    <t>applied</t>
  </si>
  <si>
    <t>here</t>
  </si>
  <si>
    <t>nutrition</t>
  </si>
  <si>
    <t>consultation</t>
  </si>
  <si>
    <t>community</t>
  </si>
  <si>
    <t>check</t>
  </si>
  <si>
    <t>one</t>
  </si>
  <si>
    <t>scientists</t>
  </si>
  <si>
    <t>news</t>
  </si>
  <si>
    <t>singapore</t>
  </si>
  <si>
    <t>chicken</t>
  </si>
  <si>
    <t>t</t>
  </si>
  <si>
    <t>sign</t>
  </si>
  <si>
    <t>learn</t>
  </si>
  <si>
    <t>premarket</t>
  </si>
  <si>
    <t>deliver</t>
  </si>
  <si>
    <t>dinner</t>
  </si>
  <si>
    <t>safety</t>
  </si>
  <si>
    <t>each</t>
  </si>
  <si>
    <t>completed</t>
  </si>
  <si>
    <t>meaningful</t>
  </si>
  <si>
    <t>drug</t>
  </si>
  <si>
    <t>human</t>
  </si>
  <si>
    <t>dairy</t>
  </si>
  <si>
    <t>out</t>
  </si>
  <si>
    <t>newsletter</t>
  </si>
  <si>
    <t>development</t>
  </si>
  <si>
    <t>advocates</t>
  </si>
  <si>
    <t>scale</t>
  </si>
  <si>
    <t>closer</t>
  </si>
  <si>
    <t>global</t>
  </si>
  <si>
    <t>cellular</t>
  </si>
  <si>
    <t>curates</t>
  </si>
  <si>
    <t>week</t>
  </si>
  <si>
    <t>#metabolomics</t>
  </si>
  <si>
    <t>agriculture</t>
  </si>
  <si>
    <t>article</t>
  </si>
  <si>
    <t>administration</t>
  </si>
  <si>
    <t>join</t>
  </si>
  <si>
    <t>products</t>
  </si>
  <si>
    <t>co</t>
  </si>
  <si>
    <t>entrepreneurs</t>
  </si>
  <si>
    <t>advancing</t>
  </si>
  <si>
    <t>center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</si>
  <si>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</si>
  <si>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</si>
  <si>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</si>
  <si>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</si>
  <si>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</si>
  <si>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</si>
  <si>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</si>
  <si>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</si>
  <si>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</si>
  <si>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</si>
  <si>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</si>
  <si>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</si>
  <si>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</si>
  <si>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</si>
  <si>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</si>
  <si>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</si>
  <si>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</si>
  <si>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</si>
  <si>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</si>
  <si>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</si>
  <si>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</si>
  <si>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</si>
  <si>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</si>
  <si>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</si>
  <si>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</si>
  <si>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</si>
  <si>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</si>
  <si>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</si>
  <si>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</si>
  <si>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</si>
  <si>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</si>
  <si>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</si>
  <si>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</si>
  <si>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</si>
  <si>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</si>
  <si>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</si>
  <si>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</si>
  <si>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</si>
  <si>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</si>
  <si>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</si>
  <si>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</si>
  <si>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</si>
  <si>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</si>
  <si>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</si>
  <si>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</si>
  <si>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</si>
  <si>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</si>
  <si>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</si>
  <si>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</si>
  <si>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</si>
  <si>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</si>
  <si>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</si>
  <si>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</si>
  <si>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</si>
  <si>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</si>
  <si>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</si>
  <si>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</si>
  <si>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</si>
  <si>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Buy a social media network map and report</t>
  </si>
  <si>
    <t>http://bit.ly/NodeXLMaps</t>
  </si>
  <si>
    <t>http://www.connectedaction.net/wp-content/uploads/2009/11/2009-Connected-Action-Logo.png</t>
  </si>
  <si>
    <t>http://connectedaction.net</t>
  </si>
  <si>
    <t>#NodeXL</t>
  </si>
  <si>
    <t>http://bit.ly/NodeXL</t>
  </si>
  <si>
    <t>Top 10 Vertices, Ranked by Betweenness Centrality</t>
  </si>
  <si>
    <t>Top URLs in Tweet in Entire Graph</t>
  </si>
  <si>
    <t>https://www.linkedin.com/feed/update/urn:li:share:7037740749643223040</t>
  </si>
  <si>
    <t>https://www.foodingredientsfirst.com/news/cultivated-meat-players-race-to-commercialization-by-overcoming-critical-cost-and-scaling-challenges.html#.ZAMmdhh3H_s.linkedin</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</si>
  <si>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</si>
  <si>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</si>
  <si>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</si>
  <si>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</si>
  <si>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</si>
  <si>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</si>
  <si>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</si>
  <si>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</si>
  <si>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</si>
  <si>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</si>
  <si>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</si>
  <si>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</si>
  <si>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</si>
  <si>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</si>
  <si>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https://www.straitstimes.com/singapore/cell-cultured-meat-industry-set-for-another-leap-forward-with-new-changi-plant https://www.timesofisrael.com/kosher-now-maybe-halal-aleph-farms-gears-up-for-rollout-of-cultivated-steak/</t>
  </si>
  <si>
    <t>https://www.soci.org/events/hq-events/2023/cultivated-meat-from-the-field-via-cellular-agriculture-to-the-plate https://www.linkedin.com/feed/update/urn:li:share:7037740749643223040 https://www.foodingredientsfirst.com/news/cultivated-meat-players-race-to-commercialization-by-overcoming-critical-cost-and-scaling-challenges.html#.ZAMmdhh3H_s.linkedin https://marqmetrix.com/cultivated-meat-raman-seven-benefits/</t>
  </si>
  <si>
    <t>https://www.cellbasednews.com/ https://foodinstitute.com/focus/cell-cultured-snapshot-how-to-make-meat/</t>
  </si>
  <si>
    <t>Top Domains in Tweet in Entire Graph</t>
  </si>
  <si>
    <t>linkedin.com</t>
  </si>
  <si>
    <t>foodingredientsfirst.com</t>
  </si>
  <si>
    <t>Top Domains in Tweet in G1</t>
  </si>
  <si>
    <t>Top Domains in Tweet in G2</t>
  </si>
  <si>
    <t>Top Domains in Tweet in G3</t>
  </si>
  <si>
    <t>Top Domains in Tweet in G4</t>
  </si>
  <si>
    <t>Top Domains in Tweet in G5</t>
  </si>
  <si>
    <t>Top Domains in Tweet in G6</t>
  </si>
  <si>
    <t>Top Domains in Tweet</t>
  </si>
  <si>
    <t>straitstimes.com timesofisrael.com</t>
  </si>
  <si>
    <t>soci.org linkedin.com foodingredientsfirst.com marqmetrix.com</t>
  </si>
  <si>
    <t>cellbasednews.com foodinstitute.com</t>
  </si>
  <si>
    <t>Top Hashtags in Tweet in Entire Graph</t>
  </si>
  <si>
    <t>raman</t>
  </si>
  <si>
    <t>qualitycontrol</t>
  </si>
  <si>
    <t>altprotein</t>
  </si>
  <si>
    <t>foodtech</t>
  </si>
  <si>
    <t>cultivatedbeef</t>
  </si>
  <si>
    <t>cravechange</t>
  </si>
  <si>
    <t>sustainability</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</si>
  <si>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</si>
  <si>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</si>
  <si>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</si>
  <si>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</si>
  <si>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</si>
  <si>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</si>
  <si>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</si>
  <si>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</si>
  <si>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</si>
  <si>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</si>
  <si>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</si>
  <si>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</si>
  <si>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</si>
  <si>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</si>
  <si>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</si>
  <si>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facility manufacturer cultivated aster contract produce esco mosa_meat clients capacity</t>
  </si>
  <si>
    <t>article development new more advancing check cellagritech learn out meat</t>
  </si>
  <si>
    <t>meat cultured t co grown</t>
  </si>
  <si>
    <t>food step s applied safety completed center chicken nutrition administration</t>
  </si>
  <si>
    <t>free cultivated cultured meat join advocates entrepreneurs community agriculture here</t>
  </si>
  <si>
    <t>Top Word Pairs in Tweet in Entire Graph</t>
  </si>
  <si>
    <t>cultivated,meat</t>
  </si>
  <si>
    <t>esco,aster</t>
  </si>
  <si>
    <t>contract,manufacturer</t>
  </si>
  <si>
    <t>000l,bioreactor</t>
  </si>
  <si>
    <t>clients,including</t>
  </si>
  <si>
    <t>tons,cultivated</t>
  </si>
  <si>
    <t>capacity,produce</t>
  </si>
  <si>
    <t>facility,operational</t>
  </si>
  <si>
    <t>aster,facility</t>
  </si>
  <si>
    <t>cultured,meat</t>
  </si>
  <si>
    <t>Top Word Pairs in Tweet in G1</t>
  </si>
  <si>
    <t>mosa_meat,itsmeatable</t>
  </si>
  <si>
    <t>including,mosa_meat</t>
  </si>
  <si>
    <t>meat,annually</t>
  </si>
  <si>
    <t>bioreactor,capacity</t>
  </si>
  <si>
    <t>Top Word Pairs in Tweet in G2</t>
  </si>
  <si>
    <t>advancing,development</t>
  </si>
  <si>
    <t>cell,cultured</t>
  </si>
  <si>
    <t>new,article</t>
  </si>
  <si>
    <t>more,#metabolomics</t>
  </si>
  <si>
    <t>article,cellagritech</t>
  </si>
  <si>
    <t>check,out</t>
  </si>
  <si>
    <t>cellagritech,learn</t>
  </si>
  <si>
    <t>out,new</t>
  </si>
  <si>
    <t>learn,more</t>
  </si>
  <si>
    <t>Top Word Pairs in Tweet in G3</t>
  </si>
  <si>
    <t>Top Word Pairs in Tweet in G4</t>
  </si>
  <si>
    <t>food,safety</t>
  </si>
  <si>
    <t>premarket,consultation</t>
  </si>
  <si>
    <t>human,food</t>
  </si>
  <si>
    <t>s,center</t>
  </si>
  <si>
    <t>dinner,tables</t>
  </si>
  <si>
    <t>safety,applied</t>
  </si>
  <si>
    <t>brings,cultivated</t>
  </si>
  <si>
    <t>applied,nutrition</t>
  </si>
  <si>
    <t>chicken,one</t>
  </si>
  <si>
    <t>cultured,animal</t>
  </si>
  <si>
    <t>Top Word Pairs in Tweet in G5</t>
  </si>
  <si>
    <t>Top Word Pairs in Tweet in G6</t>
  </si>
  <si>
    <t>agriculture,entrepreneurs</t>
  </si>
  <si>
    <t>free,newsletter</t>
  </si>
  <si>
    <t>newsletter,curates</t>
  </si>
  <si>
    <t>news,world</t>
  </si>
  <si>
    <t>curates,meaningful</t>
  </si>
  <si>
    <t>week,deliver</t>
  </si>
  <si>
    <t>community,global</t>
  </si>
  <si>
    <t>each,week</t>
  </si>
  <si>
    <t>scientists,advocates</t>
  </si>
  <si>
    <t>Top Word Pairs in Tweet</t>
  </si>
  <si>
    <t>esco,aster  contract,manufacturer  facility,operational  mosa_meat,itsmeatable  including,mosa_meat  meat,annually  bioreactor,capacity  cultivated,meat  clients,including  tons,cultivated</t>
  </si>
  <si>
    <t>advancing,development  cell,cultured  new,article  more,#metabolomics  article,cellagritech  check,out  cellagritech,learn  out,new  learn,more  cultured,meat</t>
  </si>
  <si>
    <t>food,safety  premarket,consultation  human,food  s,center  dinner,tables  safety,applied  brings,cultivated  applied,nutrition  chicken,one  cultured,animal</t>
  </si>
  <si>
    <t>cultivated,meat  agriculture,entrepreneurs  free,newsletter  newsletter,curates  news,world  curates,meaningful  week,deliver  community,global  each,week  scientists,advocates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</si>
  <si>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</si>
  <si>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</si>
  <si>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</si>
  <si>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</si>
  <si>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</si>
  <si>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</si>
  <si>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</si>
  <si>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</si>
  <si>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</si>
  <si>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</si>
  <si>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</si>
  <si>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</si>
  <si>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</si>
  <si>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</si>
  <si>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</si>
  <si>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</si>
  <si>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mosa_meat itsmeatable alephfarms</t>
  </si>
  <si>
    <t>mosa_meat nutreco</t>
  </si>
  <si>
    <t>Top Tweeters in Entire Graph</t>
  </si>
  <si>
    <t>Top Tweeters in G1</t>
  </si>
  <si>
    <t>Top Tweeters in G2</t>
  </si>
  <si>
    <t>Top Tweeters in G3</t>
  </si>
  <si>
    <t>Top Tweeters in G4</t>
  </si>
  <si>
    <t>Top Tweeters in G5</t>
  </si>
  <si>
    <t>Top Tweeters in G6</t>
  </si>
  <si>
    <t>Top Tweeters</t>
  </si>
  <si>
    <t>goalsecom craftmeati elliotswartz biftekco alephfarms mosa_meat itsmeatable</t>
  </si>
  <si>
    <t>binfotrends cellagritech hmtmetabolomics</t>
  </si>
  <si>
    <t>sciupdate marqmetrix_inc theashiwani</t>
  </si>
  <si>
    <t>vetpathophile avmajavma</t>
  </si>
  <si>
    <t>mercuryglobal nutreco</t>
  </si>
  <si>
    <t>fundtrading cellbasednews</t>
  </si>
  <si>
    <t>URLs in Tweet by Count</t>
  </si>
  <si>
    <t>https://foodinstitute.com/focus/cell-cultured-snapshot-how-to-make-meat/ https://www.cellbasednews.com/</t>
  </si>
  <si>
    <t>https://www.timesofisrael.com/kosher-now-maybe-halal-aleph-farms-gears-up-for-rollout-of-cultivated-steak/ https://www.straitstimes.com/singapore/cell-cultured-meat-industry-set-for-another-leap-forward-with-new-changi-plant</t>
  </si>
  <si>
    <t>URLs in Tweet by Salience</t>
  </si>
  <si>
    <t>Domains in Tweet by Count</t>
  </si>
  <si>
    <t>foodinstitute.com cellbasednews.com</t>
  </si>
  <si>
    <t>timesofisrael.com straitstimes.com</t>
  </si>
  <si>
    <t>Domains in Tweet by Salience</t>
  </si>
  <si>
    <t>Hashtags in Tweet by Count</t>
  </si>
  <si>
    <t>Hashtags in Tweet by Salience</t>
  </si>
  <si>
    <t>cultivatedbeef cravechange sustainability foodtech</t>
  </si>
  <si>
    <t>altprotein qualitycontrol raman cultured</t>
  </si>
  <si>
    <t>Top Words in Tweet by Count</t>
  </si>
  <si>
    <t>having doctor became world medical burger grafts tissue worked inspired</t>
  </si>
  <si>
    <t>free join advocates entrepreneurs community agriculture here cellular newsletter global</t>
  </si>
  <si>
    <t>free join advocates entrepreneurs community agriculture here created cellular products</t>
  </si>
  <si>
    <t>t grown oxkn6rkvvy https such big animal products 2020 recently</t>
  </si>
  <si>
    <t>mosa_meat develop feed company low chain #foodtech #sustainability #cravechange #cultivatedbeef</t>
  </si>
  <si>
    <t>mosa_meat facility contract house clients tons bioreactor manufacturer 400 aster</t>
  </si>
  <si>
    <t>facility manufacturer new aster contract produce esco steak mosa_meat clients</t>
  </si>
  <si>
    <t>spectroscopy raman crucial read more sustainability play role #cultured costs</t>
  </si>
  <si>
    <t>article development new more advancing check cellagritech learn out cell</t>
  </si>
  <si>
    <t>Top Words in Tweet by Salience</t>
  </si>
  <si>
    <t>new steak mosa_meat clients israeli israel capacity 000l 2025 50</t>
  </si>
  <si>
    <t>Top Word Pairs in Tweet by Count</t>
  </si>
  <si>
    <t>training,having  worked,tissue  inspired,possibilities  first,cultured  cultured,burger  scientist,behind  world,s  having,worked  co,founded  register,now</t>
  </si>
  <si>
    <t>world,cultivated  meaningful,news  dairy,sign  meat,cultured  agriculture,entrepreneurs  news,world  cultured,dairy  advocates,each  entrepreneurs,scientists  newsletter,curates</t>
  </si>
  <si>
    <t>cultivated,meat  agriculture,entrepreneurs  soon,consumers  created,soon  free,newsletter  newsletter,curates  news,world  curates,meaningful  week,deliver  community,global</t>
  </si>
  <si>
    <t>meat,products  products,hot  hot,topic  topic,recent  commercialization,singapore  grown,meat  singapore,2020  create,lab  cultured,meat  such,commercialization</t>
  </si>
  <si>
    <t>scale,up  commitment,develop  loi,announcing  produce,low  feed,supply  production,#cultivatedbeef  announcing,commitment  chain,scale  #cravechange,#sustainability  signed,loi</t>
  </si>
  <si>
    <t>clients,including  meat,annually  500,tons  operational,2025  50,000l  capacity,produce  including,mosa_meat  house,50  contract,manufacturer  tons,cultivated</t>
  </si>
  <si>
    <t>contract,manufacturer  esco,aster  new,facility  clients,including  meat,annually  #cultivatedmeat,manufacturer  500,tons  operational,2025  halal,certified  steak,new</t>
  </si>
  <si>
    <t>more,#cultured  reducing,costs  raman,spectroscopy  spectroscopy,play  sustainability,read  industry,continues  #raman,#qualitycontrol  costs,improving  role,reducing  continues,scale</t>
  </si>
  <si>
    <t>Top Word Pairs in Tweet by Salience</t>
  </si>
  <si>
    <t>agriculture,entrepreneurs  soon,consumers  created,soon  free,newsletter  newsletter,curates  news,world  curates,meaningful  week,deliver  community,global  each,week</t>
  </si>
  <si>
    <t>new,facility  clients,including  meat,annually  #cultivatedmeat,manufacturer  500,tons  operational,2025  halal,certified  steak,new  50,000l  partners,contract</t>
  </si>
  <si>
    <t>Count of Tweet Date (UTC)</t>
  </si>
  <si>
    <t>Row Labels</t>
  </si>
  <si>
    <t>Grand Total</t>
  </si>
  <si>
    <t>Green</t>
  </si>
  <si>
    <t>G1: facility manufacturer cultivated aster contract produce esco mosa_meat clients capacity</t>
  </si>
  <si>
    <t>G2: article development new more advancing check cellagritech learn out meat</t>
  </si>
  <si>
    <t>G3: meat cultured t co grown</t>
  </si>
  <si>
    <t>G4: food step s applied safety completed center chicken nutrition administration</t>
  </si>
  <si>
    <t>G6: free cultivated cultured meat join advocates entrepreneurs community agriculture here</t>
  </si>
  <si>
    <t>Edge Weight▓1▓1▓0▓True▓Green▓Red▓▓Edge Weight▓1▓1▓0▓3▓10▓False▓Edge Weight▓1▓1▓0▓32▓6▓False▓▓0▓0▓0▓True▓Black▓Black▓▓Followers▓3▓6679▓0▓162▓1000▓False▓Followers▓3▓25128▓0▓100▓70▓False▓▓0▓0▓0▓0▓0▓False▓▓0▓0▓0▓0▓0▓False</t>
  </si>
  <si>
    <t>Subgraph</t>
  </si>
  <si>
    <t>GraphSource░TwitterSearch▓GraphTerm░cultured meat and cultivated meat▓ImportDescription░The graph represents a network of 18 Twitter users whose recent tweets contained "cultured meat and cultivated meat", or who were replied to or mentioned in those tweets, taken from a data set limited to a maximum of 18,000 tweets.  The network was obtained from Twitter on Friday, 10 March 2023 at 20:28 UTC.
The tweets in the network were tweeted over the 9-day, 3-hour, 46-minute period from Wednesday, 01 March 2023 at 15:11 UTC to Friday, 10 March 2023 at 18:57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"mentions".▓ImportSuggestedTitle░cultured meat and cultivated meat Twitter NodeXL SNA Map and Report for Friday, 10 March 2023 at 20:28 UTC▓ImportSuggestedFileNameNoExtension░2023-03-10 20-28-05 NodeXL Twitter Search cultured meat and cultivated meat▓GroupingDescription░The graph's vertices were grouped by cluster using the Clauset-Newman-Moore cluster algorithm.▓LayoutAlgorithm░The graph was laid out using the Harel-Koren Fast Multiscale layout algorithm.▓GraphDirectedness░The graph is directed.</t>
  </si>
  <si>
    <t>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&lt;value&gt;nassar&lt;/value&gt;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t>
  </si>
  <si>
    <t>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Paths,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t>
  </si>
  <si>
    <t>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
de             
en             
van            
ik             
te             
dat            
die            
in             
een            
hij            
het            
niet           
zijn           
is             
was            
op             
aan            
met            
als            
voor           
had            
er             
maar           
om             
hem            
dan            
zou            
of             
wat            
mijn           
men            
dit            
zo             
door           
over           
ze             
zich           
bij            
ook            
tot            
je             
mij            
uit            
der            
daar           
haar           
naar           
heb            
hoe            
heeft          
hebben         
deze           
u              
want           
nog            
zal            
me             
zij            
nu             
ge             
geen           
omdat          
iets           
worden         
toch           
al             
waren          
veel           
meer           
doen           
toen           
moet           
ben            
zonder         
kan            
hun            
dus            
alles          
onder          
ja             
eens           
hier           
wie            
werd           
altijd         
doch           
wordt          
wezen          
kunnen         
ons            
zelf           
tegen          
na             
reeds          
wil            
kon            
niets          
uw             
iemand
geweest
andere▓SentimentList1Name░Positive▓SentimentList2Name░Negative▓SentimentList3Name░Angry/Violent▓SentimentWordsInList1░a+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t>
  </si>
  <si>
    <t>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t>
  </si>
  <si>
    <t>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t>
  </si>
  <si>
    <t>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t>
  </si>
  <si>
    <t>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t>
  </si>
  <si>
    <t>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t>
  </si>
  <si>
    <t>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t>
  </si>
  <si>
    <t>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t>
  </si>
  <si>
    <t xml:space="preserve">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t>
  </si>
  <si>
    <t xml:space="preserve">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t>
  </si>
  <si>
    <t>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t>
  </si>
  <si>
    <t xml:space="preserve">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name="PathUserSettings" serializeAs="String"&gt;
        &lt;value&gt;EdgeColumnName░Imported ID▓EdgeParentColumnName░Unified Twitter ID&lt;/value&gt;
      &lt;/setting&gt;
      &lt;setting name="NetworkTopItemsListUserSettings" serializeAs="Xml"&gt;
        &lt;value&gt;
          &lt;NetworkTopItemsListUserSettings xmlns:xsi="http://www.w3.org/2001/XMLSchema-instance" xmlns:xsd="http://www.w3.org/2001/XMLSchema"&gt;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&lt;value&gt;ReadWorkbook, SaveWorkbookIfNeverSaved, ExportToNodeXLGraphGallery&lt;/value&gt;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t>
  </si>
  <si>
    <t>&lt;/setting&gt;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t>
  </si>
  <si>
    <t>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&lt;value&gt;Times New Roman, 38.25pt White BottomCenter 2147483647 2147483647 Black True 360 Black 86 TopLeft Microsoft Sans Serif, 48pt Microsoft Sans Serif, 12pt&lt;/value&gt;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&lt;ExportToPowerPointUserSettings&gt;
      &lt;setting name="FolderPath" serializeAs="String"&gt;
        &lt;value&gt;C:\Users\Marc Smith\Dropbox\_NodeXL\NodeXL Data\Twitter&lt;/value&gt;
      &lt;/setting&gt;
      &lt;setting name="Footer" serializeAs="String"&gt;
        &lt;value&gt;Created with NodeXL (http://nodexl.codeplex.com) from the Social Media Research Foundation (http://www.smrfoundation.org)&lt;/value&gt;
      &lt;/setting&gt;
    &lt;/ExportToPowerPointUserSettings&gt;
  &lt;/userSettings&gt;
&lt;/configuration&gt;</t>
  </si>
  <si>
    <t>TwitterSearch</t>
  </si>
  <si>
    <t>cultured meat and cultivated meat</t>
  </si>
  <si>
    <t>The graph represents a network of 18 Twitter users whose recent tweets contained "cultured meat and cultivated meat", or who were replied to or mentioned in those tweets, taken from a data set limited to a maximum of 18,000 tweets.  The network was obtained from Twitter on Friday, 10 March 2023 at 20:28 UTC.
The tweets in the network were tweeted over the 9-day, 3-hour, 46-minute period from Wednesday, 01 March 2023 at 15:11 UTC to Friday, 10 March 2023 at 18:57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</si>
  <si>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</si>
  <si>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</si>
  <si>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https://nodexlgraphgallery.org/Pages/Graph.aspx?graphID=290824</t>
  </si>
  <si>
    <t>https://nodexlgraphgallery.org/Images/Image.ashx?graphID=290824&amp;type=f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</si>
</sst>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5">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1" xfId="25" applyNumberFormat="1" applyBorder="1" applyAlignment="1">
      <alignment wrapText="1"/>
    </xf>
    <xf numFmtId="49" fontId="6" fillId="5" borderId="1" xfId="25" applyNumberFormat="1" applyAlignment="1">
      <alignment/>
    </xf>
    <xf numFmtId="49" fontId="6" fillId="5" borderId="11" xfId="25" applyNumberFormat="1" applyBorder="1" applyAlignment="1">
      <alignment/>
    </xf>
    <xf numFmtId="49" fontId="0" fillId="0" borderId="0" xfId="22" applyNumberFormat="1" applyFont="1" applyBorder="1" applyAlignment="1">
      <alignment/>
    </xf>
    <xf numFmtId="0" fontId="0" fillId="3" borderId="11" xfId="23" applyNumberFormat="1" applyFont="1" applyBorder="1" applyAlignment="1">
      <alignment wrapText="1"/>
    </xf>
    <xf numFmtId="164" fontId="0" fillId="3" borderId="11" xfId="23" applyNumberFormat="1" applyFont="1" applyBorder="1" applyAlignment="1">
      <alignment wrapText="1"/>
    </xf>
    <xf numFmtId="1" fontId="0" fillId="3" borderId="11" xfId="23" applyNumberFormat="1" applyFon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0" fontId="0" fillId="0" borderId="0" xfId="0" applyFill="1" applyBorder="1" applyAlignment="1" quotePrefix="1">
      <alignment/>
    </xf>
    <xf numFmtId="14" fontId="0" fillId="0" borderId="0" xfId="0" applyNumberFormat="1" applyFill="1" applyBorder="1" applyAlignment="1">
      <alignment/>
    </xf>
    <xf numFmtId="0" fontId="0" fillId="3" borderId="1" xfId="23" applyNumberFormat="1" applyFont="1" applyAlignment="1">
      <alignment/>
    </xf>
    <xf numFmtId="49" fontId="0" fillId="0" borderId="0" xfId="0" applyNumberFormat="1" applyAlignment="1">
      <alignment/>
    </xf>
    <xf numFmtId="0" fontId="0" fillId="0" borderId="0" xfId="0" applyNumberFormat="1"/>
    <xf numFmtId="49" fontId="0" fillId="0" borderId="0" xfId="0" applyNumberFormat="1" applyFill="1" applyAlignment="1">
      <alignment/>
    </xf>
    <xf numFmtId="22" fontId="0" fillId="0" borderId="0" xfId="0" applyNumberFormat="1" applyAlignment="1" quotePrefix="1">
      <alignment/>
    </xf>
    <xf numFmtId="21" fontId="0" fillId="0" borderId="0" xfId="0" applyNumberFormat="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wrapText="1"/>
    </xf>
    <xf numFmtId="164" fontId="0" fillId="3" borderId="1" xfId="23" applyNumberFormat="1" applyFont="1" applyBorder="1" applyAlignment="1">
      <alignment wrapText="1"/>
    </xf>
    <xf numFmtId="1" fontId="0" fillId="3" borderId="1" xfId="23" applyNumberFormat="1" applyFont="1" applyBorder="1" applyAlignment="1">
      <alignment wrapText="1"/>
    </xf>
    <xf numFmtId="49" fontId="6" fillId="5" borderId="1" xfId="25" applyNumberFormat="1" applyBorder="1" applyAlignment="1">
      <alignment wrapText="1"/>
    </xf>
    <xf numFmtId="0" fontId="6" fillId="5" borderId="1" xfId="25" applyNumberFormat="1" applyBorder="1" applyAlignment="1">
      <alignment wrapText="1"/>
    </xf>
    <xf numFmtId="0" fontId="0" fillId="2" borderId="1" xfId="20" applyNumberFormat="1" applyFont="1" applyBorder="1" applyAlignment="1">
      <alignment wrapText="1"/>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7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78"/>
      <tableStyleElement type="headerRow" dxfId="577"/>
    </tableStyle>
    <tableStyle name="NodeXL Table" pivot="0" count="1">
      <tableStyleElement type="headerRow" dxfId="57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pivotCacheDefinition" Target="pivotCache/pivotCacheDefinition1.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customXml" Target="../customXml/item1.xml" /><Relationship Id="rId23" Type="http://schemas.microsoft.com/office/2007/relationships/slicerCache" Target="/xl/slicerCaches/slicerCache1.xml" /><Relationship Id="rId24" Type="http://schemas.microsoft.com/office/2007/relationships/slicerCache" Target="/xl/slicerCaches/slicerCache2.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915365"/>
        <c:axId val="50693966"/>
      </c:barChart>
      <c:catAx>
        <c:axId val="429153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693966"/>
        <c:crosses val="autoZero"/>
        <c:auto val="1"/>
        <c:lblOffset val="100"/>
        <c:noMultiLvlLbl val="0"/>
      </c:catAx>
      <c:valAx>
        <c:axId val="50693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153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cultured meat and cultivated meat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5"/>
                <c:pt idx="0">
                  <c:v>2/14/2023 16:21</c:v>
                </c:pt>
                <c:pt idx="1">
                  <c:v>3/1/2023 15:11</c:v>
                </c:pt>
                <c:pt idx="2">
                  <c:v>3/2/2023 16:12</c:v>
                </c:pt>
                <c:pt idx="3">
                  <c:v>3/3/2023 18:46</c:v>
                </c:pt>
                <c:pt idx="4">
                  <c:v>3/4/2023 11:09</c:v>
                </c:pt>
                <c:pt idx="5">
                  <c:v>3/6/2023 18:03</c:v>
                </c:pt>
                <c:pt idx="6">
                  <c:v>3/7/2023 2:03</c:v>
                </c:pt>
                <c:pt idx="7">
                  <c:v>3/7/2023 3:49</c:v>
                </c:pt>
                <c:pt idx="8">
                  <c:v>3/7/2023 4:40</c:v>
                </c:pt>
                <c:pt idx="9">
                  <c:v>3/7/2023 6:28</c:v>
                </c:pt>
                <c:pt idx="10">
                  <c:v>3/7/2023 16:00</c:v>
                </c:pt>
                <c:pt idx="11">
                  <c:v>3/9/2023 20:02</c:v>
                </c:pt>
                <c:pt idx="12">
                  <c:v>3/9/2023 20:07</c:v>
                </c:pt>
                <c:pt idx="13">
                  <c:v>3/10/2023 18:57</c:v>
                </c:pt>
                <c:pt idx="14">
                  <c:v>3/10/2023 19:12</c:v>
                </c:pt>
              </c:strCache>
            </c:strRef>
          </c:cat>
          <c:val>
            <c:numRef>
              <c:f>'Time Series'!$B$26:$B$41</c:f>
              <c:numCache>
                <c:formatCode>General</c:formatCode>
                <c:ptCount val="15"/>
                <c:pt idx="0">
                  <c:v>1</c:v>
                </c:pt>
                <c:pt idx="1">
                  <c:v>1</c:v>
                </c:pt>
                <c:pt idx="2">
                  <c:v>1</c:v>
                </c:pt>
                <c:pt idx="3">
                  <c:v>1</c:v>
                </c:pt>
                <c:pt idx="4">
                  <c:v>1</c:v>
                </c:pt>
                <c:pt idx="5">
                  <c:v>1</c:v>
                </c:pt>
                <c:pt idx="6">
                  <c:v>2</c:v>
                </c:pt>
                <c:pt idx="7">
                  <c:v>1</c:v>
                </c:pt>
                <c:pt idx="8">
                  <c:v>1</c:v>
                </c:pt>
                <c:pt idx="9">
                  <c:v>1</c:v>
                </c:pt>
                <c:pt idx="10">
                  <c:v>1</c:v>
                </c:pt>
                <c:pt idx="11">
                  <c:v>1</c:v>
                </c:pt>
                <c:pt idx="12">
                  <c:v>1</c:v>
                </c:pt>
                <c:pt idx="13">
                  <c:v>1</c:v>
                </c:pt>
                <c:pt idx="14">
                  <c:v>1</c:v>
                </c:pt>
              </c:numCache>
            </c:numRef>
          </c:val>
        </c:ser>
        <c:axId val="61123343"/>
        <c:axId val="13239176"/>
      </c:barChart>
      <c:catAx>
        <c:axId val="61123343"/>
        <c:scaling>
          <c:orientation val="minMax"/>
        </c:scaling>
        <c:axPos val="b"/>
        <c:delete val="0"/>
        <c:numFmt formatCode="General" sourceLinked="1"/>
        <c:majorTickMark val="out"/>
        <c:minorTickMark val="none"/>
        <c:tickLblPos val="nextTo"/>
        <c:crossAx val="13239176"/>
        <c:crosses val="autoZero"/>
        <c:auto val="1"/>
        <c:lblOffset val="100"/>
        <c:noMultiLvlLbl val="0"/>
      </c:catAx>
      <c:valAx>
        <c:axId val="13239176"/>
        <c:scaling>
          <c:orientation val="minMax"/>
        </c:scaling>
        <c:axPos val="l"/>
        <c:majorGridlines/>
        <c:delete val="0"/>
        <c:numFmt formatCode="General" sourceLinked="1"/>
        <c:majorTickMark val="out"/>
        <c:minorTickMark val="none"/>
        <c:tickLblPos val="nextTo"/>
        <c:crossAx val="6112334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592511"/>
        <c:axId val="12570552"/>
      </c:barChart>
      <c:catAx>
        <c:axId val="5359251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570552"/>
        <c:crosses val="autoZero"/>
        <c:auto val="1"/>
        <c:lblOffset val="100"/>
        <c:noMultiLvlLbl val="0"/>
      </c:catAx>
      <c:valAx>
        <c:axId val="125705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5925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026105"/>
        <c:axId val="11581762"/>
      </c:barChart>
      <c:catAx>
        <c:axId val="4602610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581762"/>
        <c:crosses val="autoZero"/>
        <c:auto val="1"/>
        <c:lblOffset val="100"/>
        <c:noMultiLvlLbl val="0"/>
      </c:catAx>
      <c:valAx>
        <c:axId val="11581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26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126995"/>
        <c:axId val="65707500"/>
      </c:barChart>
      <c:catAx>
        <c:axId val="371269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707500"/>
        <c:crosses val="autoZero"/>
        <c:auto val="1"/>
        <c:lblOffset val="100"/>
        <c:noMultiLvlLbl val="0"/>
      </c:catAx>
      <c:valAx>
        <c:axId val="65707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269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496589"/>
        <c:axId val="20707254"/>
      </c:barChart>
      <c:catAx>
        <c:axId val="5449658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707254"/>
        <c:crosses val="autoZero"/>
        <c:auto val="1"/>
        <c:lblOffset val="100"/>
        <c:noMultiLvlLbl val="0"/>
      </c:catAx>
      <c:valAx>
        <c:axId val="207072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965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147559"/>
        <c:axId val="66674848"/>
      </c:barChart>
      <c:catAx>
        <c:axId val="521475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674848"/>
        <c:crosses val="autoZero"/>
        <c:auto val="1"/>
        <c:lblOffset val="100"/>
        <c:noMultiLvlLbl val="0"/>
      </c:catAx>
      <c:valAx>
        <c:axId val="66674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475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202721"/>
        <c:axId val="31953578"/>
      </c:barChart>
      <c:catAx>
        <c:axId val="6320272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953578"/>
        <c:crosses val="autoZero"/>
        <c:auto val="1"/>
        <c:lblOffset val="100"/>
        <c:noMultiLvlLbl val="0"/>
      </c:catAx>
      <c:valAx>
        <c:axId val="319535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027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146747"/>
        <c:axId val="38102996"/>
      </c:barChart>
      <c:catAx>
        <c:axId val="1914674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102996"/>
        <c:crosses val="autoZero"/>
        <c:auto val="1"/>
        <c:lblOffset val="100"/>
        <c:noMultiLvlLbl val="0"/>
      </c:catAx>
      <c:valAx>
        <c:axId val="381029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467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7382645"/>
        <c:axId val="66443806"/>
      </c:barChart>
      <c:catAx>
        <c:axId val="7382645"/>
        <c:scaling>
          <c:orientation val="minMax"/>
        </c:scaling>
        <c:axPos val="b"/>
        <c:delete val="1"/>
        <c:majorTickMark val="out"/>
        <c:minorTickMark val="none"/>
        <c:tickLblPos val="none"/>
        <c:crossAx val="66443806"/>
        <c:crosses val="autoZero"/>
        <c:auto val="1"/>
        <c:lblOffset val="100"/>
        <c:noMultiLvlLbl val="0"/>
      </c:catAx>
      <c:valAx>
        <c:axId val="66443806"/>
        <c:scaling>
          <c:orientation val="minMax"/>
        </c:scaling>
        <c:axPos val="l"/>
        <c:delete val="1"/>
        <c:majorTickMark val="out"/>
        <c:minorTickMark val="none"/>
        <c:tickLblPos val="none"/>
        <c:crossAx val="73826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sciupdat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cellbasednew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fundtrading"/>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theashiwan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mercurygloba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nutrec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mosa_meat"/>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craftmeat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itsmeatabl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elliotswartz"/>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goalsecom"/>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biftekco"/>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marqmetrix_inc"/>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avmajavm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vetpathophil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hmtmetabolomic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cellagritech"/>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binfotrend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alephfarm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 refreshedBy="Nasir Assar" refreshedVersion="8">
  <cacheSource type="worksheet">
    <worksheetSource ref="A2:BO18"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Re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Blank="1" containsMixedTypes="0" count="5">
        <m/>
        <s v="foodtech cultivatedbeef cravechange sustainability"/>
        <s v="cultured raman qualitycontrol altprotein"/>
        <s v="metabolomics"/>
        <s v="cultivatedme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
        <d v="2023-03-02T16:12:44.000"/>
        <d v="2023-02-14T16:21:26.000"/>
        <d v="2023-03-03T18:46:46.000"/>
        <d v="2023-03-01T15:11:02.000"/>
        <d v="2023-03-04T11:09:25.000"/>
        <d v="2023-03-06T18:03:01.000"/>
        <d v="2023-03-07T03:49:17.000"/>
        <d v="2023-03-07T04:40:48.000"/>
        <d v="2023-03-07T02:03:30.000"/>
        <d v="2023-03-07T06:28:24.000"/>
        <d v="2023-03-07T16:00:52.000"/>
        <d v="2023-03-09T20:02:20.000"/>
        <d v="2023-03-09T20:07:57.000"/>
        <d v="2023-03-10T18:57:51.000"/>
        <d v="2023-03-10T19:12:5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Path ID">
      <sharedItems containsSemiMixedTypes="0" containsString="0" containsMixedTypes="0" containsNumber="1" containsInteger="1"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616491115"/>
    </ext>
  </extLst>
</pivotCacheDefinition>
</file>

<file path=xl/pivotCache/pivotCacheRecords1.xml><?xml version="1.0" encoding="utf-8"?>
<pivotCacheRecords xmlns="http://schemas.openxmlformats.org/spreadsheetml/2006/main" xmlns:r="http://schemas.openxmlformats.org/officeDocument/2006/relationships" count="16">
  <r>
    <s v="sciupdate"/>
    <s v="sciupdate"/>
    <m/>
    <m/>
    <m/>
    <m/>
    <m/>
    <m/>
    <m/>
    <m/>
    <s v="No"/>
    <n v="3"/>
    <m/>
    <m/>
    <x v="0"/>
    <d v="2023-03-02T16:12:44.000"/>
    <s v="📢Register Now! https://t.co/72BiwBfgEz_x000a_Mark is the scientist behind the world’s first cultured burger. As a medical doctor by training and having worked on tissue engineering for vascular grafts, he became inspired by the possibilities of cultured meat, and co-founded Mosa Meat. https://t.co/J9owhYqWgU"/>
    <s v="https://www.soci.org/events/hq-events/2023/cultivated-meat-from-the-field-via-cellular-agriculture-to-the-plate"/>
    <s v="soci.org"/>
    <x v="0"/>
    <s v="https://pbs.twimg.com/media/FqOiPuSWcAArbXJ.jpg"/>
    <s v="https://pbs.twimg.com/media/FqOiPuSWcAArbXJ.jpg"/>
    <x v="0"/>
    <d v="2023-03-02T00:00:00.000"/>
    <s v="16:12:44"/>
    <s v="https://twitter.com/sciupdate/status/1631326683398803457"/>
    <m/>
    <m/>
    <s v="1631326683398803457"/>
    <m/>
    <b v="0"/>
    <n v="0"/>
    <s v=""/>
    <b v="0"/>
    <s v="en"/>
    <m/>
    <s v=""/>
    <b v="0"/>
    <n v="0"/>
    <s v=""/>
    <s v="Twitter Web App"/>
    <b v="0"/>
    <s v="1631326683398803457"/>
    <s v="Tweet"/>
    <n v="0"/>
    <n v="0"/>
    <m/>
    <m/>
    <m/>
    <m/>
    <m/>
    <m/>
    <m/>
    <m/>
    <n v="1"/>
    <s v="3"/>
    <s v="3"/>
    <n v="9"/>
    <n v="1"/>
    <n v="2.380952380952381"/>
    <n v="0"/>
    <n v="0"/>
    <n v="0"/>
    <n v="0"/>
    <n v="27"/>
    <n v="64.28571428571429"/>
    <n v="42"/>
  </r>
  <r>
    <s v="cellbasednews"/>
    <s v="cellbasednews"/>
    <m/>
    <m/>
    <m/>
    <m/>
    <m/>
    <m/>
    <m/>
    <m/>
    <s v="No"/>
    <n v="4"/>
    <m/>
    <m/>
    <x v="0"/>
    <d v="2023-02-14T16:21:26.000"/>
    <s v="Join our community of global cellular agriculture entrepreneurs, scientists and advocates. _x000a__x000a_Each week we deliver a free newsletter that curates the most meaningful news in the world of cultivated meat and cultured dairy. _x000a__x000a_Sign up here, free:_x000a__x000a_https://t.co/DDa9mVIMRM"/>
    <s v="https://www.cellbasednews.com/"/>
    <s v="cellbasednews.com"/>
    <x v="0"/>
    <m/>
    <s v="https://pbs.twimg.com/profile_images/1609275616767119365/z90gUKUY_normal.jpg"/>
    <x v="1"/>
    <d v="2023-02-14T00:00:00.000"/>
    <s v="16:21:26"/>
    <s v="https://twitter.com/cellbasednews/status/1625530667671994373"/>
    <m/>
    <m/>
    <s v="1625530667671994373"/>
    <m/>
    <b v="0"/>
    <n v="2"/>
    <s v=""/>
    <b v="0"/>
    <s v="en"/>
    <m/>
    <s v=""/>
    <b v="0"/>
    <n v="2"/>
    <s v=""/>
    <s v="Twitter Web App"/>
    <b v="0"/>
    <s v="1625530667671994373"/>
    <s v="Retweet"/>
    <n v="0"/>
    <n v="0"/>
    <m/>
    <m/>
    <m/>
    <m/>
    <m/>
    <m/>
    <m/>
    <m/>
    <n v="1"/>
    <s v="6"/>
    <s v="6"/>
    <n v="8"/>
    <n v="4"/>
    <n v="10.81081081081081"/>
    <n v="0"/>
    <n v="0"/>
    <n v="0"/>
    <n v="0"/>
    <n v="21"/>
    <n v="56.75675675675676"/>
    <n v="37"/>
  </r>
  <r>
    <s v="fundtrading"/>
    <s v="cellbasednews"/>
    <m/>
    <m/>
    <m/>
    <m/>
    <m/>
    <m/>
    <m/>
    <m/>
    <s v="No"/>
    <n v="5"/>
    <m/>
    <m/>
    <x v="1"/>
    <d v="2023-03-03T18:46:46.000"/>
    <s v="Join our community of global cellular agriculture entrepreneurs, scientists and advocates. _x000a__x000a_Each week we deliver a free newsletter that curates the most meaningful news in the world of cultivated meat and cultured dairy. _x000a__x000a_Sign up here, free:_x000a__x000a_https://t.co/DDa9mVIMRM"/>
    <s v="https://www.cellbasednews.com/"/>
    <s v="cellbasednews.com"/>
    <x v="0"/>
    <m/>
    <s v="https://pbs.twimg.com/profile_images/1354282597380222976/jb9ii-Ga_normal.jpg"/>
    <x v="2"/>
    <d v="2023-03-03T00:00:00.000"/>
    <s v="18:46:46"/>
    <s v="https://twitter.com/fundtrading/status/1631727836431097863"/>
    <m/>
    <m/>
    <s v="1631727836431097863"/>
    <m/>
    <b v="0"/>
    <n v="0"/>
    <s v=""/>
    <b v="0"/>
    <s v="en"/>
    <m/>
    <s v=""/>
    <b v="0"/>
    <n v="2"/>
    <s v="1625530667671994373"/>
    <s v="Twitter for iPhone"/>
    <b v="0"/>
    <s v="1625530667671994373"/>
    <s v="Tweet"/>
    <n v="0"/>
    <n v="0"/>
    <m/>
    <m/>
    <m/>
    <m/>
    <m/>
    <m/>
    <m/>
    <m/>
    <n v="1"/>
    <s v="6"/>
    <s v="6"/>
    <n v="8"/>
    <n v="4"/>
    <n v="10.81081081081081"/>
    <n v="0"/>
    <n v="0"/>
    <n v="0"/>
    <n v="0"/>
    <n v="21"/>
    <n v="56.75675675675676"/>
    <n v="37"/>
  </r>
  <r>
    <s v="fundtrading"/>
    <s v="fundtrading"/>
    <m/>
    <m/>
    <m/>
    <m/>
    <m/>
    <m/>
    <m/>
    <m/>
    <s v="No"/>
    <n v="6"/>
    <m/>
    <m/>
    <x v="0"/>
    <d v="2023-03-01T15:11:02.000"/>
    <s v="https://t.co/Q4Z0IObGHv_x000a_Cell-Cultured Snapshot : how exactly are cuts of cultivated meat created and how soon can consumers purchase these products? https://t.co/dbZ8T0qSi3"/>
    <s v="https://foodinstitute.com/focus/cell-cultured-snapshot-how-to-make-meat/"/>
    <s v="foodinstitute.com"/>
    <x v="0"/>
    <s v="https://pbs.twimg.com/media/FqJLDbXXgAEFmbh.jpg"/>
    <s v="https://pbs.twimg.com/media/FqJLDbXXgAEFmbh.jpg"/>
    <x v="3"/>
    <d v="2023-03-01T00:00:00.000"/>
    <s v="15:11:02"/>
    <s v="https://twitter.com/fundtrading/status/1630948768446021633"/>
    <m/>
    <m/>
    <s v="1630948768446021633"/>
    <m/>
    <b v="0"/>
    <n v="1"/>
    <s v=""/>
    <b v="0"/>
    <s v="en"/>
    <m/>
    <s v=""/>
    <b v="0"/>
    <n v="0"/>
    <s v=""/>
    <s v="Twitter Web App"/>
    <b v="0"/>
    <s v="1630948768446021633"/>
    <s v="Tweet"/>
    <n v="0"/>
    <n v="0"/>
    <m/>
    <m/>
    <m/>
    <m/>
    <m/>
    <m/>
    <m/>
    <m/>
    <n v="1"/>
    <s v="6"/>
    <s v="6"/>
    <n v="7"/>
    <n v="0"/>
    <n v="0"/>
    <n v="0"/>
    <n v="0"/>
    <n v="0"/>
    <n v="0"/>
    <n v="12"/>
    <n v="63.1578947368421"/>
    <n v="19"/>
  </r>
  <r>
    <s v="theashiwani"/>
    <s v="theashiwani"/>
    <m/>
    <m/>
    <m/>
    <m/>
    <m/>
    <m/>
    <m/>
    <m/>
    <s v="No"/>
    <n v="7"/>
    <m/>
    <m/>
    <x v="0"/>
    <d v="2023-03-04T11:09:25.000"/>
    <s v="Cultured meat, or the use of animal cells grown to create lab-grown meat products, has been a hot topic in recent years, with big milestones such as its commercialization in Singapore in 2020 and, recently, regulatory approval in t…https://t.co/OXkn6RKvVY https://t.co/kawmSFffqW"/>
    <s v="https://www.linkedin.com/feed/update/urn:li:share:7037740749643223040 https://www.foodingredientsfirst.com/news/cultivated-meat-players-race-to-commercialization-by-overcoming-critical-cost-and-scaling-challenges.html#.ZAMmdhh3H_s.linkedin"/>
    <s v="linkedin.com foodingredientsfirst.com"/>
    <x v="0"/>
    <m/>
    <s v="https://pbs.twimg.com/profile_images/1611413212670345233/I-uez6tQ_normal.jpg"/>
    <x v="4"/>
    <d v="2023-03-04T00:00:00.000"/>
    <s v="11:09:25"/>
    <s v="https://twitter.com/theashiwani/status/1631975126269845511"/>
    <m/>
    <m/>
    <s v="1631975126269845511"/>
    <m/>
    <b v="0"/>
    <n v="1"/>
    <s v=""/>
    <b v="0"/>
    <s v="en"/>
    <m/>
    <s v=""/>
    <b v="0"/>
    <n v="0"/>
    <s v=""/>
    <s v="LinkedIn"/>
    <b v="0"/>
    <s v="1631975126269845511"/>
    <s v="Tweet"/>
    <n v="0"/>
    <n v="0"/>
    <m/>
    <m/>
    <m/>
    <m/>
    <m/>
    <m/>
    <m/>
    <m/>
    <n v="1"/>
    <s v="3"/>
    <s v="3"/>
    <n v="6"/>
    <n v="2"/>
    <n v="4.545454545454546"/>
    <n v="0"/>
    <n v="0"/>
    <n v="0"/>
    <n v="0"/>
    <n v="27"/>
    <n v="61.36363636363637"/>
    <n v="44"/>
  </r>
  <r>
    <s v="mercuryglobal"/>
    <s v="nutreco"/>
    <m/>
    <m/>
    <m/>
    <m/>
    <m/>
    <m/>
    <m/>
    <m/>
    <s v="No"/>
    <n v="8"/>
    <m/>
    <m/>
    <x v="2"/>
    <d v="2023-03-06T18:03:01.000"/>
    <s v="Dutch #foodtech company @mosa_meat and @Nutreco have signed a LOI announcing their commitment to develop and produce a low-cost cell feed supply chain to scale up the production of #cultivatedbeef. https://t.co/yei9uxdmQP  #CraveChange #Sustainability"/>
    <s v="https://vegconomist.com/cultivated-cell-cultured-biotechnology/mosa-meat-and-nutreco-low-cost-cell-feed/"/>
    <s v="vegconomist.com"/>
    <x v="1"/>
    <m/>
    <s v="https://pbs.twimg.com/profile_images/1314159878710075392/-McujwWI_normal.jpg"/>
    <x v="5"/>
    <d v="2023-03-06T00:00:00.000"/>
    <s v="18:03:01"/>
    <s v="https://twitter.com/mercuryglobal/status/1632803989371625476"/>
    <m/>
    <m/>
    <s v="1632803989371625476"/>
    <m/>
    <b v="0"/>
    <n v="1"/>
    <s v=""/>
    <b v="0"/>
    <s v="en"/>
    <m/>
    <s v=""/>
    <b v="0"/>
    <n v="0"/>
    <s v=""/>
    <s v="Hootsuite Inc."/>
    <b v="0"/>
    <s v="1632803989371625476"/>
    <s v="Tweet"/>
    <n v="0"/>
    <n v="0"/>
    <m/>
    <m/>
    <m/>
    <m/>
    <m/>
    <m/>
    <m/>
    <m/>
    <n v="1"/>
    <s v="5"/>
    <s v="5"/>
    <n v="5"/>
    <m/>
    <m/>
    <m/>
    <m/>
    <m/>
    <m/>
    <m/>
    <m/>
    <m/>
  </r>
  <r>
    <s v="craftmeati"/>
    <s v="itsmeatable"/>
    <m/>
    <m/>
    <m/>
    <m/>
    <m/>
    <m/>
    <m/>
    <m/>
    <s v="No"/>
    <n v="10"/>
    <m/>
    <m/>
    <x v="3"/>
    <d v="2023-03-07T03:49:17.000"/>
    <s v="The Esco Aster facility, to be operational in 2025, will house 50,000L of bioreactor capacity &amp;amp; be able to produce 400-500 tons of cultivated meat annually from contract manufacturer clients, including @mosa_meat and @itsmeatable _x000a__x000a_https://t.co/9ka49h7drF"/>
    <s v="https://www.straitstimes.com/singapore/cell-cultured-meat-industry-set-for-another-leap-forward-with-new-changi-plant"/>
    <s v="straitstimes.com"/>
    <x v="0"/>
    <m/>
    <s v="https://pbs.twimg.com/profile_images/1207023594204741634/oNEPNuoG_normal.jpg"/>
    <x v="6"/>
    <d v="2023-03-07T00:00:00.000"/>
    <s v="03:49:17"/>
    <s v="https://twitter.com/craftmeati/status/1632951525898088448"/>
    <m/>
    <m/>
    <s v="1632951525898088448"/>
    <m/>
    <b v="0"/>
    <n v="0"/>
    <s v=""/>
    <b v="0"/>
    <s v="en"/>
    <m/>
    <s v=""/>
    <b v="0"/>
    <n v="3"/>
    <s v="1632924905410027521"/>
    <s v="Twitter for Android"/>
    <b v="0"/>
    <s v="1632924905410027521"/>
    <s v="Tweet"/>
    <n v="0"/>
    <n v="0"/>
    <m/>
    <m/>
    <m/>
    <m/>
    <m/>
    <m/>
    <m/>
    <m/>
    <n v="1"/>
    <s v="1"/>
    <s v="1"/>
    <n v="1"/>
    <m/>
    <m/>
    <m/>
    <m/>
    <m/>
    <m/>
    <m/>
    <m/>
    <m/>
  </r>
  <r>
    <s v="goalsecom"/>
    <s v="itsmeatable"/>
    <m/>
    <m/>
    <m/>
    <m/>
    <m/>
    <m/>
    <m/>
    <m/>
    <s v="No"/>
    <n v="13"/>
    <m/>
    <m/>
    <x v="3"/>
    <d v="2023-03-07T04:40:48.000"/>
    <s v="The Esco Aster facility, to be operational in 2025, will house 50,000L of bioreactor capacity &amp;amp; be able to produce 400-500 tons of cultivated meat annually from contract manufacturer clients, including @mosa_meat and @itsmeatable _x000a__x000a_https://t.co/9ka49h7drF"/>
    <s v="https://www.straitstimes.com/singapore/cell-cultured-meat-industry-set-for-another-leap-forward-with-new-changi-plant"/>
    <s v="straitstimes.com"/>
    <x v="0"/>
    <m/>
    <s v="https://pbs.twimg.com/profile_images/1479437477593108485/CmmGWpoI_normal.png"/>
    <x v="7"/>
    <d v="2023-03-07T00:00:00.000"/>
    <s v="04:40:48"/>
    <s v="https://twitter.com/goalsecom/status/1632964492140199936"/>
    <m/>
    <m/>
    <s v="1632964492140199936"/>
    <m/>
    <b v="0"/>
    <n v="0"/>
    <s v=""/>
    <b v="0"/>
    <s v="en"/>
    <m/>
    <s v=""/>
    <b v="0"/>
    <n v="3"/>
    <s v="1632924905410027521"/>
    <s v="Goalse"/>
    <b v="0"/>
    <s v="1632924905410027521"/>
    <s v="Tweet"/>
    <n v="0"/>
    <n v="0"/>
    <m/>
    <m/>
    <m/>
    <m/>
    <m/>
    <m/>
    <m/>
    <m/>
    <n v="1"/>
    <s v="1"/>
    <s v="1"/>
    <n v="1"/>
    <m/>
    <m/>
    <m/>
    <m/>
    <m/>
    <m/>
    <m/>
    <m/>
    <m/>
  </r>
  <r>
    <s v="elliotswartz"/>
    <s v="itsmeatable"/>
    <m/>
    <m/>
    <m/>
    <m/>
    <m/>
    <m/>
    <m/>
    <m/>
    <s v="No"/>
    <n v="16"/>
    <m/>
    <m/>
    <x v="2"/>
    <d v="2023-03-07T02:03:30.000"/>
    <s v="The Esco Aster facility, to be operational in 2025, will house 50,000L of bioreactor capacity &amp;amp; be able to produce 400-500 tons of cultivated meat annually from contract manufacturer clients, including @mosa_meat and @itsmeatable _x000a__x000a_https://t.co/9ka49h7drF"/>
    <s v="https://www.straitstimes.com/singapore/cell-cultured-meat-industry-set-for-another-leap-forward-with-new-changi-plant"/>
    <s v="straitstimes.com"/>
    <x v="0"/>
    <m/>
    <s v="https://pbs.twimg.com/profile_images/1244683441599373314/AFkHERkJ_normal.jpg"/>
    <x v="8"/>
    <d v="2023-03-07T00:00:00.000"/>
    <s v="02:03:30"/>
    <s v="https://twitter.com/elliotswartz/status/1632924905410027521"/>
    <m/>
    <m/>
    <s v="1632924905410027521"/>
    <s v="1632924903816167425"/>
    <b v="0"/>
    <n v="8"/>
    <s v="233805699"/>
    <b v="0"/>
    <s v="en"/>
    <m/>
    <s v=""/>
    <b v="0"/>
    <n v="3"/>
    <s v=""/>
    <s v="Twitter Web App"/>
    <b v="0"/>
    <s v="1632924903816167425"/>
    <s v="Tweet"/>
    <n v="0"/>
    <n v="0"/>
    <m/>
    <m/>
    <m/>
    <m/>
    <m/>
    <m/>
    <m/>
    <m/>
    <n v="1"/>
    <s v="1"/>
    <s v="1"/>
    <n v="1"/>
    <m/>
    <m/>
    <m/>
    <m/>
    <m/>
    <m/>
    <m/>
    <m/>
    <m/>
  </r>
  <r>
    <s v="biftekco"/>
    <s v="itsmeatable"/>
    <m/>
    <m/>
    <m/>
    <m/>
    <m/>
    <m/>
    <m/>
    <m/>
    <s v="No"/>
    <n v="17"/>
    <m/>
    <m/>
    <x v="3"/>
    <d v="2023-03-07T06:28:24.000"/>
    <s v="The Esco Aster facility, to be operational in 2025, will house 50,000L of bioreactor capacity &amp;amp; be able to produce 400-500 tons of cultivated meat annually from contract manufacturer clients, including @mosa_meat and @itsmeatable _x000a__x000a_https://t.co/9ka49h7drF"/>
    <s v="https://www.straitstimes.com/singapore/cell-cultured-meat-industry-set-for-another-leap-forward-with-new-changi-plant"/>
    <s v="straitstimes.com"/>
    <x v="0"/>
    <m/>
    <s v="https://pbs.twimg.com/profile_images/1623675266097717248/wf2uvNt__normal.jpg"/>
    <x v="9"/>
    <d v="2023-03-07T00:00:00.000"/>
    <s v="06:28:24"/>
    <s v="https://twitter.com/biftekco/status/1632991569471995907"/>
    <m/>
    <m/>
    <s v="1632991569471995907"/>
    <m/>
    <b v="0"/>
    <n v="0"/>
    <s v=""/>
    <b v="0"/>
    <s v="en"/>
    <m/>
    <s v=""/>
    <b v="0"/>
    <n v="3"/>
    <s v="1632924905410027521"/>
    <s v="Twitter for Android"/>
    <b v="0"/>
    <s v="1632924905410027521"/>
    <s v="Tweet"/>
    <n v="0"/>
    <n v="0"/>
    <m/>
    <m/>
    <m/>
    <m/>
    <m/>
    <m/>
    <m/>
    <m/>
    <n v="1"/>
    <s v="1"/>
    <s v="1"/>
    <n v="1"/>
    <m/>
    <m/>
    <m/>
    <m/>
    <m/>
    <m/>
    <m/>
    <m/>
    <m/>
  </r>
  <r>
    <s v="marqmetrix_inc"/>
    <s v="marqmetrix_inc"/>
    <m/>
    <m/>
    <m/>
    <m/>
    <m/>
    <m/>
    <m/>
    <m/>
    <s v="No"/>
    <n v="21"/>
    <m/>
    <m/>
    <x v="0"/>
    <d v="2023-03-07T16:00:52.000"/>
    <s v="As the cultivated meat industry continues to scale, Raman spectroscopy could play a crucial role in reducing costs and improving sustainability._x000a__x000a_Read more: https://t.co/UIrNjpT1oK_x000a__x000a_#cultured #raman #qualitycontrol #altprotein https://t.co/RRuVIuZ0CR"/>
    <s v="https://marqmetrix.com/cultivated-meat-raman-seven-benefits/"/>
    <s v="marqmetrix.com"/>
    <x v="2"/>
    <s v="https://pbs.twimg.com/media/FqoQNJFWAAIgdDT.jpg"/>
    <s v="https://pbs.twimg.com/media/FqoQNJFWAAIgdDT.jpg"/>
    <x v="10"/>
    <d v="2023-03-07T00:00:00.000"/>
    <s v="16:00:52"/>
    <s v="https://twitter.com/marqmetrix_inc/status/1633135636054982660"/>
    <m/>
    <m/>
    <s v="1633135636054982660"/>
    <m/>
    <b v="0"/>
    <n v="0"/>
    <s v=""/>
    <b v="0"/>
    <s v="en"/>
    <m/>
    <s v=""/>
    <b v="0"/>
    <n v="0"/>
    <s v=""/>
    <s v="Canva"/>
    <b v="0"/>
    <s v="1633135636054982660"/>
    <s v="Tweet"/>
    <n v="0"/>
    <n v="0"/>
    <m/>
    <m/>
    <m/>
    <m/>
    <m/>
    <m/>
    <m/>
    <m/>
    <n v="1"/>
    <s v="3"/>
    <s v="3"/>
    <n v="4"/>
    <n v="2"/>
    <n v="7.407407407407407"/>
    <n v="0"/>
    <n v="0"/>
    <n v="0"/>
    <n v="0"/>
    <n v="18"/>
    <n v="66.66666666666667"/>
    <n v="27"/>
  </r>
  <r>
    <s v="avmajavma"/>
    <s v="avmajavma"/>
    <m/>
    <m/>
    <m/>
    <m/>
    <m/>
    <m/>
    <m/>
    <m/>
    <s v="No"/>
    <n v="22"/>
    <m/>
    <m/>
    <x v="0"/>
    <d v="2023-03-09T20:02:20.000"/>
    <s v="The Food and Drug Administration’s Center for Food Safety and Applied Nutrition has completed its first premarket consultation for a human food made from cultured animal cells. This step brings cultivated chicken one step closer to U.S. dinner tables. https://t.co/k9la86WPB2 https://t.co/0yRQDWtGSi"/>
    <s v="https://www.avma.org/news/fda-concludes-first-premarket-consultation-meat-cultured-animal-cells"/>
    <s v="avma.org"/>
    <x v="0"/>
    <s v="https://pbs.twimg.com/media/FqzapwxX0AEeeKL.jpg"/>
    <s v="https://pbs.twimg.com/media/FqzapwxX0AEeeKL.jpg"/>
    <x v="11"/>
    <d v="2023-03-09T00:00:00.000"/>
    <s v="20:02:20"/>
    <s v="https://twitter.com/avmajavma/status/1633921176992104450"/>
    <m/>
    <m/>
    <s v="1633921176992104450"/>
    <m/>
    <b v="0"/>
    <n v="1"/>
    <s v=""/>
    <b v="0"/>
    <s v="en"/>
    <m/>
    <s v=""/>
    <b v="0"/>
    <n v="1"/>
    <s v=""/>
    <s v="Hootsuite Inc."/>
    <b v="0"/>
    <s v="1633921176992104450"/>
    <s v="Tweet"/>
    <n v="0"/>
    <n v="0"/>
    <m/>
    <m/>
    <m/>
    <m/>
    <m/>
    <m/>
    <m/>
    <m/>
    <n v="1"/>
    <s v="4"/>
    <s v="4"/>
    <n v="3"/>
    <n v="0"/>
    <n v="0"/>
    <n v="0"/>
    <n v="0"/>
    <n v="0"/>
    <n v="0"/>
    <n v="29"/>
    <n v="70.73170731707317"/>
    <n v="41"/>
  </r>
  <r>
    <s v="vetpathophile"/>
    <s v="avmajavma"/>
    <m/>
    <m/>
    <m/>
    <m/>
    <m/>
    <m/>
    <m/>
    <m/>
    <s v="No"/>
    <n v="23"/>
    <m/>
    <m/>
    <x v="1"/>
    <d v="2023-03-09T20:07:57.000"/>
    <s v="The Food and Drug Administration’s Center for Food Safety and Applied Nutrition has completed its first premarket consultation for a human food made from cultured animal cells. This step brings cultivated chicken one step closer to U.S. dinner tables. https://t.co/k9la86WPB2 https://t.co/0yRQDWtGSi"/>
    <s v="https://www.avma.org/news/fda-concludes-first-premarket-consultation-meat-cultured-animal-cells"/>
    <s v="avma.org"/>
    <x v="0"/>
    <s v="https://pbs.twimg.com/media/FqzapwxX0AEeeKL.jpg"/>
    <s v="https://pbs.twimg.com/media/FqzapwxX0AEeeKL.jpg"/>
    <x v="12"/>
    <d v="2023-03-09T00:00:00.000"/>
    <s v="20:07:57"/>
    <s v="https://twitter.com/vetpathophile/status/1633922594150793217"/>
    <m/>
    <m/>
    <s v="1633922594150793217"/>
    <m/>
    <b v="0"/>
    <n v="0"/>
    <s v=""/>
    <b v="0"/>
    <s v="en"/>
    <m/>
    <s v=""/>
    <b v="0"/>
    <n v="1"/>
    <s v="1633921176992104450"/>
    <s v="Twitter for iPhone"/>
    <b v="0"/>
    <s v="1633921176992104450"/>
    <s v="Tweet"/>
    <n v="0"/>
    <n v="0"/>
    <m/>
    <m/>
    <m/>
    <m/>
    <m/>
    <m/>
    <m/>
    <m/>
    <n v="1"/>
    <s v="4"/>
    <s v="4"/>
    <n v="3"/>
    <n v="0"/>
    <n v="0"/>
    <n v="0"/>
    <n v="0"/>
    <n v="0"/>
    <n v="0"/>
    <n v="29"/>
    <n v="70.73170731707317"/>
    <n v="41"/>
  </r>
  <r>
    <s v="hmtmetabolomics"/>
    <s v="cellagritech"/>
    <m/>
    <m/>
    <m/>
    <m/>
    <m/>
    <m/>
    <m/>
    <m/>
    <s v="No"/>
    <n v="24"/>
    <m/>
    <m/>
    <x v="2"/>
    <d v="2023-03-10T18:57:51.000"/>
    <s v="Check out our new article with @cellagritech to learn more about how #metabolomics is advancing the development of cell-cultured meat! https://t.co/C70eJ33T9W"/>
    <s v="https://www.cell.ag/blog/cellular-metabolomics-and-optimizing-cultivated-meat-cell-line-selection"/>
    <s v="cell.ag"/>
    <x v="3"/>
    <m/>
    <s v="https://pbs.twimg.com/profile_images/486221724870926337/cS0048NP_normal.png"/>
    <x v="13"/>
    <d v="2023-03-10T00:00:00.000"/>
    <s v="18:57:51"/>
    <s v="https://twitter.com/hmtmetabolomics/status/1634267338282504192"/>
    <m/>
    <m/>
    <s v="1634267338282504192"/>
    <m/>
    <b v="0"/>
    <n v="1"/>
    <s v=""/>
    <b v="0"/>
    <s v="en"/>
    <m/>
    <s v=""/>
    <b v="0"/>
    <n v="1"/>
    <s v=""/>
    <s v="Twitter Web App"/>
    <b v="0"/>
    <s v="1634267338282504192"/>
    <s v="Tweet"/>
    <n v="0"/>
    <n v="0"/>
    <m/>
    <m/>
    <m/>
    <m/>
    <m/>
    <m/>
    <m/>
    <m/>
    <n v="1"/>
    <s v="2"/>
    <s v="2"/>
    <n v="2"/>
    <n v="0"/>
    <n v="0"/>
    <n v="0"/>
    <n v="0"/>
    <n v="0"/>
    <n v="0"/>
    <n v="13"/>
    <n v="61.904761904761905"/>
    <n v="21"/>
  </r>
  <r>
    <s v="binfotrends"/>
    <s v="cellagritech"/>
    <m/>
    <m/>
    <m/>
    <m/>
    <m/>
    <m/>
    <m/>
    <m/>
    <s v="No"/>
    <n v="25"/>
    <m/>
    <m/>
    <x v="3"/>
    <d v="2023-03-10T19:12:52.000"/>
    <s v="Check out our new article with @cellagritech to learn more about how #metabolomics is advancing the development of cell-cultured meat! https://t.co/C70eJ33T9W"/>
    <s v="https://www.cell.ag/blog/cellular-metabolomics-and-optimizing-cultivated-meat-cell-line-selection"/>
    <s v="cell.ag"/>
    <x v="3"/>
    <m/>
    <s v="https://pbs.twimg.com/profile_images/1342903725782953986/_tvytAU6_normal.png"/>
    <x v="14"/>
    <d v="2023-03-10T00:00:00.000"/>
    <s v="19:12:52"/>
    <s v="https://twitter.com/binfotrends/status/1634271118780424194"/>
    <m/>
    <m/>
    <s v="1634271118780424194"/>
    <m/>
    <b v="0"/>
    <n v="0"/>
    <s v=""/>
    <b v="0"/>
    <s v="en"/>
    <m/>
    <s v=""/>
    <b v="0"/>
    <n v="1"/>
    <s v="1634267338282504192"/>
    <s v="BinfoTrends"/>
    <b v="0"/>
    <s v="1634267338282504192"/>
    <s v="Tweet"/>
    <n v="0"/>
    <n v="0"/>
    <m/>
    <m/>
    <m/>
    <m/>
    <m/>
    <m/>
    <m/>
    <m/>
    <n v="1"/>
    <s v="2"/>
    <s v="2"/>
    <n v="2"/>
    <m/>
    <m/>
    <m/>
    <m/>
    <m/>
    <m/>
    <m/>
    <m/>
    <m/>
  </r>
  <r>
    <s v="elliotswartz"/>
    <s v="alephfarms"/>
    <m/>
    <m/>
    <m/>
    <m/>
    <m/>
    <m/>
    <m/>
    <m/>
    <s v="No"/>
    <n v="27"/>
    <m/>
    <m/>
    <x v="2"/>
    <d v="2023-03-07T02:03:30.000"/>
    <s v="Israeli #cultivatedmeat manufacturer @AlephFarms acquires new facility in Israel and partners with contract manufacturer Esco Aster to produce cultivated steak in a new facility based in Singapore that aims to be halal-certified._x000a__x000a_https://t.co/3TMxv52Jmy"/>
    <s v="https://www.timesofisrael.com/kosher-now-maybe-halal-aleph-farms-gears-up-for-rollout-of-cultivated-steak/"/>
    <s v="timesofisrael.com"/>
    <x v="4"/>
    <m/>
    <s v="https://pbs.twimg.com/profile_images/1244683441599373314/AFkHERkJ_normal.jpg"/>
    <x v="8"/>
    <d v="2023-03-07T00:00:00.000"/>
    <s v="02:03:30"/>
    <s v="https://twitter.com/elliotswartz/status/1632924903816167425"/>
    <m/>
    <m/>
    <s v="1632924903816167425"/>
    <m/>
    <b v="0"/>
    <n v="23"/>
    <s v=""/>
    <b v="0"/>
    <s v="en"/>
    <m/>
    <s v=""/>
    <b v="0"/>
    <n v="1"/>
    <s v=""/>
    <s v="Twitter Web App"/>
    <b v="0"/>
    <s v="1632924903816167425"/>
    <s v="Reply-To"/>
    <n v="0"/>
    <n v="0"/>
    <m/>
    <m/>
    <m/>
    <m/>
    <m/>
    <m/>
    <m/>
    <m/>
    <n v="1"/>
    <s v="1"/>
    <s v="1"/>
    <n v="1"/>
    <n v="0"/>
    <n v="0"/>
    <n v="0"/>
    <n v="0"/>
    <n v="0"/>
    <n v="0"/>
    <n v="23"/>
    <n v="69.6969696969697"/>
    <n v="3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41"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6">
        <item x="1"/>
        <item x="3"/>
        <item x="0"/>
        <item x="2"/>
        <item x="4"/>
        <item x="5"/>
        <item x="8"/>
        <item x="6"/>
        <item x="7"/>
        <item x="9"/>
        <item x="10"/>
        <item x="11"/>
        <item x="12"/>
        <item x="13"/>
        <item x="1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6">
    <i>
      <x/>
    </i>
    <i>
      <x v="1"/>
    </i>
    <i>
      <x v="2"/>
    </i>
    <i>
      <x v="3"/>
    </i>
    <i>
      <x v="4"/>
    </i>
    <i>
      <x v="5"/>
    </i>
    <i>
      <x v="6"/>
    </i>
    <i>
      <x v="7"/>
    </i>
    <i>
      <x v="8"/>
    </i>
    <i>
      <x v="9"/>
    </i>
    <i>
      <x v="10"/>
    </i>
    <i>
      <x v="11"/>
    </i>
    <i>
      <x v="12"/>
    </i>
    <i>
      <x v="13"/>
    </i>
    <i>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8" name="TimeSeries"/>
  </pivotTables>
  <data>
    <tabular pivotCacheId="1616491115">
      <items count="4">
        <i x="2" s="1"/>
        <i x="3"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8" name="TimeSeries"/>
  </pivotTables>
  <data>
    <tabular pivotCacheId="1616491115">
      <items count="5">
        <i x="4" s="1"/>
        <i x="2" s="1"/>
        <i x="1"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O27" totalsRowShown="0" headerRowDxfId="575" dataDxfId="574">
  <autoFilter ref="A2:BO27"/>
  <tableColumns count="67">
    <tableColumn id="1" name="Vertex 1" dataDxfId="524"/>
    <tableColumn id="2" name="Vertex 2" dataDxfId="522"/>
    <tableColumn id="3" name="Color" dataDxfId="523"/>
    <tableColumn id="4" name="Width" dataDxfId="573"/>
    <tableColumn id="11" name="Style" dataDxfId="572"/>
    <tableColumn id="5" name="Opacity" dataDxfId="571"/>
    <tableColumn id="6" name="Visibility" dataDxfId="570"/>
    <tableColumn id="10" name="Label" dataDxfId="569"/>
    <tableColumn id="12" name="Label Text Color" dataDxfId="568"/>
    <tableColumn id="13" name="Label Font Size" dataDxfId="567"/>
    <tableColumn id="14" name="Reciprocated?" dataDxfId="428"/>
    <tableColumn id="7" name="ID" dataDxfId="566"/>
    <tableColumn id="9" name="Dynamic Filter" dataDxfId="565"/>
    <tableColumn id="8" name="Add Your Own Columns Here" dataDxfId="521"/>
    <tableColumn id="15" name="Relationship" dataDxfId="520"/>
    <tableColumn id="16" name="Relationship Date (UTC)" dataDxfId="519"/>
    <tableColumn id="17" name="Tweet" dataDxfId="518"/>
    <tableColumn id="18" name="URLs in Tweet" dataDxfId="517"/>
    <tableColumn id="19" name="Domains in Tweet" dataDxfId="516"/>
    <tableColumn id="20" name="Hashtags in Tweet" dataDxfId="515"/>
    <tableColumn id="21" name="Media in Tweet" dataDxfId="514"/>
    <tableColumn id="22" name="Tweet Image File" dataDxfId="513"/>
    <tableColumn id="23" name="Tweet Date (UTC)" dataDxfId="512"/>
    <tableColumn id="24" name="Date" dataDxfId="511"/>
    <tableColumn id="25" name="Time" dataDxfId="510"/>
    <tableColumn id="26" name="Twitter Page for Tweet" dataDxfId="509"/>
    <tableColumn id="27" name="Latitude" dataDxfId="508"/>
    <tableColumn id="28" name="Longitude" dataDxfId="507"/>
    <tableColumn id="29" name="Imported ID" dataDxfId="506"/>
    <tableColumn id="30" name="In-Reply-To Tweet ID" dataDxfId="505"/>
    <tableColumn id="31" name="Favorited" dataDxfId="504"/>
    <tableColumn id="32" name="Favorite Count" dataDxfId="503"/>
    <tableColumn id="33" name="In-Reply-To User ID" dataDxfId="502"/>
    <tableColumn id="34" name="Is Quote Status" dataDxfId="501"/>
    <tableColumn id="35" name="Language" dataDxfId="500"/>
    <tableColumn id="36" name="Possibly Sensitive" dataDxfId="499"/>
    <tableColumn id="37" name="Quoted Status ID" dataDxfId="498"/>
    <tableColumn id="38" name="Retweeted" dataDxfId="497"/>
    <tableColumn id="39" name="Retweet Count" dataDxfId="496"/>
    <tableColumn id="40" name="Retweet ID" dataDxfId="495"/>
    <tableColumn id="41" name="Source" dataDxfId="494"/>
    <tableColumn id="42" name="Truncated" dataDxfId="493"/>
    <tableColumn id="43" name="Unified Twitter ID" dataDxfId="492"/>
    <tableColumn id="44" name="Imported Tweet Type" dataDxfId="491"/>
    <tableColumn id="45" name="Added By Extended Analysis" dataDxfId="490"/>
    <tableColumn id="46" name="Corrected By Extended Analysis" dataDxfId="489"/>
    <tableColumn id="47" name="Place Bounding Box" dataDxfId="488"/>
    <tableColumn id="48" name="Place Country" dataDxfId="487"/>
    <tableColumn id="49" name="Place Country Code" dataDxfId="486"/>
    <tableColumn id="50" name="Place Full Name" dataDxfId="485"/>
    <tableColumn id="51" name="Place ID" dataDxfId="484"/>
    <tableColumn id="52" name="Place Name" dataDxfId="483"/>
    <tableColumn id="53" name="Place Type" dataDxfId="482"/>
    <tableColumn id="54" name="Place URL" dataDxfId="481"/>
    <tableColumn id="55" name="Edge Weight"/>
    <tableColumn id="56" name="Vertex 1 Group" dataDxfId="443">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Path ID" dataDxfId="267"/>
    <tableColumn id="59" name="Sentiment List #1: List1 Word Count" dataDxfId="266"/>
    <tableColumn id="60" name="Sentiment List #1: List1 Word Percentage (%)" dataDxfId="265"/>
    <tableColumn id="61" name="Sentiment List #2: List2 Word Count" dataDxfId="264"/>
    <tableColumn id="62" name="Sentiment List #2: List2 Word Percentage (%)" dataDxfId="263"/>
    <tableColumn id="63" name="Sentiment List #3: List3 Word Count" dataDxfId="262"/>
    <tableColumn id="64" name="Sentiment List #3: List3 Word Percentage (%)" dataDxfId="261"/>
    <tableColumn id="65" name="Non-categorized Word Count" dataDxfId="260"/>
    <tableColumn id="66" name="Non-categorized Word Percentage (%)" dataDxfId="259"/>
    <tableColumn id="67" name="Edge Content Word Count" dataDxfId="25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2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Path Edges" displayName="Path_Edges" ref="A1:DN26" totalsRowShown="0" headerRowDxfId="427" dataDxfId="426">
  <autoFilter ref="A1:DN26"/>
  <tableColumns count="118">
    <tableColumn id="1" name="Path Vertex 1" dataDxfId="425"/>
    <tableColumn id="2" name="Path Vertex 2" dataDxfId="424"/>
    <tableColumn id="3" name="Edge Vertex 1" dataDxfId="423"/>
    <tableColumn id="4" name="Edge Vertex 2" dataDxfId="422"/>
    <tableColumn id="5" name="Reciprocated?" dataDxfId="421"/>
    <tableColumn id="6" name="Relationship" dataDxfId="420"/>
    <tableColumn id="7" name="Relationship Date (UTC)" dataDxfId="419"/>
    <tableColumn id="8" name="Tweet" dataDxfId="418"/>
    <tableColumn id="9" name="URLs in Tweet" dataDxfId="417"/>
    <tableColumn id="10" name="Domains in Tweet" dataDxfId="416"/>
    <tableColumn id="11" name="Hashtags in Tweet" dataDxfId="415"/>
    <tableColumn id="12" name="Media in Tweet" dataDxfId="414"/>
    <tableColumn id="13" name="Tweet Image File" dataDxfId="413"/>
    <tableColumn id="14" name="Tweet Date (UTC)" dataDxfId="412"/>
    <tableColumn id="15" name="Date" dataDxfId="411"/>
    <tableColumn id="16" name="Time" dataDxfId="410"/>
    <tableColumn id="17" name="Twitter Page for Tweet" dataDxfId="409"/>
    <tableColumn id="18" name="Latitude" dataDxfId="408"/>
    <tableColumn id="19" name="Longitude" dataDxfId="407"/>
    <tableColumn id="20" name="Imported ID" dataDxfId="406"/>
    <tableColumn id="21" name="In-Reply-To Tweet ID" dataDxfId="405"/>
    <tableColumn id="22" name="Favorited" dataDxfId="404"/>
    <tableColumn id="23" name="Favorite Count" dataDxfId="403"/>
    <tableColumn id="24" name="In-Reply-To User ID" dataDxfId="402"/>
    <tableColumn id="25" name="Is Quote Status" dataDxfId="401"/>
    <tableColumn id="26" name="Language" dataDxfId="400"/>
    <tableColumn id="27" name="Possibly Sensitive" dataDxfId="399"/>
    <tableColumn id="28" name="Quoted Status ID" dataDxfId="398"/>
    <tableColumn id="29" name="Retweeted" dataDxfId="397"/>
    <tableColumn id="30" name="Retweet Count" dataDxfId="396"/>
    <tableColumn id="31" name="Retweet ID" dataDxfId="395"/>
    <tableColumn id="32" name="Source" dataDxfId="394"/>
    <tableColumn id="33" name="Truncated" dataDxfId="393"/>
    <tableColumn id="34" name="Unified Twitter ID" dataDxfId="392"/>
    <tableColumn id="35" name="Imported Tweet Type" dataDxfId="391"/>
    <tableColumn id="36" name="Added By Extended Analysis" dataDxfId="390"/>
    <tableColumn id="37" name="Corrected By Extended Analysis" dataDxfId="389"/>
    <tableColumn id="38" name="Place Bounding Box" dataDxfId="388"/>
    <tableColumn id="39" name="Place Country" dataDxfId="387"/>
    <tableColumn id="40" name="Place Country Code" dataDxfId="386"/>
    <tableColumn id="41" name="Place Full Name" dataDxfId="385"/>
    <tableColumn id="42" name="Place ID" dataDxfId="384"/>
    <tableColumn id="43" name="Place Name" dataDxfId="383"/>
    <tableColumn id="44" name="Place Type" dataDxfId="382"/>
    <tableColumn id="45" name="Place URL" dataDxfId="381"/>
    <tableColumn id="46" name="Edge Weight" dataDxfId="380"/>
    <tableColumn id="47" name="Vertex 1 Group" dataDxfId="379"/>
    <tableColumn id="48" name="Vertex 2 Group" dataDxfId="378"/>
    <tableColumn id="49" name="Vertex 1 Vertex" dataDxfId="377"/>
    <tableColumn id="50" name="Vertex 1 Degree" dataDxfId="376"/>
    <tableColumn id="51" name="Vertex 1 In-Degree" dataDxfId="375"/>
    <tableColumn id="52" name="Vertex 1 Out-Degree" dataDxfId="374"/>
    <tableColumn id="53" name="Vertex 1 Betweenness Centrality" dataDxfId="373"/>
    <tableColumn id="54" name="Vertex 1 Closeness Centrality" dataDxfId="372"/>
    <tableColumn id="55" name="Vertex 1 Eigenvector Centrality" dataDxfId="371"/>
    <tableColumn id="56" name="Vertex 1 PageRank" dataDxfId="370"/>
    <tableColumn id="57" name="Vertex 1 Clustering Coefficient" dataDxfId="369"/>
    <tableColumn id="58" name="Vertex 1 Reciprocated Vertex Pair Ratio" dataDxfId="368"/>
    <tableColumn id="59" name="Vertex 1 Name" dataDxfId="367"/>
    <tableColumn id="60" name="Vertex 1 User ID" dataDxfId="366"/>
    <tableColumn id="61" name="Vertex 1 Followed" dataDxfId="365"/>
    <tableColumn id="62" name="Vertex 1 Followers" dataDxfId="364"/>
    <tableColumn id="63" name="Vertex 1 Tweets" dataDxfId="363"/>
    <tableColumn id="64" name="Vertex 1 Favorites" dataDxfId="362"/>
    <tableColumn id="65" name="Vertex 1 Time Zone UTC Offset (Seconds)" dataDxfId="361"/>
    <tableColumn id="66" name="Vertex 1 Description" dataDxfId="360"/>
    <tableColumn id="67" name="Vertex 1 Location" dataDxfId="359"/>
    <tableColumn id="68" name="Vertex 1 Web" dataDxfId="358"/>
    <tableColumn id="69" name="Vertex 1 Time Zone" dataDxfId="357"/>
    <tableColumn id="70" name="Vertex 1 Joined Twitter Date (UTC)" dataDxfId="356"/>
    <tableColumn id="71" name="Vertex 1 Profile Banner Url" dataDxfId="355"/>
    <tableColumn id="72" name="Vertex 1 Default Profile" dataDxfId="354"/>
    <tableColumn id="73" name="Vertex 1 Default Profile Image" dataDxfId="353"/>
    <tableColumn id="74" name="Vertex 1 Geo Enabled" dataDxfId="352"/>
    <tableColumn id="75" name="Vertex 1 Language" dataDxfId="351"/>
    <tableColumn id="76" name="Vertex 1 Listed Count" dataDxfId="350"/>
    <tableColumn id="77" name="Vertex 1 Profile Background Image Url" dataDxfId="349"/>
    <tableColumn id="78" name="Vertex 1 Verified" dataDxfId="348"/>
    <tableColumn id="79" name="Vertex 1 Tweeted Search Term?" dataDxfId="347"/>
    <tableColumn id="80" name="Vertex 1 Vertex Group" dataDxfId="346"/>
    <tableColumn id="81" name="Vertex 2 Vertex" dataDxfId="345"/>
    <tableColumn id="82" name="Vertex 2 Degree" dataDxfId="344"/>
    <tableColumn id="83" name="Vertex 2 In-Degree" dataDxfId="343"/>
    <tableColumn id="84" name="Vertex 2 Out-Degree" dataDxfId="342"/>
    <tableColumn id="85" name="Vertex 2 Betweenness Centrality" dataDxfId="341"/>
    <tableColumn id="86" name="Vertex 2 Closeness Centrality" dataDxfId="340"/>
    <tableColumn id="87" name="Vertex 2 Eigenvector Centrality" dataDxfId="339"/>
    <tableColumn id="88" name="Vertex 2 PageRank" dataDxfId="338"/>
    <tableColumn id="89" name="Vertex 2 Clustering Coefficient" dataDxfId="337"/>
    <tableColumn id="90" name="Vertex 2 Reciprocated Vertex Pair Ratio" dataDxfId="336"/>
    <tableColumn id="91" name="Vertex 2 Name" dataDxfId="335"/>
    <tableColumn id="92" name="Vertex 2 User ID" dataDxfId="334"/>
    <tableColumn id="93" name="Vertex 2 Followed" dataDxfId="333"/>
    <tableColumn id="94" name="Vertex 2 Followers" dataDxfId="332"/>
    <tableColumn id="95" name="Vertex 2 Tweets" dataDxfId="331"/>
    <tableColumn id="96" name="Vertex 2 Favorites" dataDxfId="330"/>
    <tableColumn id="97" name="Vertex 2 Time Zone UTC Offset (Seconds)" dataDxfId="329"/>
    <tableColumn id="98" name="Vertex 2 Description" dataDxfId="328"/>
    <tableColumn id="99" name="Vertex 2 Location" dataDxfId="327"/>
    <tableColumn id="100" name="Vertex 2 Web" dataDxfId="326"/>
    <tableColumn id="101" name="Vertex 2 Time Zone" dataDxfId="325"/>
    <tableColumn id="102" name="Vertex 2 Joined Twitter Date (UTC)" dataDxfId="324"/>
    <tableColumn id="103" name="Vertex 2 Profile Banner Url" dataDxfId="323"/>
    <tableColumn id="104" name="Vertex 2 Default Profile" dataDxfId="322"/>
    <tableColumn id="105" name="Vertex 2 Default Profile Image" dataDxfId="321"/>
    <tableColumn id="106" name="Vertex 2 Geo Enabled" dataDxfId="320"/>
    <tableColumn id="107" name="Vertex 2 Language" dataDxfId="319"/>
    <tableColumn id="108" name="Vertex 2 Listed Count" dataDxfId="318"/>
    <tableColumn id="109" name="Vertex 2 Profile Background Image Url" dataDxfId="317"/>
    <tableColumn id="110" name="Vertex 2 Verified" dataDxfId="316"/>
    <tableColumn id="111" name="Vertex 2 Tweeted Search Term?" dataDxfId="315"/>
    <tableColumn id="112" name="Vertex 2 Vertex Group" dataDxfId="314"/>
    <tableColumn id="113" name="Path ID Vertex 1" dataDxfId="313"/>
    <tableColumn id="114" name="Path ID Vertex 2" dataDxfId="312"/>
    <tableColumn id="115" name="Generation ID Vertex 1" dataDxfId="311"/>
    <tableColumn id="116" name="Generation ID Vertex 2" dataDxfId="310"/>
    <tableColumn id="117" name="Path Sequence Vertex 1" dataDxfId="309"/>
    <tableColumn id="118" name="Path Sequence Vertex 2" dataDxfId="308"/>
  </tableColumns>
  <tableStyleInfo name="NodeXL Table" showFirstColumn="0" showLastColumn="0" showRowStripes="1" showColumnStripes="0"/>
</table>
</file>

<file path=xl/tables/table12.xml><?xml version="1.0" encoding="utf-8"?>
<table xmlns="http://schemas.openxmlformats.org/spreadsheetml/2006/main" id="11" name="Path Vertices" displayName="Path_Vertices" ref="A1:E17" totalsRowShown="0" headerRowDxfId="307" dataDxfId="306">
  <autoFilter ref="A1:E17"/>
  <tableColumns count="5">
    <tableColumn id="1" name="Vertex" dataDxfId="305"/>
    <tableColumn id="2" name="Path ID" dataDxfId="304"/>
    <tableColumn id="3" name="Generation ID" dataDxfId="303"/>
    <tableColumn id="4" name="Path Sequence" dataDxfId="302"/>
    <tableColumn id="5" name="Tooltip" dataDxfId="301"/>
  </tableColumns>
  <tableStyleInfo name="NodeXL Table" showFirstColumn="0" showLastColumn="0" showRowStripes="1" showColumnStripes="0"/>
</table>
</file>

<file path=xl/tables/table13.xml><?xml version="1.0" encoding="utf-8"?>
<table xmlns="http://schemas.openxmlformats.org/spreadsheetml/2006/main" id="12" name="Path Metrics" displayName="Path_Metrics" ref="A1:G10" totalsRowShown="0" headerRowDxfId="300" dataDxfId="299">
  <autoFilter ref="A1:G10"/>
  <tableColumns count="7">
    <tableColumn id="1" name="Path ID" dataDxfId="298"/>
    <tableColumn id="2" name="Messages" dataDxfId="297"/>
    <tableColumn id="3" name="Breadth" dataDxfId="296"/>
    <tableColumn id="4" name="Generations" dataDxfId="295"/>
    <tableColumn id="5" name="Min Date" dataDxfId="294"/>
    <tableColumn id="6" name="Max Date" dataDxfId="293"/>
    <tableColumn id="7" name="Period" dataDxfId="292"/>
  </tableColumns>
  <tableStyleInfo name="NodeXL Table" showFirstColumn="0" showLastColumn="0" showRowStripes="1" showColumnStripes="0"/>
</table>
</file>

<file path=xl/tables/table14.xml><?xml version="1.0" encoding="utf-8"?>
<table xmlns="http://schemas.openxmlformats.org/spreadsheetml/2006/main" id="13" name="Words" displayName="Words" ref="A1:G185" totalsRowShown="0" headerRowDxfId="290" dataDxfId="289">
  <autoFilter ref="A1:G185"/>
  <tableColumns count="7">
    <tableColumn id="1" name="Word" dataDxfId="288"/>
    <tableColumn id="2" name="Count" dataDxfId="287"/>
    <tableColumn id="3" name="Salience" dataDxfId="286"/>
    <tableColumn id="4" name="Group" dataDxfId="285"/>
    <tableColumn id="5" name="Word on Sentiment List #1: List1" dataDxfId="284"/>
    <tableColumn id="6" name="Word on Sentiment List #2: List2" dataDxfId="283"/>
    <tableColumn id="7" name="Word on Sentiment List #3: List3" dataDxfId="282"/>
  </tableColumns>
  <tableStyleInfo name="NodeXL Table" showFirstColumn="0" showLastColumn="0" showRowStripes="1" showColumnStripes="0"/>
</table>
</file>

<file path=xl/tables/table15.xml><?xml version="1.0" encoding="utf-8"?>
<table xmlns="http://schemas.openxmlformats.org/spreadsheetml/2006/main" id="14" name="WordPairs" displayName="WordPairs" ref="A1:L175" totalsRowShown="0" headerRowDxfId="281" dataDxfId="280">
  <autoFilter ref="A1:L175"/>
  <tableColumns count="12">
    <tableColumn id="1" name="Word 1" dataDxfId="279"/>
    <tableColumn id="2" name="Word 2" dataDxfId="278"/>
    <tableColumn id="3" name="Count" dataDxfId="277"/>
    <tableColumn id="4" name="Salience" dataDxfId="276"/>
    <tableColumn id="5" name="Mutual Information" dataDxfId="275"/>
    <tableColumn id="6" name="Group" dataDxfId="274"/>
    <tableColumn id="7" name="Word1 on Sentiment List #1: List1" dataDxfId="273"/>
    <tableColumn id="8" name="Word1 on Sentiment List #2: List2" dataDxfId="272"/>
    <tableColumn id="9" name="Word1 on Sentiment List #3: List3" dataDxfId="271"/>
    <tableColumn id="10" name="Word2 on Sentiment List #1: List1" dataDxfId="270"/>
    <tableColumn id="11" name="Word2 on Sentiment List #2: List2" dataDxfId="269"/>
    <tableColumn id="12" name="Word2 on Sentiment List #3: List3" dataDxfId="268"/>
  </tableColumns>
  <tableStyleInfo name="NodeXL Table" showFirstColumn="0" showLastColumn="0" showRowStripes="1" showColumnStripes="0"/>
</table>
</file>

<file path=xl/tables/table16.xml><?xml version="1.0" encoding="utf-8"?>
<table xmlns="http://schemas.openxmlformats.org/spreadsheetml/2006/main" id="16" name="GroupEdges" displayName="GroupEdges" ref="A2:C9" totalsRowShown="0" headerRowDxfId="239" dataDxfId="238">
  <autoFilter ref="A2:C9"/>
  <tableColumns count="3">
    <tableColumn id="1" name="Group 1" dataDxfId="237"/>
    <tableColumn id="2" name="Group 2" dataDxfId="236"/>
    <tableColumn id="3" name="Edges" dataDxfId="235"/>
  </tableColumns>
  <tableStyleInfo name="NodeXL Table" showFirstColumn="0" showLastColumn="0" showRowStripes="1" showColumnStripes="0"/>
</table>
</file>

<file path=xl/tables/table17.xml><?xml version="1.0" encoding="utf-8"?>
<table xmlns="http://schemas.openxmlformats.org/spreadsheetml/2006/main" id="17" name="ExportOptions" displayName="ExportOptions" ref="A1:B7" totalsRowShown="0" headerRowDxfId="232" dataDxfId="231">
  <autoFilter ref="A1:B7"/>
  <tableColumns count="2">
    <tableColumn id="1" name="Key" dataDxfId="217"/>
    <tableColumn id="2" name="Value" dataDxfId="216"/>
  </tableColumns>
  <tableStyleInfo name="NodeXL Table" showFirstColumn="0" showLastColumn="0" showRowStripes="1" showColumnStripes="0"/>
</table>
</file>

<file path=xl/tables/table18.xml><?xml version="1.0" encoding="utf-8"?>
<table xmlns="http://schemas.openxmlformats.org/spreadsheetml/2006/main" id="18" name="TopItems_1" displayName="TopItems_1" ref="A1:B11" totalsRowShown="0" headerRowDxfId="221" dataDxfId="220">
  <autoFilter ref="A1:B11"/>
  <tableColumns count="2">
    <tableColumn id="1" name="Top 10 Vertices, Ranked by Betweenness Centrality" dataDxfId="219"/>
    <tableColumn id="2" name="Betweenness Centrality" dataDxfId="218"/>
  </tableColumns>
  <tableStyleInfo name="NodeXL Table" showFirstColumn="0" showLastColumn="0" showRowStripes="1" showColumnStripes="0"/>
</table>
</file>

<file path=xl/tables/table19.xml><?xml version="1.0" encoding="utf-8"?>
<table xmlns="http://schemas.openxmlformats.org/spreadsheetml/2006/main" id="27" name="Edges28" displayName="Edges28" ref="A2:BO18" totalsRowShown="0" headerRowDxfId="67" dataDxfId="66">
  <autoFilter ref="A2:BO18"/>
  <tableColumns count="67">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tableColumn id="56" name="Vertex 1 Group" dataDxfId="11">
      <calculatedColumnFormula>REPLACE(INDEX(GroupVertices[Group], MATCH(Edges28[[#This Row],[Vertex 1]],GroupVertices[Vertex],0)),1,1,"")</calculatedColumnFormula>
    </tableColumn>
    <tableColumn id="57" name="Vertex 2 Group" dataDxfId="10">
      <calculatedColumnFormula>REPLACE(INDEX(GroupVertices[Group], MATCH(Edges28[[#This Row],[Vertex 2]],GroupVertices[Vertex],0)),1,1,"")</calculatedColumnFormula>
    </tableColumn>
    <tableColumn id="58" name="Path ID" dataDxfId="9"/>
    <tableColumn id="59" name="Sentiment List #1: List1 Word Count" dataDxfId="8"/>
    <tableColumn id="60" name="Sentiment List #1: List1 Word Percentage (%)" dataDxfId="7"/>
    <tableColumn id="61" name="Sentiment List #2: List2 Word Count" dataDxfId="6"/>
    <tableColumn id="62" name="Sentiment List #2: List2 Word Percentage (%)" dataDxfId="5"/>
    <tableColumn id="63" name="Sentiment List #3: List3 Word Count" dataDxfId="4"/>
    <tableColumn id="64" name="Sentiment List #3: List3 Word Percentage (%)" dataDxfId="3"/>
    <tableColumn id="65" name="Non-categorized Word Count" dataDxfId="2"/>
    <tableColumn id="66" name="Non-categorized Word Percentage (%)" dataDxfId="1"/>
    <tableColumn id="67" name="Edge Content Word Count" dataDxfId="0"/>
  </tableColumns>
  <tableStyleInfo name="NodeXL Table" showFirstColumn="0" showLastColumn="0" showRowStripes="0" showColumnStripes="0"/>
</table>
</file>

<file path=xl/tables/table2.xml><?xml version="1.0" encoding="utf-8"?>
<table xmlns="http://schemas.openxmlformats.org/spreadsheetml/2006/main" id="2" name="Vertices" displayName="Vertices" ref="A2:BU21" totalsRowShown="0" headerRowDxfId="564" dataDxfId="563">
  <autoFilter ref="A2:BU21"/>
  <tableColumns count="73">
    <tableColumn id="1" name="Vertex" dataDxfId="562"/>
    <tableColumn id="73" name="Subgraph"/>
    <tableColumn id="2" name="Color" dataDxfId="561"/>
    <tableColumn id="5" name="Shape" dataDxfId="560"/>
    <tableColumn id="6" name="Size" dataDxfId="559"/>
    <tableColumn id="4" name="Opacity" dataDxfId="460"/>
    <tableColumn id="7" name="Image File" dataDxfId="458"/>
    <tableColumn id="3" name="Visibility" dataDxfId="459"/>
    <tableColumn id="10" name="Label" dataDxfId="558"/>
    <tableColumn id="16" name="Label Fill Color" dataDxfId="557"/>
    <tableColumn id="9" name="Label Position" dataDxfId="454"/>
    <tableColumn id="8" name="Tooltip" dataDxfId="452"/>
    <tableColumn id="18" name="Layout Order" dataDxfId="453"/>
    <tableColumn id="13" name="X" dataDxfId="556"/>
    <tableColumn id="14" name="Y" dataDxfId="555"/>
    <tableColumn id="12" name="Locked?" dataDxfId="554"/>
    <tableColumn id="19" name="Polar R" dataDxfId="553"/>
    <tableColumn id="20" name="Polar Angle" dataDxfId="552"/>
    <tableColumn id="21" name="Degree" dataDxfId="228"/>
    <tableColumn id="22" name="In-Degree" dataDxfId="227"/>
    <tableColumn id="23" name="Out-Degree" dataDxfId="225"/>
    <tableColumn id="24" name="Betweenness Centrality" dataDxfId="226"/>
    <tableColumn id="25" name="Closeness Centrality" dataDxfId="230"/>
    <tableColumn id="26" name="Eigenvector Centrality" dataDxfId="229"/>
    <tableColumn id="15" name="PageRank" dataDxfId="224"/>
    <tableColumn id="27" name="Clustering Coefficient" dataDxfId="222"/>
    <tableColumn id="29" name="Reciprocated Vertex Pair Ratio" dataDxfId="223"/>
    <tableColumn id="11" name="ID" dataDxfId="551"/>
    <tableColumn id="28" name="Dynamic Filter" dataDxfId="550"/>
    <tableColumn id="17" name="Add Your Own Columns Here" dataDxfId="480"/>
    <tableColumn id="30" name="Name" dataDxfId="479"/>
    <tableColumn id="31" name="User ID" dataDxfId="478"/>
    <tableColumn id="32" name="Followed" dataDxfId="477"/>
    <tableColumn id="33" name="Followers" dataDxfId="476"/>
    <tableColumn id="34" name="Tweets" dataDxfId="475"/>
    <tableColumn id="35" name="Favorites" dataDxfId="474"/>
    <tableColumn id="36" name="Time Zone UTC Offset (Seconds)" dataDxfId="473"/>
    <tableColumn id="37" name="Description" dataDxfId="472"/>
    <tableColumn id="38" name="Location" dataDxfId="471"/>
    <tableColumn id="39" name="Web" dataDxfId="470"/>
    <tableColumn id="40" name="Time Zone" dataDxfId="469"/>
    <tableColumn id="41" name="Joined Twitter Date (UTC)" dataDxfId="468"/>
    <tableColumn id="42" name="Profile Banner Url" dataDxfId="467"/>
    <tableColumn id="43" name="Default Profile" dataDxfId="466"/>
    <tableColumn id="44" name="Default Profile Image" dataDxfId="465"/>
    <tableColumn id="45" name="Geo Enabled" dataDxfId="464"/>
    <tableColumn id="46" name="Language" dataDxfId="463"/>
    <tableColumn id="47" name="Listed Count" dataDxfId="462"/>
    <tableColumn id="48" name="Profile Background Image Url" dataDxfId="461"/>
    <tableColumn id="49" name="Verified" dataDxfId="457"/>
    <tableColumn id="50" name="Custom Menu Item Text" dataDxfId="456"/>
    <tableColumn id="51" name="Custom Menu Item Action" dataDxfId="455"/>
    <tableColumn id="52" name="Tweeted Search Term?" dataDxfId="444"/>
    <tableColumn id="53" name="Vertex Group" dataDxfId="257">
      <calculatedColumnFormula>REPLACE(INDEX(GroupVertices[Group], MATCH(Vertices[[#This Row],[Vertex]],GroupVertices[Vertex],0)),1,1,"")</calculatedColumnFormula>
    </tableColumn>
    <tableColumn id="54" name="Sentiment List #1: List1 Word Count" dataDxfId="256"/>
    <tableColumn id="55" name="Sentiment List #1: List1 Word Percentage (%)" dataDxfId="255"/>
    <tableColumn id="56" name="Sentiment List #2: List2 Word Count" dataDxfId="254"/>
    <tableColumn id="57" name="Sentiment List #2: List2 Word Percentage (%)" dataDxfId="253"/>
    <tableColumn id="58" name="Sentiment List #3: List3 Word Count" dataDxfId="252"/>
    <tableColumn id="59" name="Sentiment List #3: List3 Word Percentage (%)" dataDxfId="251"/>
    <tableColumn id="60" name="Non-categorized Word Count" dataDxfId="250"/>
    <tableColumn id="61" name="Non-categorized Word Percentage (%)" dataDxfId="249"/>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9" name="NetworkTopItems_1" displayName="NetworkTopItems_1" ref="A1:N11" totalsRowShown="0" headerRowDxfId="215" dataDxfId="214">
  <autoFilter ref="A1:N11"/>
  <tableColumns count="14">
    <tableColumn id="1" name="Top URLs in Tweet in Entire Graph" dataDxfId="213"/>
    <tableColumn id="2" name="Entire Graph Count" dataDxfId="212"/>
    <tableColumn id="3" name="Top URLs in Tweet in G1" dataDxfId="211"/>
    <tableColumn id="4" name="G1 Count" dataDxfId="210"/>
    <tableColumn id="5" name="Top URLs in Tweet in G2" dataDxfId="209"/>
    <tableColumn id="6" name="G2 Count" dataDxfId="208"/>
    <tableColumn id="7" name="Top URLs in Tweet in G3" dataDxfId="207"/>
    <tableColumn id="8" name="G3 Count" dataDxfId="206"/>
    <tableColumn id="9" name="Top URLs in Tweet in G4" dataDxfId="205"/>
    <tableColumn id="10" name="G4 Count" dataDxfId="204"/>
    <tableColumn id="11" name="Top URLs in Tweet in G5" dataDxfId="203"/>
    <tableColumn id="12" name="G5 Count" dataDxfId="202"/>
    <tableColumn id="13" name="Top URLs in Tweet in G6" dataDxfId="201"/>
    <tableColumn id="14" name="G6 Count" dataDxfId="200"/>
  </tableColumns>
  <tableStyleInfo name="NodeXL Table" showFirstColumn="0" showLastColumn="0" showRowStripes="1" showColumnStripes="0"/>
</table>
</file>

<file path=xl/tables/table21.xml><?xml version="1.0" encoding="utf-8"?>
<table xmlns="http://schemas.openxmlformats.org/spreadsheetml/2006/main" id="20" name="NetworkTopItems_2" displayName="NetworkTopItems_2" ref="A14:N24" totalsRowShown="0" headerRowDxfId="198" dataDxfId="197">
  <autoFilter ref="A14:N24"/>
  <tableColumns count="14">
    <tableColumn id="1" name="Top Domains in Tweet in Entire Graph" dataDxfId="196"/>
    <tableColumn id="2" name="Entire Graph Count" dataDxfId="195"/>
    <tableColumn id="3" name="Top Domains in Tweet in G1" dataDxfId="194"/>
    <tableColumn id="4" name="G1 Count" dataDxfId="193"/>
    <tableColumn id="5" name="Top Domains in Tweet in G2" dataDxfId="192"/>
    <tableColumn id="6" name="G2 Count" dataDxfId="191"/>
    <tableColumn id="7" name="Top Domains in Tweet in G3" dataDxfId="190"/>
    <tableColumn id="8" name="G3 Count" dataDxfId="189"/>
    <tableColumn id="9" name="Top Domains in Tweet in G4" dataDxfId="188"/>
    <tableColumn id="10" name="G4 Count" dataDxfId="187"/>
    <tableColumn id="11" name="Top Domains in Tweet in G5" dataDxfId="186"/>
    <tableColumn id="12" name="G5 Count" dataDxfId="185"/>
    <tableColumn id="13" name="Top Domains in Tweet in G6" dataDxfId="184"/>
    <tableColumn id="14" name="G6 Count" dataDxfId="183"/>
  </tableColumns>
  <tableStyleInfo name="NodeXL Table" showFirstColumn="0" showLastColumn="0" showRowStripes="1" showColumnStripes="0"/>
</table>
</file>

<file path=xl/tables/table22.xml><?xml version="1.0" encoding="utf-8"?>
<table xmlns="http://schemas.openxmlformats.org/spreadsheetml/2006/main" id="21" name="NetworkTopItems_3" displayName="NetworkTopItems_3" ref="A27:N37" totalsRowShown="0" headerRowDxfId="181" dataDxfId="180">
  <autoFilter ref="A27:N37"/>
  <tableColumns count="14">
    <tableColumn id="1" name="Top Hashtags in Tweet in Entire Graph" dataDxfId="179"/>
    <tableColumn id="2" name="Entire Graph Count" dataDxfId="178"/>
    <tableColumn id="3" name="Top Hashtags in Tweet in G1" dataDxfId="177"/>
    <tableColumn id="4" name="G1 Count" dataDxfId="176"/>
    <tableColumn id="5" name="Top Hashtags in Tweet in G2" dataDxfId="175"/>
    <tableColumn id="6" name="G2 Count" dataDxfId="174"/>
    <tableColumn id="7" name="Top Hashtags in Tweet in G3" dataDxfId="173"/>
    <tableColumn id="8" name="G3 Count" dataDxfId="172"/>
    <tableColumn id="9" name="Top Hashtags in Tweet in G4" dataDxfId="171"/>
    <tableColumn id="10" name="G4 Count" dataDxfId="170"/>
    <tableColumn id="11" name="Top Hashtags in Tweet in G5" dataDxfId="169"/>
    <tableColumn id="12" name="G5 Count" dataDxfId="168"/>
    <tableColumn id="13" name="Top Hashtags in Tweet in G6" dataDxfId="167"/>
    <tableColumn id="14" name="G6 Count" dataDxfId="166"/>
  </tableColumns>
  <tableStyleInfo name="NodeXL Table" showFirstColumn="0" showLastColumn="0" showRowStripes="1" showColumnStripes="0"/>
</table>
</file>

<file path=xl/tables/table23.xml><?xml version="1.0" encoding="utf-8"?>
<table xmlns="http://schemas.openxmlformats.org/spreadsheetml/2006/main" id="22" name="NetworkTopItems_4" displayName="NetworkTopItems_4" ref="A40:N50" totalsRowShown="0" headerRowDxfId="164" dataDxfId="163">
  <autoFilter ref="A40:N50"/>
  <tableColumns count="14">
    <tableColumn id="1" name="Top Words in Tweet in Entire Graph" dataDxfId="162"/>
    <tableColumn id="2" name="Entire Graph Count" dataDxfId="161"/>
    <tableColumn id="3" name="Top Words in Tweet in G1" dataDxfId="160"/>
    <tableColumn id="4" name="G1 Count" dataDxfId="159"/>
    <tableColumn id="5" name="Top Words in Tweet in G2" dataDxfId="158"/>
    <tableColumn id="6" name="G2 Count" dataDxfId="157"/>
    <tableColumn id="7" name="Top Words in Tweet in G3" dataDxfId="156"/>
    <tableColumn id="8" name="G3 Count" dataDxfId="155"/>
    <tableColumn id="9" name="Top Words in Tweet in G4" dataDxfId="154"/>
    <tableColumn id="10" name="G4 Count" dataDxfId="153"/>
    <tableColumn id="11" name="Top Words in Tweet in G5" dataDxfId="152"/>
    <tableColumn id="12" name="G5 Count" dataDxfId="151"/>
    <tableColumn id="13" name="Top Words in Tweet in G6" dataDxfId="150"/>
    <tableColumn id="14" name="G6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5" displayName="NetworkTopItems_5" ref="A53:N63" totalsRowShown="0" headerRowDxfId="147" dataDxfId="146">
  <autoFilter ref="A53:N63"/>
  <tableColumns count="14">
    <tableColumn id="1" name="Top Word Pairs in Tweet in Entire Graph" dataDxfId="145"/>
    <tableColumn id="2" name="Entire Graph Count" dataDxfId="144"/>
    <tableColumn id="3" name="Top Word Pairs in Tweet in G1" dataDxfId="143"/>
    <tableColumn id="4" name="G1 Count" dataDxfId="142"/>
    <tableColumn id="5" name="Top Word Pairs in Tweet in G2" dataDxfId="141"/>
    <tableColumn id="6" name="G2 Count" dataDxfId="140"/>
    <tableColumn id="7" name="Top Word Pairs in Tweet in G3" dataDxfId="139"/>
    <tableColumn id="8" name="G3 Count" dataDxfId="138"/>
    <tableColumn id="9" name="Top Word Pairs in Tweet in G4" dataDxfId="137"/>
    <tableColumn id="10" name="G4 Count" dataDxfId="136"/>
    <tableColumn id="11" name="Top Word Pairs in Tweet in G5" dataDxfId="135"/>
    <tableColumn id="12" name="G5 Count" dataDxfId="134"/>
    <tableColumn id="13" name="Top Word Pairs in Tweet in G6" dataDxfId="133"/>
    <tableColumn id="14" name="G6 Count" dataDxfId="132"/>
  </tableColumns>
  <tableStyleInfo name="NodeXL Table" showFirstColumn="0" showLastColumn="0" showRowStripes="1" showColumnStripes="0"/>
</table>
</file>

<file path=xl/tables/table25.xml><?xml version="1.0" encoding="utf-8"?>
<table xmlns="http://schemas.openxmlformats.org/spreadsheetml/2006/main" id="24" name="NetworkTopItems_6" displayName="NetworkTopItems_6" ref="A66:N67" totalsRowShown="0" headerRowDxfId="130" dataDxfId="129">
  <autoFilter ref="A66:N67"/>
  <tableColumns count="14">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4"/>
    <tableColumn id="13" name="Top Replied-To in G6" dataDxfId="103"/>
    <tableColumn id="14" name="G6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7" displayName="NetworkTopItems_7" ref="A69:N74" totalsRowShown="0" headerRowDxfId="127" dataDxfId="126">
  <autoFilter ref="A69:N74"/>
  <tableColumns count="14">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6"/>
    <tableColumn id="11" name="Top Mentioned in G5" dataDxfId="105"/>
    <tableColumn id="12" name="G5 Count" dataDxfId="101"/>
    <tableColumn id="13" name="Top Mentioned in G6" dataDxfId="100"/>
    <tableColumn id="14" name="G6 Count" dataDxfId="99"/>
  </tableColumns>
  <tableStyleInfo name="NodeXL Table" showFirstColumn="0" showLastColumn="0" showRowStripes="1" showColumnStripes="0"/>
</table>
</file>

<file path=xl/tables/table27.xml><?xml version="1.0" encoding="utf-8"?>
<table xmlns="http://schemas.openxmlformats.org/spreadsheetml/2006/main" id="26" name="NetworkTopItems_8" displayName="NetworkTopItems_8" ref="A77:N87" totalsRowShown="0" headerRowDxfId="96" dataDxfId="95">
  <autoFilter ref="A77:N87"/>
  <tableColumns count="14">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 id="9" name="Top Tweeters in G4" dataDxfId="86"/>
    <tableColumn id="10" name="G4 Count" dataDxfId="85"/>
    <tableColumn id="11" name="Top Tweeters in G5" dataDxfId="84"/>
    <tableColumn id="12" name="G5 Count" dataDxfId="83"/>
    <tableColumn id="13" name="Top Tweeters in G6" dataDxfId="82"/>
    <tableColumn id="14" name="G6 Count" dataDxfId="81"/>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549">
  <autoFilter ref="A2:AO8"/>
  <tableColumns count="41">
    <tableColumn id="1" name="Group" dataDxfId="451"/>
    <tableColumn id="2" name="Vertex Color" dataDxfId="450"/>
    <tableColumn id="3" name="Vertex Shape" dataDxfId="448"/>
    <tableColumn id="22" name="Visibility" dataDxfId="449"/>
    <tableColumn id="4" name="Collapsed?"/>
    <tableColumn id="18" name="Label" dataDxfId="548"/>
    <tableColumn id="20" name="Collapsed X"/>
    <tableColumn id="21" name="Collapsed Y"/>
    <tableColumn id="6" name="ID" dataDxfId="547"/>
    <tableColumn id="19" name="Collapsed Properties" dataDxfId="442"/>
    <tableColumn id="5" name="Vertices" dataDxfId="441"/>
    <tableColumn id="7" name="Unique Edges" dataDxfId="440"/>
    <tableColumn id="8" name="Edges With Duplicates" dataDxfId="439"/>
    <tableColumn id="9" name="Total Edges" dataDxfId="438"/>
    <tableColumn id="10" name="Self-Loops" dataDxfId="437"/>
    <tableColumn id="24" name="Reciprocated Vertex Pair Ratio" dataDxfId="436"/>
    <tableColumn id="25" name="Reciprocated Edge Ratio" dataDxfId="435"/>
    <tableColumn id="11" name="Connected Components" dataDxfId="434"/>
    <tableColumn id="12" name="Single-Vertex Connected Components" dataDxfId="433"/>
    <tableColumn id="13" name="Maximum Vertices in a Connected Component" dataDxfId="432"/>
    <tableColumn id="14" name="Maximum Edges in a Connected Component" dataDxfId="431"/>
    <tableColumn id="15" name="Maximum Geodesic Distance (Diameter)" dataDxfId="430"/>
    <tableColumn id="16" name="Average Geodesic Distance" dataDxfId="429"/>
    <tableColumn id="17" name="Graph Density" dataDxfId="248"/>
    <tableColumn id="23" name="Sentiment List #1: List1 Word Count" dataDxfId="247"/>
    <tableColumn id="26" name="Sentiment List #1: List1 Word Percentage (%)" dataDxfId="246"/>
    <tableColumn id="27" name="Sentiment List #2: List2 Word Count" dataDxfId="245"/>
    <tableColumn id="28" name="Sentiment List #2: List2 Word Percentage (%)" dataDxfId="244"/>
    <tableColumn id="29" name="Sentiment List #3: List3 Word Count" dataDxfId="243"/>
    <tableColumn id="30" name="Sentiment List #3: List3 Word Percentage (%)" dataDxfId="242"/>
    <tableColumn id="31" name="Non-categorized Word Count" dataDxfId="241"/>
    <tableColumn id="32" name="Non-categorized Word Percentage (%)" dataDxfId="240"/>
    <tableColumn id="33" name="Group Content Word Count" dataDxfId="199"/>
    <tableColumn id="34" name="Top URLs in Tweet" dataDxfId="182"/>
    <tableColumn id="35" name="Top Domains in Tweet" dataDxfId="165"/>
    <tableColumn id="36" name="Top Hashtags in Tweet" dataDxfId="148"/>
    <tableColumn id="37" name="Top Words in Tweet" dataDxfId="131"/>
    <tableColumn id="38" name="Top Word Pairs in Tweet" dataDxfId="98"/>
    <tableColumn id="39" name="Top Replied-To in Tweet" dataDxfId="9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 totalsRowShown="0" headerRowDxfId="546" dataDxfId="545">
  <autoFilter ref="A1:C20"/>
  <tableColumns count="3">
    <tableColumn id="1" name="Group" dataDxfId="447"/>
    <tableColumn id="2" name="Vertex" dataDxfId="446"/>
    <tableColumn id="3" name="Vertex ID" dataDxfId="44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4"/>
    <tableColumn id="2" name="Value" dataDxfId="23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44"/>
    <tableColumn id="2" name="Degree Frequency" dataDxfId="543">
      <calculatedColumnFormula>COUNTIF(Vertices[Degree], "&gt;= " &amp; D2) - COUNTIF(Vertices[Degree], "&gt;=" &amp; D3)</calculatedColumnFormula>
    </tableColumn>
    <tableColumn id="3" name="In-Degree Bin" dataDxfId="542"/>
    <tableColumn id="4" name="In-Degree Frequency" dataDxfId="541">
      <calculatedColumnFormula>COUNTIF(Vertices[In-Degree], "&gt;= " &amp; F2) - COUNTIF(Vertices[In-Degree], "&gt;=" &amp; F3)</calculatedColumnFormula>
    </tableColumn>
    <tableColumn id="5" name="Out-Degree Bin" dataDxfId="540"/>
    <tableColumn id="6" name="Out-Degree Frequency" dataDxfId="539">
      <calculatedColumnFormula>COUNTIF(Vertices[Out-Degree], "&gt;= " &amp; H2) - COUNTIF(Vertices[Out-Degree], "&gt;=" &amp; H3)</calculatedColumnFormula>
    </tableColumn>
    <tableColumn id="7" name="Betweenness Centrality Bin" dataDxfId="538"/>
    <tableColumn id="8" name="Betweenness Centrality Frequency" dataDxfId="537">
      <calculatedColumnFormula>COUNTIF(Vertices[Betweenness Centrality], "&gt;= " &amp; J2) - COUNTIF(Vertices[Betweenness Centrality], "&gt;=" &amp; J3)</calculatedColumnFormula>
    </tableColumn>
    <tableColumn id="9" name="Closeness Centrality Bin" dataDxfId="536"/>
    <tableColumn id="10" name="Closeness Centrality Frequency" dataDxfId="535">
      <calculatedColumnFormula>COUNTIF(Vertices[Closeness Centrality], "&gt;= " &amp; L2) - COUNTIF(Vertices[Closeness Centrality], "&gt;=" &amp; L3)</calculatedColumnFormula>
    </tableColumn>
    <tableColumn id="11" name="Eigenvector Centrality Bin" dataDxfId="534"/>
    <tableColumn id="12" name="Eigenvector Centrality Frequency" dataDxfId="533">
      <calculatedColumnFormula>COUNTIF(Vertices[Eigenvector Centrality], "&gt;= " &amp; N2) - COUNTIF(Vertices[Eigenvector Centrality], "&gt;=" &amp; N3)</calculatedColumnFormula>
    </tableColumn>
    <tableColumn id="18" name="PageRank Bin" dataDxfId="532"/>
    <tableColumn id="17" name="PageRank Frequency" dataDxfId="531">
      <calculatedColumnFormula>COUNTIF(Vertices[Eigenvector Centrality], "&gt;= " &amp; P2) - COUNTIF(Vertices[Eigenvector Centrality], "&gt;=" &amp; P3)</calculatedColumnFormula>
    </tableColumn>
    <tableColumn id="13" name="Clustering Coefficient Bin" dataDxfId="530"/>
    <tableColumn id="14" name="Clustering Coefficient Frequency" dataDxfId="529">
      <calculatedColumnFormula>COUNTIF(Vertices[Clustering Coefficient], "&gt;= " &amp; R2) - COUNTIF(Vertices[Clustering Coefficient], "&gt;=" &amp; R3)</calculatedColumnFormula>
    </tableColumn>
    <tableColumn id="15" name="Dynamic Filter Bin" dataDxfId="528"/>
    <tableColumn id="16" name="Dynamic Filter Frequency" dataDxfId="52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2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19.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hyperlink" Target="https://www.straitstimes.com/singapore/cell-cultured-meat-industry-set-for-another-leap-forward-with-new-changi-plant" TargetMode="External" /><Relationship Id="rId2" Type="http://schemas.openxmlformats.org/officeDocument/2006/relationships/hyperlink" Target="https://www.cell.ag/blog/cellular-metabolomics-and-optimizing-cultivated-meat-cell-line-selection" TargetMode="External" /><Relationship Id="rId3" Type="http://schemas.openxmlformats.org/officeDocument/2006/relationships/hyperlink" Target="https://www.avma.org/news/fda-concludes-first-premarket-consultation-meat-cultured-animal-cells" TargetMode="External" /><Relationship Id="rId4" Type="http://schemas.openxmlformats.org/officeDocument/2006/relationships/hyperlink" Target="https://www.cellbasednews.com/" TargetMode="External" /><Relationship Id="rId5" Type="http://schemas.openxmlformats.org/officeDocument/2006/relationships/hyperlink" Target="https://www.timesofisrael.com/kosher-now-maybe-halal-aleph-farms-gears-up-for-rollout-of-cultivated-steak/" TargetMode="External" /><Relationship Id="rId6" Type="http://schemas.openxmlformats.org/officeDocument/2006/relationships/hyperlink" Target="https://marqmetrix.com/cultivated-meat-raman-seven-benefits/" TargetMode="External" /><Relationship Id="rId7" Type="http://schemas.openxmlformats.org/officeDocument/2006/relationships/hyperlink" Target="https://vegconomist.com/cultivated-cell-cultured-biotechnology/mosa-meat-and-nutreco-low-cost-cell-feed/" TargetMode="External" /><Relationship Id="rId8" Type="http://schemas.openxmlformats.org/officeDocument/2006/relationships/hyperlink" Target="https://www.linkedin.com/feed/update/urn:li:share:7037740749643223040" TargetMode="External" /><Relationship Id="rId9" Type="http://schemas.openxmlformats.org/officeDocument/2006/relationships/hyperlink" Target="https://www.foodingredientsfirst.com/news/cultivated-meat-players-race-to-commercialization-by-overcoming-critical-cost-and-scaling-challenges.html#.ZAMmdhh3H_s.linkedin" TargetMode="External" /><Relationship Id="rId10" Type="http://schemas.openxmlformats.org/officeDocument/2006/relationships/hyperlink" Target="https://foodinstitute.com/focus/cell-cultured-snapshot-how-to-make-meat/" TargetMode="External" /><Relationship Id="rId11" Type="http://schemas.openxmlformats.org/officeDocument/2006/relationships/hyperlink" Target="https://www.straitstimes.com/singapore/cell-cultured-meat-industry-set-for-another-leap-forward-with-new-changi-plant" TargetMode="External" /><Relationship Id="rId12" Type="http://schemas.openxmlformats.org/officeDocument/2006/relationships/hyperlink" Target="https://www.timesofisrael.com/kosher-now-maybe-halal-aleph-farms-gears-up-for-rollout-of-cultivated-steak/" TargetMode="External" /><Relationship Id="rId13" Type="http://schemas.openxmlformats.org/officeDocument/2006/relationships/hyperlink" Target="https://www.cell.ag/blog/cellular-metabolomics-and-optimizing-cultivated-meat-cell-line-selection" TargetMode="External" /><Relationship Id="rId14" Type="http://schemas.openxmlformats.org/officeDocument/2006/relationships/hyperlink" Target="https://www.soci.org/events/hq-events/2023/cultivated-meat-from-the-field-via-cellular-agriculture-to-the-plate" TargetMode="External" /><Relationship Id="rId15" Type="http://schemas.openxmlformats.org/officeDocument/2006/relationships/hyperlink" Target="https://www.linkedin.com/feed/update/urn:li:share:7037740749643223040" TargetMode="External" /><Relationship Id="rId16" Type="http://schemas.openxmlformats.org/officeDocument/2006/relationships/hyperlink" Target="https://www.foodingredientsfirst.com/news/cultivated-meat-players-race-to-commercialization-by-overcoming-critical-cost-and-scaling-challenges.html#.ZAMmdhh3H_s.linkedin" TargetMode="External" /><Relationship Id="rId17" Type="http://schemas.openxmlformats.org/officeDocument/2006/relationships/hyperlink" Target="https://marqmetrix.com/cultivated-meat-raman-seven-benefits/" TargetMode="External" /><Relationship Id="rId18" Type="http://schemas.openxmlformats.org/officeDocument/2006/relationships/hyperlink" Target="https://www.avma.org/news/fda-concludes-first-premarket-consultation-meat-cultured-animal-cells" TargetMode="External" /><Relationship Id="rId19" Type="http://schemas.openxmlformats.org/officeDocument/2006/relationships/hyperlink" Target="https://vegconomist.com/cultivated-cell-cultured-biotechnology/mosa-meat-and-nutreco-low-cost-cell-feed/" TargetMode="External" /><Relationship Id="rId20" Type="http://schemas.openxmlformats.org/officeDocument/2006/relationships/hyperlink" Target="https://www.cellbasednews.com/" TargetMode="External" /><Relationship Id="rId21" Type="http://schemas.openxmlformats.org/officeDocument/2006/relationships/hyperlink" Target="https://foodinstitute.com/focus/cell-cultured-snapshot-how-to-make-meat/" TargetMode="Externa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 Id="rId28" Type="http://schemas.openxmlformats.org/officeDocument/2006/relationships/table" Target="../tables/table26.xml" /><Relationship Id="rId29" Type="http://schemas.openxmlformats.org/officeDocument/2006/relationships/table" Target="../tables/table2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9.57421875" style="0" bestFit="1" customWidth="1"/>
    <col min="59" max="59" width="19.7109375" style="0" bestFit="1" customWidth="1"/>
    <col min="60" max="60" width="24.28125" style="0" bestFit="1" customWidth="1"/>
    <col min="61" max="61" width="19.7109375" style="0" bestFit="1" customWidth="1"/>
    <col min="62" max="62" width="24.28125" style="0" bestFit="1" customWidth="1"/>
    <col min="63" max="63" width="19.7109375" style="0" bestFit="1" customWidth="1"/>
    <col min="64" max="64" width="24.28125" style="0" bestFit="1" customWidth="1"/>
    <col min="65" max="65" width="18.57421875" style="0" bestFit="1" customWidth="1"/>
    <col min="66" max="66" width="22.28125" style="0" bestFit="1" customWidth="1"/>
    <col min="67" max="67" width="15.7109375" style="0" bestFit="1" customWidth="1"/>
  </cols>
  <sheetData>
    <row r="1" spans="3:14" ht="15">
      <c r="C1" s="15" t="s">
        <v>39</v>
      </c>
      <c r="D1" s="16"/>
      <c r="E1" s="16"/>
      <c r="F1" s="16"/>
      <c r="G1" s="15"/>
      <c r="H1" s="13" t="s">
        <v>43</v>
      </c>
      <c r="I1" s="61"/>
      <c r="J1" s="61"/>
      <c r="K1" s="31" t="s">
        <v>42</v>
      </c>
      <c r="L1" s="17" t="s">
        <v>40</v>
      </c>
      <c r="M1" s="17"/>
      <c r="N1" s="14" t="s">
        <v>41</v>
      </c>
    </row>
    <row r="2" spans="1:67"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t="s">
        <v>428</v>
      </c>
      <c r="BD2" s="7" t="s">
        <v>442</v>
      </c>
      <c r="BE2" s="7" t="s">
        <v>443</v>
      </c>
      <c r="BF2" s="7" t="s">
        <v>603</v>
      </c>
      <c r="BG2" s="64" t="s">
        <v>735</v>
      </c>
      <c r="BH2" s="64" t="s">
        <v>736</v>
      </c>
      <c r="BI2" s="64" t="s">
        <v>737</v>
      </c>
      <c r="BJ2" s="64" t="s">
        <v>738</v>
      </c>
      <c r="BK2" s="64" t="s">
        <v>739</v>
      </c>
      <c r="BL2" s="64" t="s">
        <v>740</v>
      </c>
      <c r="BM2" s="64" t="s">
        <v>741</v>
      </c>
      <c r="BN2" s="64" t="s">
        <v>742</v>
      </c>
      <c r="BO2" s="64" t="s">
        <v>743</v>
      </c>
    </row>
    <row r="3" spans="1:67" ht="15" customHeight="1">
      <c r="A3" s="77" t="s">
        <v>247</v>
      </c>
      <c r="B3" s="77" t="s">
        <v>247</v>
      </c>
      <c r="C3" s="49" t="s">
        <v>968</v>
      </c>
      <c r="D3" s="50">
        <v>3</v>
      </c>
      <c r="E3" s="62" t="s">
        <v>132</v>
      </c>
      <c r="F3" s="51">
        <v>32</v>
      </c>
      <c r="G3" s="49"/>
      <c r="H3" s="53"/>
      <c r="I3" s="52"/>
      <c r="J3" s="52"/>
      <c r="K3" s="32" t="s">
        <v>65</v>
      </c>
      <c r="L3" s="58">
        <v>3</v>
      </c>
      <c r="M3" s="58"/>
      <c r="N3" s="59"/>
      <c r="O3" s="78" t="s">
        <v>196</v>
      </c>
      <c r="P3" s="80">
        <v>44987.67550925926</v>
      </c>
      <c r="Q3" s="78" t="s">
        <v>263</v>
      </c>
      <c r="R3" s="82" t="str">
        <f>HYPERLINK("https://www.soci.org/events/hq-events/2023/cultivated-meat-from-the-field-via-cellular-agriculture-to-the-plate")</f>
        <v>https://www.soci.org/events/hq-events/2023/cultivated-meat-from-the-field-via-cellular-agriculture-to-the-plate</v>
      </c>
      <c r="S3" s="78" t="s">
        <v>273</v>
      </c>
      <c r="T3" s="78"/>
      <c r="U3" s="82" t="str">
        <f>HYPERLINK("https://pbs.twimg.com/media/FqOiPuSWcAArbXJ.jpg")</f>
        <v>https://pbs.twimg.com/media/FqOiPuSWcAArbXJ.jpg</v>
      </c>
      <c r="V3" s="82" t="str">
        <f>HYPERLINK("https://pbs.twimg.com/media/FqOiPuSWcAArbXJ.jpg")</f>
        <v>https://pbs.twimg.com/media/FqOiPuSWcAArbXJ.jpg</v>
      </c>
      <c r="W3" s="80">
        <v>44987.67550925926</v>
      </c>
      <c r="X3" s="85">
        <v>44987</v>
      </c>
      <c r="Y3" s="87" t="s">
        <v>291</v>
      </c>
      <c r="Z3" s="82" t="str">
        <f>HYPERLINK("https://twitter.com/sciupdate/status/1631326683398803457")</f>
        <v>https://twitter.com/sciupdate/status/1631326683398803457</v>
      </c>
      <c r="AA3" s="78"/>
      <c r="AB3" s="78"/>
      <c r="AC3" s="87" t="s">
        <v>306</v>
      </c>
      <c r="AD3" s="78"/>
      <c r="AE3" s="78" t="b">
        <v>0</v>
      </c>
      <c r="AF3" s="78">
        <v>0</v>
      </c>
      <c r="AG3" s="87" t="s">
        <v>308</v>
      </c>
      <c r="AH3" s="78" t="b">
        <v>0</v>
      </c>
      <c r="AI3" s="78" t="s">
        <v>310</v>
      </c>
      <c r="AJ3" s="78"/>
      <c r="AK3" s="87" t="s">
        <v>308</v>
      </c>
      <c r="AL3" s="78" t="b">
        <v>0</v>
      </c>
      <c r="AM3" s="78">
        <v>0</v>
      </c>
      <c r="AN3" s="87" t="s">
        <v>308</v>
      </c>
      <c r="AO3" s="87" t="s">
        <v>311</v>
      </c>
      <c r="AP3" s="78" t="b">
        <v>0</v>
      </c>
      <c r="AQ3" s="87" t="s">
        <v>306</v>
      </c>
      <c r="AR3" s="78" t="s">
        <v>196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78">
        <v>9</v>
      </c>
      <c r="BG3" s="47">
        <v>1</v>
      </c>
      <c r="BH3" s="48">
        <v>2.380952380952381</v>
      </c>
      <c r="BI3" s="47">
        <v>0</v>
      </c>
      <c r="BJ3" s="48">
        <v>0</v>
      </c>
      <c r="BK3" s="47">
        <v>0</v>
      </c>
      <c r="BL3" s="48">
        <v>0</v>
      </c>
      <c r="BM3" s="47">
        <v>27</v>
      </c>
      <c r="BN3" s="48">
        <v>64.28571428571429</v>
      </c>
      <c r="BO3" s="47">
        <v>42</v>
      </c>
    </row>
    <row r="4" spans="1:67" ht="15" customHeight="1">
      <c r="A4" s="77" t="s">
        <v>234</v>
      </c>
      <c r="B4" s="77" t="s">
        <v>234</v>
      </c>
      <c r="C4" s="49" t="s">
        <v>968</v>
      </c>
      <c r="D4" s="50">
        <v>3</v>
      </c>
      <c r="E4" s="49" t="s">
        <v>132</v>
      </c>
      <c r="F4" s="51">
        <v>32</v>
      </c>
      <c r="G4" s="49"/>
      <c r="H4" s="53"/>
      <c r="I4" s="52"/>
      <c r="J4" s="52"/>
      <c r="K4" s="32" t="s">
        <v>65</v>
      </c>
      <c r="L4" s="58">
        <v>4</v>
      </c>
      <c r="M4" s="58"/>
      <c r="N4" s="59"/>
      <c r="O4" s="79" t="s">
        <v>196</v>
      </c>
      <c r="P4" s="81">
        <v>44971.681550925925</v>
      </c>
      <c r="Q4" s="79" t="s">
        <v>255</v>
      </c>
      <c r="R4" s="83" t="str">
        <f>HYPERLINK("https://www.cellbasednews.com/")</f>
        <v>https://www.cellbasednews.com/</v>
      </c>
      <c r="S4" s="79" t="s">
        <v>265</v>
      </c>
      <c r="T4" s="79"/>
      <c r="U4" s="79"/>
      <c r="V4" s="83" t="str">
        <f>HYPERLINK("https://pbs.twimg.com/profile_images/1609275616767119365/z90gUKUY_normal.jpg")</f>
        <v>https://pbs.twimg.com/profile_images/1609275616767119365/z90gUKUY_normal.jpg</v>
      </c>
      <c r="W4" s="81">
        <v>44971.681550925925</v>
      </c>
      <c r="X4" s="86">
        <v>44971</v>
      </c>
      <c r="Y4" s="84" t="s">
        <v>277</v>
      </c>
      <c r="Z4" s="83" t="str">
        <f>HYPERLINK("https://twitter.com/cellbasednews/status/1625530667671994373")</f>
        <v>https://twitter.com/cellbasednews/status/1625530667671994373</v>
      </c>
      <c r="AA4" s="79"/>
      <c r="AB4" s="79"/>
      <c r="AC4" s="84" t="s">
        <v>292</v>
      </c>
      <c r="AD4" s="79"/>
      <c r="AE4" s="79" t="b">
        <v>0</v>
      </c>
      <c r="AF4" s="79">
        <v>2</v>
      </c>
      <c r="AG4" s="84" t="s">
        <v>308</v>
      </c>
      <c r="AH4" s="79" t="b">
        <v>0</v>
      </c>
      <c r="AI4" s="79" t="s">
        <v>310</v>
      </c>
      <c r="AJ4" s="79"/>
      <c r="AK4" s="84" t="s">
        <v>308</v>
      </c>
      <c r="AL4" s="79" t="b">
        <v>0</v>
      </c>
      <c r="AM4" s="79">
        <v>2</v>
      </c>
      <c r="AN4" s="84" t="s">
        <v>308</v>
      </c>
      <c r="AO4" s="84" t="s">
        <v>311</v>
      </c>
      <c r="AP4" s="79" t="b">
        <v>0</v>
      </c>
      <c r="AQ4" s="84" t="s">
        <v>292</v>
      </c>
      <c r="AR4" s="79" t="s">
        <v>252</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78">
        <v>8</v>
      </c>
      <c r="BG4" s="47">
        <v>4</v>
      </c>
      <c r="BH4" s="48">
        <v>10.81081081081081</v>
      </c>
      <c r="BI4" s="47">
        <v>0</v>
      </c>
      <c r="BJ4" s="48">
        <v>0</v>
      </c>
      <c r="BK4" s="47">
        <v>0</v>
      </c>
      <c r="BL4" s="48">
        <v>0</v>
      </c>
      <c r="BM4" s="47">
        <v>21</v>
      </c>
      <c r="BN4" s="48">
        <v>56.75675675675676</v>
      </c>
      <c r="BO4" s="47">
        <v>37</v>
      </c>
    </row>
    <row r="5" spans="1:67" ht="15">
      <c r="A5" s="77" t="s">
        <v>235</v>
      </c>
      <c r="B5" s="77" t="s">
        <v>234</v>
      </c>
      <c r="C5" s="49" t="s">
        <v>968</v>
      </c>
      <c r="D5" s="50">
        <v>3</v>
      </c>
      <c r="E5" s="49" t="s">
        <v>132</v>
      </c>
      <c r="F5" s="51">
        <v>32</v>
      </c>
      <c r="G5" s="49"/>
      <c r="H5" s="53"/>
      <c r="I5" s="52"/>
      <c r="J5" s="52"/>
      <c r="K5" s="32" t="s">
        <v>65</v>
      </c>
      <c r="L5" s="58">
        <v>5</v>
      </c>
      <c r="M5" s="58"/>
      <c r="N5" s="59"/>
      <c r="O5" s="79" t="s">
        <v>252</v>
      </c>
      <c r="P5" s="81">
        <v>44988.782476851855</v>
      </c>
      <c r="Q5" s="79" t="s">
        <v>255</v>
      </c>
      <c r="R5" s="83" t="str">
        <f>HYPERLINK("https://www.cellbasednews.com/")</f>
        <v>https://www.cellbasednews.com/</v>
      </c>
      <c r="S5" s="79" t="s">
        <v>265</v>
      </c>
      <c r="T5" s="79"/>
      <c r="U5" s="79"/>
      <c r="V5" s="83" t="str">
        <f>HYPERLINK("https://pbs.twimg.com/profile_images/1354282597380222976/jb9ii-Ga_normal.jpg")</f>
        <v>https://pbs.twimg.com/profile_images/1354282597380222976/jb9ii-Ga_normal.jpg</v>
      </c>
      <c r="W5" s="81">
        <v>44988.782476851855</v>
      </c>
      <c r="X5" s="86">
        <v>44988</v>
      </c>
      <c r="Y5" s="84" t="s">
        <v>278</v>
      </c>
      <c r="Z5" s="83" t="str">
        <f>HYPERLINK("https://twitter.com/fundtrading/status/1631727836431097863")</f>
        <v>https://twitter.com/fundtrading/status/1631727836431097863</v>
      </c>
      <c r="AA5" s="79"/>
      <c r="AB5" s="79"/>
      <c r="AC5" s="84" t="s">
        <v>293</v>
      </c>
      <c r="AD5" s="79"/>
      <c r="AE5" s="79" t="b">
        <v>0</v>
      </c>
      <c r="AF5" s="79">
        <v>0</v>
      </c>
      <c r="AG5" s="84" t="s">
        <v>308</v>
      </c>
      <c r="AH5" s="79" t="b">
        <v>0</v>
      </c>
      <c r="AI5" s="79" t="s">
        <v>310</v>
      </c>
      <c r="AJ5" s="79"/>
      <c r="AK5" s="84" t="s">
        <v>308</v>
      </c>
      <c r="AL5" s="79" t="b">
        <v>0</v>
      </c>
      <c r="AM5" s="79">
        <v>2</v>
      </c>
      <c r="AN5" s="84" t="s">
        <v>292</v>
      </c>
      <c r="AO5" s="84" t="s">
        <v>312</v>
      </c>
      <c r="AP5" s="79" t="b">
        <v>0</v>
      </c>
      <c r="AQ5" s="84" t="s">
        <v>292</v>
      </c>
      <c r="AR5" s="79" t="s">
        <v>196</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78">
        <v>8</v>
      </c>
      <c r="BG5" s="47">
        <v>4</v>
      </c>
      <c r="BH5" s="48">
        <v>10.81081081081081</v>
      </c>
      <c r="BI5" s="47">
        <v>0</v>
      </c>
      <c r="BJ5" s="48">
        <v>0</v>
      </c>
      <c r="BK5" s="47">
        <v>0</v>
      </c>
      <c r="BL5" s="48">
        <v>0</v>
      </c>
      <c r="BM5" s="47">
        <v>21</v>
      </c>
      <c r="BN5" s="48">
        <v>56.75675675675676</v>
      </c>
      <c r="BO5" s="47">
        <v>37</v>
      </c>
    </row>
    <row r="6" spans="1:67" ht="15">
      <c r="A6" s="77" t="s">
        <v>235</v>
      </c>
      <c r="B6" s="77" t="s">
        <v>235</v>
      </c>
      <c r="C6" s="49" t="s">
        <v>968</v>
      </c>
      <c r="D6" s="50">
        <v>3</v>
      </c>
      <c r="E6" s="49" t="s">
        <v>132</v>
      </c>
      <c r="F6" s="51">
        <v>32</v>
      </c>
      <c r="G6" s="49"/>
      <c r="H6" s="53"/>
      <c r="I6" s="52"/>
      <c r="J6" s="52"/>
      <c r="K6" s="32" t="s">
        <v>65</v>
      </c>
      <c r="L6" s="58">
        <v>6</v>
      </c>
      <c r="M6" s="58"/>
      <c r="N6" s="59"/>
      <c r="O6" s="79" t="s">
        <v>196</v>
      </c>
      <c r="P6" s="81">
        <v>44986.63266203704</v>
      </c>
      <c r="Q6" s="79" t="s">
        <v>256</v>
      </c>
      <c r="R6" s="83" t="str">
        <f>HYPERLINK("https://foodinstitute.com/focus/cell-cultured-snapshot-how-to-make-meat/")</f>
        <v>https://foodinstitute.com/focus/cell-cultured-snapshot-how-to-make-meat/</v>
      </c>
      <c r="S6" s="79" t="s">
        <v>266</v>
      </c>
      <c r="T6" s="79"/>
      <c r="U6" s="83" t="str">
        <f>HYPERLINK("https://pbs.twimg.com/media/FqJLDbXXgAEFmbh.jpg")</f>
        <v>https://pbs.twimg.com/media/FqJLDbXXgAEFmbh.jpg</v>
      </c>
      <c r="V6" s="83" t="str">
        <f>HYPERLINK("https://pbs.twimg.com/media/FqJLDbXXgAEFmbh.jpg")</f>
        <v>https://pbs.twimg.com/media/FqJLDbXXgAEFmbh.jpg</v>
      </c>
      <c r="W6" s="81">
        <v>44986.63266203704</v>
      </c>
      <c r="X6" s="86">
        <v>44986</v>
      </c>
      <c r="Y6" s="84" t="s">
        <v>279</v>
      </c>
      <c r="Z6" s="83" t="str">
        <f>HYPERLINK("https://twitter.com/fundtrading/status/1630948768446021633")</f>
        <v>https://twitter.com/fundtrading/status/1630948768446021633</v>
      </c>
      <c r="AA6" s="79"/>
      <c r="AB6" s="79"/>
      <c r="AC6" s="84" t="s">
        <v>294</v>
      </c>
      <c r="AD6" s="79"/>
      <c r="AE6" s="79" t="b">
        <v>0</v>
      </c>
      <c r="AF6" s="79">
        <v>1</v>
      </c>
      <c r="AG6" s="84" t="s">
        <v>308</v>
      </c>
      <c r="AH6" s="79" t="b">
        <v>0</v>
      </c>
      <c r="AI6" s="79" t="s">
        <v>310</v>
      </c>
      <c r="AJ6" s="79"/>
      <c r="AK6" s="84" t="s">
        <v>308</v>
      </c>
      <c r="AL6" s="79" t="b">
        <v>0</v>
      </c>
      <c r="AM6" s="79">
        <v>0</v>
      </c>
      <c r="AN6" s="84" t="s">
        <v>308</v>
      </c>
      <c r="AO6" s="84" t="s">
        <v>311</v>
      </c>
      <c r="AP6" s="79" t="b">
        <v>0</v>
      </c>
      <c r="AQ6" s="84" t="s">
        <v>294</v>
      </c>
      <c r="AR6" s="79" t="s">
        <v>196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78">
        <v>7</v>
      </c>
      <c r="BG6" s="47">
        <v>0</v>
      </c>
      <c r="BH6" s="48">
        <v>0</v>
      </c>
      <c r="BI6" s="47">
        <v>0</v>
      </c>
      <c r="BJ6" s="48">
        <v>0</v>
      </c>
      <c r="BK6" s="47">
        <v>0</v>
      </c>
      <c r="BL6" s="48">
        <v>0</v>
      </c>
      <c r="BM6" s="47">
        <v>12</v>
      </c>
      <c r="BN6" s="48">
        <v>63.1578947368421</v>
      </c>
      <c r="BO6" s="47">
        <v>19</v>
      </c>
    </row>
    <row r="7" spans="1:67" ht="15">
      <c r="A7" s="77" t="s">
        <v>236</v>
      </c>
      <c r="B7" s="77" t="s">
        <v>236</v>
      </c>
      <c r="C7" s="49" t="s">
        <v>968</v>
      </c>
      <c r="D7" s="50">
        <v>3</v>
      </c>
      <c r="E7" s="49" t="s">
        <v>132</v>
      </c>
      <c r="F7" s="51">
        <v>32</v>
      </c>
      <c r="G7" s="49"/>
      <c r="H7" s="53"/>
      <c r="I7" s="52"/>
      <c r="J7" s="52"/>
      <c r="K7" s="32" t="s">
        <v>65</v>
      </c>
      <c r="L7" s="58">
        <v>7</v>
      </c>
      <c r="M7" s="58"/>
      <c r="N7" s="59"/>
      <c r="O7" s="79" t="s">
        <v>196</v>
      </c>
      <c r="P7" s="81">
        <v>44989.46487268519</v>
      </c>
      <c r="Q7" s="79" t="s">
        <v>257</v>
      </c>
      <c r="R7" s="79" t="s">
        <v>264</v>
      </c>
      <c r="S7" s="79" t="s">
        <v>267</v>
      </c>
      <c r="T7" s="79"/>
      <c r="U7" s="79"/>
      <c r="V7" s="83" t="str">
        <f>HYPERLINK("https://pbs.twimg.com/profile_images/1611413212670345233/I-uez6tQ_normal.jpg")</f>
        <v>https://pbs.twimg.com/profile_images/1611413212670345233/I-uez6tQ_normal.jpg</v>
      </c>
      <c r="W7" s="81">
        <v>44989.46487268519</v>
      </c>
      <c r="X7" s="86">
        <v>44989</v>
      </c>
      <c r="Y7" s="84" t="s">
        <v>280</v>
      </c>
      <c r="Z7" s="83" t="str">
        <f>HYPERLINK("https://twitter.com/theashiwani/status/1631975126269845511")</f>
        <v>https://twitter.com/theashiwani/status/1631975126269845511</v>
      </c>
      <c r="AA7" s="79"/>
      <c r="AB7" s="79"/>
      <c r="AC7" s="84" t="s">
        <v>295</v>
      </c>
      <c r="AD7" s="79"/>
      <c r="AE7" s="79" t="b">
        <v>0</v>
      </c>
      <c r="AF7" s="79">
        <v>1</v>
      </c>
      <c r="AG7" s="84" t="s">
        <v>308</v>
      </c>
      <c r="AH7" s="79" t="b">
        <v>0</v>
      </c>
      <c r="AI7" s="79" t="s">
        <v>310</v>
      </c>
      <c r="AJ7" s="79"/>
      <c r="AK7" s="84" t="s">
        <v>308</v>
      </c>
      <c r="AL7" s="79" t="b">
        <v>0</v>
      </c>
      <c r="AM7" s="79">
        <v>0</v>
      </c>
      <c r="AN7" s="84" t="s">
        <v>308</v>
      </c>
      <c r="AO7" s="84" t="s">
        <v>313</v>
      </c>
      <c r="AP7" s="79" t="b">
        <v>0</v>
      </c>
      <c r="AQ7" s="84" t="s">
        <v>295</v>
      </c>
      <c r="AR7" s="79" t="s">
        <v>196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78">
        <v>6</v>
      </c>
      <c r="BG7" s="47">
        <v>2</v>
      </c>
      <c r="BH7" s="48">
        <v>4.545454545454546</v>
      </c>
      <c r="BI7" s="47">
        <v>0</v>
      </c>
      <c r="BJ7" s="48">
        <v>0</v>
      </c>
      <c r="BK7" s="47">
        <v>0</v>
      </c>
      <c r="BL7" s="48">
        <v>0</v>
      </c>
      <c r="BM7" s="47">
        <v>27</v>
      </c>
      <c r="BN7" s="48">
        <v>61.36363636363637</v>
      </c>
      <c r="BO7" s="47">
        <v>44</v>
      </c>
    </row>
    <row r="8" spans="1:67" ht="15">
      <c r="A8" s="77" t="s">
        <v>237</v>
      </c>
      <c r="B8" s="77" t="s">
        <v>248</v>
      </c>
      <c r="C8" s="49" t="s">
        <v>968</v>
      </c>
      <c r="D8" s="50">
        <v>3</v>
      </c>
      <c r="E8" s="49" t="s">
        <v>132</v>
      </c>
      <c r="F8" s="51">
        <v>32</v>
      </c>
      <c r="G8" s="49"/>
      <c r="H8" s="53"/>
      <c r="I8" s="52"/>
      <c r="J8" s="52"/>
      <c r="K8" s="32" t="s">
        <v>65</v>
      </c>
      <c r="L8" s="58">
        <v>8</v>
      </c>
      <c r="M8" s="58"/>
      <c r="N8" s="59"/>
      <c r="O8" s="79" t="s">
        <v>253</v>
      </c>
      <c r="P8" s="81">
        <v>44991.75209490741</v>
      </c>
      <c r="Q8" s="79" t="s">
        <v>258</v>
      </c>
      <c r="R8" s="83" t="str">
        <f>HYPERLINK("https://vegconomist.com/cultivated-cell-cultured-biotechnology/mosa-meat-and-nutreco-low-cost-cell-feed/")</f>
        <v>https://vegconomist.com/cultivated-cell-cultured-biotechnology/mosa-meat-and-nutreco-low-cost-cell-feed/</v>
      </c>
      <c r="S8" s="79" t="s">
        <v>268</v>
      </c>
      <c r="T8" s="84" t="s">
        <v>274</v>
      </c>
      <c r="U8" s="79"/>
      <c r="V8" s="83" t="str">
        <f>HYPERLINK("https://pbs.twimg.com/profile_images/1314159878710075392/-McujwWI_normal.jpg")</f>
        <v>https://pbs.twimg.com/profile_images/1314159878710075392/-McujwWI_normal.jpg</v>
      </c>
      <c r="W8" s="81">
        <v>44991.75209490741</v>
      </c>
      <c r="X8" s="86">
        <v>44991</v>
      </c>
      <c r="Y8" s="84" t="s">
        <v>281</v>
      </c>
      <c r="Z8" s="83" t="str">
        <f>HYPERLINK("https://twitter.com/mercuryglobal/status/1632803989371625476")</f>
        <v>https://twitter.com/mercuryglobal/status/1632803989371625476</v>
      </c>
      <c r="AA8" s="79"/>
      <c r="AB8" s="79"/>
      <c r="AC8" s="84" t="s">
        <v>296</v>
      </c>
      <c r="AD8" s="79"/>
      <c r="AE8" s="79" t="b">
        <v>0</v>
      </c>
      <c r="AF8" s="79">
        <v>1</v>
      </c>
      <c r="AG8" s="84" t="s">
        <v>308</v>
      </c>
      <c r="AH8" s="79" t="b">
        <v>0</v>
      </c>
      <c r="AI8" s="79" t="s">
        <v>310</v>
      </c>
      <c r="AJ8" s="79"/>
      <c r="AK8" s="84" t="s">
        <v>308</v>
      </c>
      <c r="AL8" s="79" t="b">
        <v>0</v>
      </c>
      <c r="AM8" s="79">
        <v>0</v>
      </c>
      <c r="AN8" s="84" t="s">
        <v>308</v>
      </c>
      <c r="AO8" s="84" t="s">
        <v>314</v>
      </c>
      <c r="AP8" s="79" t="b">
        <v>0</v>
      </c>
      <c r="AQ8" s="84" t="s">
        <v>296</v>
      </c>
      <c r="AR8" s="79" t="s">
        <v>196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78">
        <v>5</v>
      </c>
      <c r="BG8" s="47"/>
      <c r="BH8" s="48"/>
      <c r="BI8" s="47"/>
      <c r="BJ8" s="48"/>
      <c r="BK8" s="47"/>
      <c r="BL8" s="48"/>
      <c r="BM8" s="47"/>
      <c r="BN8" s="48"/>
      <c r="BO8" s="47"/>
    </row>
    <row r="9" spans="1:67" ht="15">
      <c r="A9" s="77" t="s">
        <v>237</v>
      </c>
      <c r="B9" s="77" t="s">
        <v>249</v>
      </c>
      <c r="C9" s="49" t="s">
        <v>968</v>
      </c>
      <c r="D9" s="50">
        <v>3</v>
      </c>
      <c r="E9" s="49" t="s">
        <v>132</v>
      </c>
      <c r="F9" s="51">
        <v>32</v>
      </c>
      <c r="G9" s="49"/>
      <c r="H9" s="53"/>
      <c r="I9" s="52"/>
      <c r="J9" s="52"/>
      <c r="K9" s="32" t="s">
        <v>65</v>
      </c>
      <c r="L9" s="58">
        <v>9</v>
      </c>
      <c r="M9" s="58"/>
      <c r="N9" s="59"/>
      <c r="O9" s="79" t="s">
        <v>253</v>
      </c>
      <c r="P9" s="81">
        <v>44991.75209490741</v>
      </c>
      <c r="Q9" s="79" t="s">
        <v>258</v>
      </c>
      <c r="R9" s="83" t="str">
        <f>HYPERLINK("https://vegconomist.com/cultivated-cell-cultured-biotechnology/mosa-meat-and-nutreco-low-cost-cell-feed/")</f>
        <v>https://vegconomist.com/cultivated-cell-cultured-biotechnology/mosa-meat-and-nutreco-low-cost-cell-feed/</v>
      </c>
      <c r="S9" s="79" t="s">
        <v>268</v>
      </c>
      <c r="T9" s="84" t="s">
        <v>274</v>
      </c>
      <c r="U9" s="79"/>
      <c r="V9" s="83" t="str">
        <f>HYPERLINK("https://pbs.twimg.com/profile_images/1314159878710075392/-McujwWI_normal.jpg")</f>
        <v>https://pbs.twimg.com/profile_images/1314159878710075392/-McujwWI_normal.jpg</v>
      </c>
      <c r="W9" s="81">
        <v>44991.75209490741</v>
      </c>
      <c r="X9" s="86">
        <v>44991</v>
      </c>
      <c r="Y9" s="84" t="s">
        <v>281</v>
      </c>
      <c r="Z9" s="83" t="str">
        <f>HYPERLINK("https://twitter.com/mercuryglobal/status/1632803989371625476")</f>
        <v>https://twitter.com/mercuryglobal/status/1632803989371625476</v>
      </c>
      <c r="AA9" s="79"/>
      <c r="AB9" s="79"/>
      <c r="AC9" s="84" t="s">
        <v>296</v>
      </c>
      <c r="AD9" s="79"/>
      <c r="AE9" s="79" t="b">
        <v>0</v>
      </c>
      <c r="AF9" s="79">
        <v>1</v>
      </c>
      <c r="AG9" s="84" t="s">
        <v>308</v>
      </c>
      <c r="AH9" s="79" t="b">
        <v>0</v>
      </c>
      <c r="AI9" s="79" t="s">
        <v>310</v>
      </c>
      <c r="AJ9" s="79"/>
      <c r="AK9" s="84" t="s">
        <v>308</v>
      </c>
      <c r="AL9" s="79" t="b">
        <v>0</v>
      </c>
      <c r="AM9" s="79">
        <v>0</v>
      </c>
      <c r="AN9" s="84" t="s">
        <v>308</v>
      </c>
      <c r="AO9" s="84" t="s">
        <v>314</v>
      </c>
      <c r="AP9" s="79" t="b">
        <v>0</v>
      </c>
      <c r="AQ9" s="84" t="s">
        <v>296</v>
      </c>
      <c r="AR9" s="79" t="s">
        <v>196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1</v>
      </c>
      <c r="BF9" s="78">
        <v>5</v>
      </c>
      <c r="BG9" s="47">
        <v>2</v>
      </c>
      <c r="BH9" s="48">
        <v>6.0606060606060606</v>
      </c>
      <c r="BI9" s="47">
        <v>0</v>
      </c>
      <c r="BJ9" s="48">
        <v>0</v>
      </c>
      <c r="BK9" s="47">
        <v>0</v>
      </c>
      <c r="BL9" s="48">
        <v>0</v>
      </c>
      <c r="BM9" s="47">
        <v>21</v>
      </c>
      <c r="BN9" s="48">
        <v>63.63636363636363</v>
      </c>
      <c r="BO9" s="47">
        <v>33</v>
      </c>
    </row>
    <row r="10" spans="1:67" ht="15">
      <c r="A10" s="77" t="s">
        <v>238</v>
      </c>
      <c r="B10" s="77" t="s">
        <v>250</v>
      </c>
      <c r="C10" s="49" t="s">
        <v>968</v>
      </c>
      <c r="D10" s="50">
        <v>3</v>
      </c>
      <c r="E10" s="49" t="s">
        <v>132</v>
      </c>
      <c r="F10" s="51">
        <v>32</v>
      </c>
      <c r="G10" s="49"/>
      <c r="H10" s="53"/>
      <c r="I10" s="52"/>
      <c r="J10" s="52"/>
      <c r="K10" s="32" t="s">
        <v>65</v>
      </c>
      <c r="L10" s="58">
        <v>10</v>
      </c>
      <c r="M10" s="58"/>
      <c r="N10" s="59"/>
      <c r="O10" s="79" t="s">
        <v>254</v>
      </c>
      <c r="P10" s="81">
        <v>44992.159224537034</v>
      </c>
      <c r="Q10" s="79" t="s">
        <v>259</v>
      </c>
      <c r="R10" s="83" t="str">
        <f>HYPERLINK("https://www.straitstimes.com/singapore/cell-cultured-meat-industry-set-for-another-leap-forward-with-new-changi-plant")</f>
        <v>https://www.straitstimes.com/singapore/cell-cultured-meat-industry-set-for-another-leap-forward-with-new-changi-plant</v>
      </c>
      <c r="S10" s="79" t="s">
        <v>269</v>
      </c>
      <c r="T10" s="79"/>
      <c r="U10" s="79"/>
      <c r="V10" s="83" t="str">
        <f>HYPERLINK("https://pbs.twimg.com/profile_images/1207023594204741634/oNEPNuoG_normal.jpg")</f>
        <v>https://pbs.twimg.com/profile_images/1207023594204741634/oNEPNuoG_normal.jpg</v>
      </c>
      <c r="W10" s="81">
        <v>44992.159224537034</v>
      </c>
      <c r="X10" s="86">
        <v>44992</v>
      </c>
      <c r="Y10" s="84" t="s">
        <v>282</v>
      </c>
      <c r="Z10" s="83" t="str">
        <f>HYPERLINK("https://twitter.com/craftmeati/status/1632951525898088448")</f>
        <v>https://twitter.com/craftmeati/status/1632951525898088448</v>
      </c>
      <c r="AA10" s="79"/>
      <c r="AB10" s="79"/>
      <c r="AC10" s="84" t="s">
        <v>297</v>
      </c>
      <c r="AD10" s="79"/>
      <c r="AE10" s="79" t="b">
        <v>0</v>
      </c>
      <c r="AF10" s="79">
        <v>0</v>
      </c>
      <c r="AG10" s="84" t="s">
        <v>308</v>
      </c>
      <c r="AH10" s="79" t="b">
        <v>0</v>
      </c>
      <c r="AI10" s="79" t="s">
        <v>310</v>
      </c>
      <c r="AJ10" s="79"/>
      <c r="AK10" s="84" t="s">
        <v>308</v>
      </c>
      <c r="AL10" s="79" t="b">
        <v>0</v>
      </c>
      <c r="AM10" s="79">
        <v>3</v>
      </c>
      <c r="AN10" s="84" t="s">
        <v>299</v>
      </c>
      <c r="AO10" s="84" t="s">
        <v>315</v>
      </c>
      <c r="AP10" s="79" t="b">
        <v>0</v>
      </c>
      <c r="AQ10" s="84" t="s">
        <v>299</v>
      </c>
      <c r="AR10" s="79" t="s">
        <v>196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78">
        <v>1</v>
      </c>
      <c r="BG10" s="47"/>
      <c r="BH10" s="48"/>
      <c r="BI10" s="47"/>
      <c r="BJ10" s="48"/>
      <c r="BK10" s="47"/>
      <c r="BL10" s="48"/>
      <c r="BM10" s="47"/>
      <c r="BN10" s="48"/>
      <c r="BO10" s="47"/>
    </row>
    <row r="11" spans="1:67" ht="15">
      <c r="A11" s="77" t="s">
        <v>238</v>
      </c>
      <c r="B11" s="77" t="s">
        <v>249</v>
      </c>
      <c r="C11" s="49" t="s">
        <v>968</v>
      </c>
      <c r="D11" s="50">
        <v>3</v>
      </c>
      <c r="E11" s="49" t="s">
        <v>132</v>
      </c>
      <c r="F11" s="51">
        <v>32</v>
      </c>
      <c r="G11" s="49"/>
      <c r="H11" s="53"/>
      <c r="I11" s="52"/>
      <c r="J11" s="52"/>
      <c r="K11" s="32" t="s">
        <v>65</v>
      </c>
      <c r="L11" s="58">
        <v>11</v>
      </c>
      <c r="M11" s="58"/>
      <c r="N11" s="59"/>
      <c r="O11" s="79" t="s">
        <v>254</v>
      </c>
      <c r="P11" s="81">
        <v>44992.159224537034</v>
      </c>
      <c r="Q11" s="79" t="s">
        <v>259</v>
      </c>
      <c r="R11" s="83" t="str">
        <f>HYPERLINK("https://www.straitstimes.com/singapore/cell-cultured-meat-industry-set-for-another-leap-forward-with-new-changi-plant")</f>
        <v>https://www.straitstimes.com/singapore/cell-cultured-meat-industry-set-for-another-leap-forward-with-new-changi-plant</v>
      </c>
      <c r="S11" s="79" t="s">
        <v>269</v>
      </c>
      <c r="T11" s="79"/>
      <c r="U11" s="79"/>
      <c r="V11" s="83" t="str">
        <f>HYPERLINK("https://pbs.twimg.com/profile_images/1207023594204741634/oNEPNuoG_normal.jpg")</f>
        <v>https://pbs.twimg.com/profile_images/1207023594204741634/oNEPNuoG_normal.jpg</v>
      </c>
      <c r="W11" s="81">
        <v>44992.159224537034</v>
      </c>
      <c r="X11" s="86">
        <v>44992</v>
      </c>
      <c r="Y11" s="84" t="s">
        <v>282</v>
      </c>
      <c r="Z11" s="83" t="str">
        <f>HYPERLINK("https://twitter.com/craftmeati/status/1632951525898088448")</f>
        <v>https://twitter.com/craftmeati/status/1632951525898088448</v>
      </c>
      <c r="AA11" s="79"/>
      <c r="AB11" s="79"/>
      <c r="AC11" s="84" t="s">
        <v>297</v>
      </c>
      <c r="AD11" s="79"/>
      <c r="AE11" s="79" t="b">
        <v>0</v>
      </c>
      <c r="AF11" s="79">
        <v>0</v>
      </c>
      <c r="AG11" s="84" t="s">
        <v>308</v>
      </c>
      <c r="AH11" s="79" t="b">
        <v>0</v>
      </c>
      <c r="AI11" s="79" t="s">
        <v>310</v>
      </c>
      <c r="AJ11" s="79"/>
      <c r="AK11" s="84" t="s">
        <v>308</v>
      </c>
      <c r="AL11" s="79" t="b">
        <v>0</v>
      </c>
      <c r="AM11" s="79">
        <v>3</v>
      </c>
      <c r="AN11" s="84" t="s">
        <v>299</v>
      </c>
      <c r="AO11" s="84" t="s">
        <v>315</v>
      </c>
      <c r="AP11" s="79" t="b">
        <v>0</v>
      </c>
      <c r="AQ11" s="84" t="s">
        <v>299</v>
      </c>
      <c r="AR11" s="79" t="s">
        <v>196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78">
        <v>1</v>
      </c>
      <c r="BG11" s="47"/>
      <c r="BH11" s="48"/>
      <c r="BI11" s="47"/>
      <c r="BJ11" s="48"/>
      <c r="BK11" s="47"/>
      <c r="BL11" s="48"/>
      <c r="BM11" s="47"/>
      <c r="BN11" s="48"/>
      <c r="BO11" s="47"/>
    </row>
    <row r="12" spans="1:67" ht="15">
      <c r="A12" s="77" t="s">
        <v>238</v>
      </c>
      <c r="B12" s="77" t="s">
        <v>240</v>
      </c>
      <c r="C12" s="49" t="s">
        <v>968</v>
      </c>
      <c r="D12" s="50">
        <v>3</v>
      </c>
      <c r="E12" s="49" t="s">
        <v>132</v>
      </c>
      <c r="F12" s="51">
        <v>32</v>
      </c>
      <c r="G12" s="49"/>
      <c r="H12" s="53"/>
      <c r="I12" s="52"/>
      <c r="J12" s="52"/>
      <c r="K12" s="32" t="s">
        <v>65</v>
      </c>
      <c r="L12" s="58">
        <v>12</v>
      </c>
      <c r="M12" s="58"/>
      <c r="N12" s="59"/>
      <c r="O12" s="79" t="s">
        <v>252</v>
      </c>
      <c r="P12" s="81">
        <v>44992.159224537034</v>
      </c>
      <c r="Q12" s="79" t="s">
        <v>259</v>
      </c>
      <c r="R12" s="83" t="str">
        <f>HYPERLINK("https://www.straitstimes.com/singapore/cell-cultured-meat-industry-set-for-another-leap-forward-with-new-changi-plant")</f>
        <v>https://www.straitstimes.com/singapore/cell-cultured-meat-industry-set-for-another-leap-forward-with-new-changi-plant</v>
      </c>
      <c r="S12" s="79" t="s">
        <v>269</v>
      </c>
      <c r="T12" s="79"/>
      <c r="U12" s="79"/>
      <c r="V12" s="83" t="str">
        <f>HYPERLINK("https://pbs.twimg.com/profile_images/1207023594204741634/oNEPNuoG_normal.jpg")</f>
        <v>https://pbs.twimg.com/profile_images/1207023594204741634/oNEPNuoG_normal.jpg</v>
      </c>
      <c r="W12" s="81">
        <v>44992.159224537034</v>
      </c>
      <c r="X12" s="86">
        <v>44992</v>
      </c>
      <c r="Y12" s="84" t="s">
        <v>282</v>
      </c>
      <c r="Z12" s="83" t="str">
        <f>HYPERLINK("https://twitter.com/craftmeati/status/1632951525898088448")</f>
        <v>https://twitter.com/craftmeati/status/1632951525898088448</v>
      </c>
      <c r="AA12" s="79"/>
      <c r="AB12" s="79"/>
      <c r="AC12" s="84" t="s">
        <v>297</v>
      </c>
      <c r="AD12" s="79"/>
      <c r="AE12" s="79" t="b">
        <v>0</v>
      </c>
      <c r="AF12" s="79">
        <v>0</v>
      </c>
      <c r="AG12" s="84" t="s">
        <v>308</v>
      </c>
      <c r="AH12" s="79" t="b">
        <v>0</v>
      </c>
      <c r="AI12" s="79" t="s">
        <v>310</v>
      </c>
      <c r="AJ12" s="79"/>
      <c r="AK12" s="84" t="s">
        <v>308</v>
      </c>
      <c r="AL12" s="79" t="b">
        <v>0</v>
      </c>
      <c r="AM12" s="79">
        <v>3</v>
      </c>
      <c r="AN12" s="84" t="s">
        <v>299</v>
      </c>
      <c r="AO12" s="84" t="s">
        <v>315</v>
      </c>
      <c r="AP12" s="79" t="b">
        <v>0</v>
      </c>
      <c r="AQ12" s="84" t="s">
        <v>299</v>
      </c>
      <c r="AR12" s="79" t="s">
        <v>196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78">
        <v>1</v>
      </c>
      <c r="BG12" s="47">
        <v>0</v>
      </c>
      <c r="BH12" s="48">
        <v>0</v>
      </c>
      <c r="BI12" s="47">
        <v>0</v>
      </c>
      <c r="BJ12" s="48">
        <v>0</v>
      </c>
      <c r="BK12" s="47">
        <v>0</v>
      </c>
      <c r="BL12" s="48">
        <v>0</v>
      </c>
      <c r="BM12" s="47">
        <v>23</v>
      </c>
      <c r="BN12" s="48">
        <v>63.888888888888886</v>
      </c>
      <c r="BO12" s="47">
        <v>36</v>
      </c>
    </row>
    <row r="13" spans="1:67" ht="15">
      <c r="A13" s="77" t="s">
        <v>239</v>
      </c>
      <c r="B13" s="77" t="s">
        <v>250</v>
      </c>
      <c r="C13" s="49" t="s">
        <v>968</v>
      </c>
      <c r="D13" s="50">
        <v>3</v>
      </c>
      <c r="E13" s="49" t="s">
        <v>132</v>
      </c>
      <c r="F13" s="51">
        <v>32</v>
      </c>
      <c r="G13" s="49"/>
      <c r="H13" s="53"/>
      <c r="I13" s="52"/>
      <c r="J13" s="52"/>
      <c r="K13" s="32" t="s">
        <v>65</v>
      </c>
      <c r="L13" s="58">
        <v>13</v>
      </c>
      <c r="M13" s="58"/>
      <c r="N13" s="59"/>
      <c r="O13" s="79" t="s">
        <v>254</v>
      </c>
      <c r="P13" s="81">
        <v>44992.195</v>
      </c>
      <c r="Q13" s="79" t="s">
        <v>259</v>
      </c>
      <c r="R13" s="83" t="str">
        <f>HYPERLINK("https://www.straitstimes.com/singapore/cell-cultured-meat-industry-set-for-another-leap-forward-with-new-changi-plant")</f>
        <v>https://www.straitstimes.com/singapore/cell-cultured-meat-industry-set-for-another-leap-forward-with-new-changi-plant</v>
      </c>
      <c r="S13" s="79" t="s">
        <v>269</v>
      </c>
      <c r="T13" s="79"/>
      <c r="U13" s="79"/>
      <c r="V13" s="83" t="str">
        <f>HYPERLINK("https://pbs.twimg.com/profile_images/1479437477593108485/CmmGWpoI_normal.png")</f>
        <v>https://pbs.twimg.com/profile_images/1479437477593108485/CmmGWpoI_normal.png</v>
      </c>
      <c r="W13" s="81">
        <v>44992.195</v>
      </c>
      <c r="X13" s="86">
        <v>44992</v>
      </c>
      <c r="Y13" s="84" t="s">
        <v>283</v>
      </c>
      <c r="Z13" s="83" t="str">
        <f>HYPERLINK("https://twitter.com/goalsecom/status/1632964492140199936")</f>
        <v>https://twitter.com/goalsecom/status/1632964492140199936</v>
      </c>
      <c r="AA13" s="79"/>
      <c r="AB13" s="79"/>
      <c r="AC13" s="84" t="s">
        <v>298</v>
      </c>
      <c r="AD13" s="79"/>
      <c r="AE13" s="79" t="b">
        <v>0</v>
      </c>
      <c r="AF13" s="79">
        <v>0</v>
      </c>
      <c r="AG13" s="84" t="s">
        <v>308</v>
      </c>
      <c r="AH13" s="79" t="b">
        <v>0</v>
      </c>
      <c r="AI13" s="79" t="s">
        <v>310</v>
      </c>
      <c r="AJ13" s="79"/>
      <c r="AK13" s="84" t="s">
        <v>308</v>
      </c>
      <c r="AL13" s="79" t="b">
        <v>0</v>
      </c>
      <c r="AM13" s="79">
        <v>3</v>
      </c>
      <c r="AN13" s="84" t="s">
        <v>299</v>
      </c>
      <c r="AO13" s="84" t="s">
        <v>316</v>
      </c>
      <c r="AP13" s="79" t="b">
        <v>0</v>
      </c>
      <c r="AQ13" s="84" t="s">
        <v>299</v>
      </c>
      <c r="AR13" s="79" t="s">
        <v>196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78">
        <v>1</v>
      </c>
      <c r="BG13" s="47"/>
      <c r="BH13" s="48"/>
      <c r="BI13" s="47"/>
      <c r="BJ13" s="48"/>
      <c r="BK13" s="47"/>
      <c r="BL13" s="48"/>
      <c r="BM13" s="47"/>
      <c r="BN13" s="48"/>
      <c r="BO13" s="47"/>
    </row>
    <row r="14" spans="1:67" ht="15">
      <c r="A14" s="77" t="s">
        <v>239</v>
      </c>
      <c r="B14" s="77" t="s">
        <v>249</v>
      </c>
      <c r="C14" s="49" t="s">
        <v>968</v>
      </c>
      <c r="D14" s="50">
        <v>3</v>
      </c>
      <c r="E14" s="49" t="s">
        <v>132</v>
      </c>
      <c r="F14" s="51">
        <v>32</v>
      </c>
      <c r="G14" s="49"/>
      <c r="H14" s="53"/>
      <c r="I14" s="52"/>
      <c r="J14" s="52"/>
      <c r="K14" s="32" t="s">
        <v>65</v>
      </c>
      <c r="L14" s="58">
        <v>14</v>
      </c>
      <c r="M14" s="58"/>
      <c r="N14" s="59"/>
      <c r="O14" s="79" t="s">
        <v>254</v>
      </c>
      <c r="P14" s="81">
        <v>44992.195</v>
      </c>
      <c r="Q14" s="79" t="s">
        <v>259</v>
      </c>
      <c r="R14" s="83" t="str">
        <f>HYPERLINK("https://www.straitstimes.com/singapore/cell-cultured-meat-industry-set-for-another-leap-forward-with-new-changi-plant")</f>
        <v>https://www.straitstimes.com/singapore/cell-cultured-meat-industry-set-for-another-leap-forward-with-new-changi-plant</v>
      </c>
      <c r="S14" s="79" t="s">
        <v>269</v>
      </c>
      <c r="T14" s="79"/>
      <c r="U14" s="79"/>
      <c r="V14" s="83" t="str">
        <f>HYPERLINK("https://pbs.twimg.com/profile_images/1479437477593108485/CmmGWpoI_normal.png")</f>
        <v>https://pbs.twimg.com/profile_images/1479437477593108485/CmmGWpoI_normal.png</v>
      </c>
      <c r="W14" s="81">
        <v>44992.195</v>
      </c>
      <c r="X14" s="86">
        <v>44992</v>
      </c>
      <c r="Y14" s="84" t="s">
        <v>283</v>
      </c>
      <c r="Z14" s="83" t="str">
        <f>HYPERLINK("https://twitter.com/goalsecom/status/1632964492140199936")</f>
        <v>https://twitter.com/goalsecom/status/1632964492140199936</v>
      </c>
      <c r="AA14" s="79"/>
      <c r="AB14" s="79"/>
      <c r="AC14" s="84" t="s">
        <v>298</v>
      </c>
      <c r="AD14" s="79"/>
      <c r="AE14" s="79" t="b">
        <v>0</v>
      </c>
      <c r="AF14" s="79">
        <v>0</v>
      </c>
      <c r="AG14" s="84" t="s">
        <v>308</v>
      </c>
      <c r="AH14" s="79" t="b">
        <v>0</v>
      </c>
      <c r="AI14" s="79" t="s">
        <v>310</v>
      </c>
      <c r="AJ14" s="79"/>
      <c r="AK14" s="84" t="s">
        <v>308</v>
      </c>
      <c r="AL14" s="79" t="b">
        <v>0</v>
      </c>
      <c r="AM14" s="79">
        <v>3</v>
      </c>
      <c r="AN14" s="84" t="s">
        <v>299</v>
      </c>
      <c r="AO14" s="84" t="s">
        <v>316</v>
      </c>
      <c r="AP14" s="79" t="b">
        <v>0</v>
      </c>
      <c r="AQ14" s="84" t="s">
        <v>299</v>
      </c>
      <c r="AR14" s="79" t="s">
        <v>196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78">
        <v>1</v>
      </c>
      <c r="BG14" s="47"/>
      <c r="BH14" s="48"/>
      <c r="BI14" s="47"/>
      <c r="BJ14" s="48"/>
      <c r="BK14" s="47"/>
      <c r="BL14" s="48"/>
      <c r="BM14" s="47"/>
      <c r="BN14" s="48"/>
      <c r="BO14" s="47"/>
    </row>
    <row r="15" spans="1:67" ht="15">
      <c r="A15" s="77" t="s">
        <v>239</v>
      </c>
      <c r="B15" s="77" t="s">
        <v>240</v>
      </c>
      <c r="C15" s="49" t="s">
        <v>968</v>
      </c>
      <c r="D15" s="50">
        <v>3</v>
      </c>
      <c r="E15" s="49" t="s">
        <v>132</v>
      </c>
      <c r="F15" s="51">
        <v>32</v>
      </c>
      <c r="G15" s="49"/>
      <c r="H15" s="53"/>
      <c r="I15" s="52"/>
      <c r="J15" s="52"/>
      <c r="K15" s="32" t="s">
        <v>65</v>
      </c>
      <c r="L15" s="58">
        <v>15</v>
      </c>
      <c r="M15" s="58"/>
      <c r="N15" s="59"/>
      <c r="O15" s="79" t="s">
        <v>252</v>
      </c>
      <c r="P15" s="81">
        <v>44992.195</v>
      </c>
      <c r="Q15" s="79" t="s">
        <v>259</v>
      </c>
      <c r="R15" s="83" t="str">
        <f>HYPERLINK("https://www.straitstimes.com/singapore/cell-cultured-meat-industry-set-for-another-leap-forward-with-new-changi-plant")</f>
        <v>https://www.straitstimes.com/singapore/cell-cultured-meat-industry-set-for-another-leap-forward-with-new-changi-plant</v>
      </c>
      <c r="S15" s="79" t="s">
        <v>269</v>
      </c>
      <c r="T15" s="79"/>
      <c r="U15" s="79"/>
      <c r="V15" s="83" t="str">
        <f>HYPERLINK("https://pbs.twimg.com/profile_images/1479437477593108485/CmmGWpoI_normal.png")</f>
        <v>https://pbs.twimg.com/profile_images/1479437477593108485/CmmGWpoI_normal.png</v>
      </c>
      <c r="W15" s="81">
        <v>44992.195</v>
      </c>
      <c r="X15" s="86">
        <v>44992</v>
      </c>
      <c r="Y15" s="84" t="s">
        <v>283</v>
      </c>
      <c r="Z15" s="83" t="str">
        <f>HYPERLINK("https://twitter.com/goalsecom/status/1632964492140199936")</f>
        <v>https://twitter.com/goalsecom/status/1632964492140199936</v>
      </c>
      <c r="AA15" s="79"/>
      <c r="AB15" s="79"/>
      <c r="AC15" s="84" t="s">
        <v>298</v>
      </c>
      <c r="AD15" s="79"/>
      <c r="AE15" s="79" t="b">
        <v>0</v>
      </c>
      <c r="AF15" s="79">
        <v>0</v>
      </c>
      <c r="AG15" s="84" t="s">
        <v>308</v>
      </c>
      <c r="AH15" s="79" t="b">
        <v>0</v>
      </c>
      <c r="AI15" s="79" t="s">
        <v>310</v>
      </c>
      <c r="AJ15" s="79"/>
      <c r="AK15" s="84" t="s">
        <v>308</v>
      </c>
      <c r="AL15" s="79" t="b">
        <v>0</v>
      </c>
      <c r="AM15" s="79">
        <v>3</v>
      </c>
      <c r="AN15" s="84" t="s">
        <v>299</v>
      </c>
      <c r="AO15" s="84" t="s">
        <v>316</v>
      </c>
      <c r="AP15" s="79" t="b">
        <v>0</v>
      </c>
      <c r="AQ15" s="84" t="s">
        <v>299</v>
      </c>
      <c r="AR15" s="79" t="s">
        <v>196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78">
        <v>1</v>
      </c>
      <c r="BG15" s="47">
        <v>0</v>
      </c>
      <c r="BH15" s="48">
        <v>0</v>
      </c>
      <c r="BI15" s="47">
        <v>0</v>
      </c>
      <c r="BJ15" s="48">
        <v>0</v>
      </c>
      <c r="BK15" s="47">
        <v>0</v>
      </c>
      <c r="BL15" s="48">
        <v>0</v>
      </c>
      <c r="BM15" s="47">
        <v>23</v>
      </c>
      <c r="BN15" s="48">
        <v>63.888888888888886</v>
      </c>
      <c r="BO15" s="47">
        <v>36</v>
      </c>
    </row>
    <row r="16" spans="1:67" ht="15">
      <c r="A16" s="77" t="s">
        <v>240</v>
      </c>
      <c r="B16" s="77" t="s">
        <v>250</v>
      </c>
      <c r="C16" s="49" t="s">
        <v>968</v>
      </c>
      <c r="D16" s="50">
        <v>3</v>
      </c>
      <c r="E16" s="49" t="s">
        <v>132</v>
      </c>
      <c r="F16" s="51">
        <v>32</v>
      </c>
      <c r="G16" s="49"/>
      <c r="H16" s="53"/>
      <c r="I16" s="52"/>
      <c r="J16" s="52"/>
      <c r="K16" s="32" t="s">
        <v>65</v>
      </c>
      <c r="L16" s="58">
        <v>16</v>
      </c>
      <c r="M16" s="58"/>
      <c r="N16" s="59"/>
      <c r="O16" s="79" t="s">
        <v>253</v>
      </c>
      <c r="P16" s="81">
        <v>44992.08576388889</v>
      </c>
      <c r="Q16" s="79" t="s">
        <v>259</v>
      </c>
      <c r="R16" s="83" t="str">
        <f>HYPERLINK("https://www.straitstimes.com/singapore/cell-cultured-meat-industry-set-for-another-leap-forward-with-new-changi-plant")</f>
        <v>https://www.straitstimes.com/singapore/cell-cultured-meat-industry-set-for-another-leap-forward-with-new-changi-plant</v>
      </c>
      <c r="S16" s="79" t="s">
        <v>269</v>
      </c>
      <c r="T16" s="79"/>
      <c r="U16" s="79"/>
      <c r="V16" s="83" t="str">
        <f>HYPERLINK("https://pbs.twimg.com/profile_images/1244683441599373314/AFkHERkJ_normal.jpg")</f>
        <v>https://pbs.twimg.com/profile_images/1244683441599373314/AFkHERkJ_normal.jpg</v>
      </c>
      <c r="W16" s="81">
        <v>44992.08576388889</v>
      </c>
      <c r="X16" s="86">
        <v>44992</v>
      </c>
      <c r="Y16" s="84" t="s">
        <v>284</v>
      </c>
      <c r="Z16" s="83" t="str">
        <f>HYPERLINK("https://twitter.com/elliotswartz/status/1632924905410027521")</f>
        <v>https://twitter.com/elliotswartz/status/1632924905410027521</v>
      </c>
      <c r="AA16" s="79"/>
      <c r="AB16" s="79"/>
      <c r="AC16" s="84" t="s">
        <v>299</v>
      </c>
      <c r="AD16" s="84" t="s">
        <v>307</v>
      </c>
      <c r="AE16" s="79" t="b">
        <v>0</v>
      </c>
      <c r="AF16" s="79">
        <v>8</v>
      </c>
      <c r="AG16" s="84" t="s">
        <v>309</v>
      </c>
      <c r="AH16" s="79" t="b">
        <v>0</v>
      </c>
      <c r="AI16" s="79" t="s">
        <v>310</v>
      </c>
      <c r="AJ16" s="79"/>
      <c r="AK16" s="84" t="s">
        <v>308</v>
      </c>
      <c r="AL16" s="79" t="b">
        <v>0</v>
      </c>
      <c r="AM16" s="79">
        <v>3</v>
      </c>
      <c r="AN16" s="84" t="s">
        <v>308</v>
      </c>
      <c r="AO16" s="84" t="s">
        <v>311</v>
      </c>
      <c r="AP16" s="79" t="b">
        <v>0</v>
      </c>
      <c r="AQ16" s="84" t="s">
        <v>307</v>
      </c>
      <c r="AR16" s="79" t="s">
        <v>196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78">
        <v>1</v>
      </c>
      <c r="BG16" s="47"/>
      <c r="BH16" s="48"/>
      <c r="BI16" s="47"/>
      <c r="BJ16" s="48"/>
      <c r="BK16" s="47"/>
      <c r="BL16" s="48"/>
      <c r="BM16" s="47"/>
      <c r="BN16" s="48"/>
      <c r="BO16" s="47"/>
    </row>
    <row r="17" spans="1:67" ht="15">
      <c r="A17" s="77" t="s">
        <v>241</v>
      </c>
      <c r="B17" s="77" t="s">
        <v>250</v>
      </c>
      <c r="C17" s="49" t="s">
        <v>968</v>
      </c>
      <c r="D17" s="50">
        <v>3</v>
      </c>
      <c r="E17" s="49" t="s">
        <v>132</v>
      </c>
      <c r="F17" s="51">
        <v>32</v>
      </c>
      <c r="G17" s="49"/>
      <c r="H17" s="53"/>
      <c r="I17" s="52"/>
      <c r="J17" s="52"/>
      <c r="K17" s="32" t="s">
        <v>65</v>
      </c>
      <c r="L17" s="58">
        <v>17</v>
      </c>
      <c r="M17" s="58"/>
      <c r="N17" s="59"/>
      <c r="O17" s="79" t="s">
        <v>254</v>
      </c>
      <c r="P17" s="81">
        <v>44992.26972222222</v>
      </c>
      <c r="Q17" s="79" t="s">
        <v>259</v>
      </c>
      <c r="R17" s="83" t="str">
        <f>HYPERLINK("https://www.straitstimes.com/singapore/cell-cultured-meat-industry-set-for-another-leap-forward-with-new-changi-plant")</f>
        <v>https://www.straitstimes.com/singapore/cell-cultured-meat-industry-set-for-another-leap-forward-with-new-changi-plant</v>
      </c>
      <c r="S17" s="79" t="s">
        <v>269</v>
      </c>
      <c r="T17" s="79"/>
      <c r="U17" s="79"/>
      <c r="V17" s="83" t="str">
        <f>HYPERLINK("https://pbs.twimg.com/profile_images/1623675266097717248/wf2uvNt__normal.jpg")</f>
        <v>https://pbs.twimg.com/profile_images/1623675266097717248/wf2uvNt__normal.jpg</v>
      </c>
      <c r="W17" s="81">
        <v>44992.26972222222</v>
      </c>
      <c r="X17" s="86">
        <v>44992</v>
      </c>
      <c r="Y17" s="84" t="s">
        <v>285</v>
      </c>
      <c r="Z17" s="83" t="str">
        <f>HYPERLINK("https://twitter.com/biftekco/status/1632991569471995907")</f>
        <v>https://twitter.com/biftekco/status/1632991569471995907</v>
      </c>
      <c r="AA17" s="79"/>
      <c r="AB17" s="79"/>
      <c r="AC17" s="84" t="s">
        <v>300</v>
      </c>
      <c r="AD17" s="79"/>
      <c r="AE17" s="79" t="b">
        <v>0</v>
      </c>
      <c r="AF17" s="79">
        <v>0</v>
      </c>
      <c r="AG17" s="84" t="s">
        <v>308</v>
      </c>
      <c r="AH17" s="79" t="b">
        <v>0</v>
      </c>
      <c r="AI17" s="79" t="s">
        <v>310</v>
      </c>
      <c r="AJ17" s="79"/>
      <c r="AK17" s="84" t="s">
        <v>308</v>
      </c>
      <c r="AL17" s="79" t="b">
        <v>0</v>
      </c>
      <c r="AM17" s="79">
        <v>3</v>
      </c>
      <c r="AN17" s="84" t="s">
        <v>299</v>
      </c>
      <c r="AO17" s="84" t="s">
        <v>315</v>
      </c>
      <c r="AP17" s="79" t="b">
        <v>0</v>
      </c>
      <c r="AQ17" s="84" t="s">
        <v>299</v>
      </c>
      <c r="AR17" s="79" t="s">
        <v>196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78">
        <v>1</v>
      </c>
      <c r="BG17" s="47"/>
      <c r="BH17" s="48"/>
      <c r="BI17" s="47"/>
      <c r="BJ17" s="48"/>
      <c r="BK17" s="47"/>
      <c r="BL17" s="48"/>
      <c r="BM17" s="47"/>
      <c r="BN17" s="48"/>
      <c r="BO17" s="47"/>
    </row>
    <row r="18" spans="1:67" ht="15">
      <c r="A18" s="77" t="s">
        <v>240</v>
      </c>
      <c r="B18" s="77" t="s">
        <v>249</v>
      </c>
      <c r="C18" s="49" t="s">
        <v>968</v>
      </c>
      <c r="D18" s="50">
        <v>3</v>
      </c>
      <c r="E18" s="49" t="s">
        <v>132</v>
      </c>
      <c r="F18" s="51">
        <v>32</v>
      </c>
      <c r="G18" s="49"/>
      <c r="H18" s="53"/>
      <c r="I18" s="52"/>
      <c r="J18" s="52"/>
      <c r="K18" s="32" t="s">
        <v>65</v>
      </c>
      <c r="L18" s="58">
        <v>18</v>
      </c>
      <c r="M18" s="58"/>
      <c r="N18" s="59"/>
      <c r="O18" s="79" t="s">
        <v>253</v>
      </c>
      <c r="P18" s="81">
        <v>44992.08576388889</v>
      </c>
      <c r="Q18" s="79" t="s">
        <v>259</v>
      </c>
      <c r="R18" s="83" t="str">
        <f>HYPERLINK("https://www.straitstimes.com/singapore/cell-cultured-meat-industry-set-for-another-leap-forward-with-new-changi-plant")</f>
        <v>https://www.straitstimes.com/singapore/cell-cultured-meat-industry-set-for-another-leap-forward-with-new-changi-plant</v>
      </c>
      <c r="S18" s="79" t="s">
        <v>269</v>
      </c>
      <c r="T18" s="79"/>
      <c r="U18" s="79"/>
      <c r="V18" s="83" t="str">
        <f>HYPERLINK("https://pbs.twimg.com/profile_images/1244683441599373314/AFkHERkJ_normal.jpg")</f>
        <v>https://pbs.twimg.com/profile_images/1244683441599373314/AFkHERkJ_normal.jpg</v>
      </c>
      <c r="W18" s="81">
        <v>44992.08576388889</v>
      </c>
      <c r="X18" s="86">
        <v>44992</v>
      </c>
      <c r="Y18" s="84" t="s">
        <v>284</v>
      </c>
      <c r="Z18" s="83" t="str">
        <f>HYPERLINK("https://twitter.com/elliotswartz/status/1632924905410027521")</f>
        <v>https://twitter.com/elliotswartz/status/1632924905410027521</v>
      </c>
      <c r="AA18" s="79"/>
      <c r="AB18" s="79"/>
      <c r="AC18" s="84" t="s">
        <v>299</v>
      </c>
      <c r="AD18" s="84" t="s">
        <v>307</v>
      </c>
      <c r="AE18" s="79" t="b">
        <v>0</v>
      </c>
      <c r="AF18" s="79">
        <v>8</v>
      </c>
      <c r="AG18" s="84" t="s">
        <v>309</v>
      </c>
      <c r="AH18" s="79" t="b">
        <v>0</v>
      </c>
      <c r="AI18" s="79" t="s">
        <v>310</v>
      </c>
      <c r="AJ18" s="79"/>
      <c r="AK18" s="84" t="s">
        <v>308</v>
      </c>
      <c r="AL18" s="79" t="b">
        <v>0</v>
      </c>
      <c r="AM18" s="79">
        <v>3</v>
      </c>
      <c r="AN18" s="84" t="s">
        <v>308</v>
      </c>
      <c r="AO18" s="84" t="s">
        <v>311</v>
      </c>
      <c r="AP18" s="79" t="b">
        <v>0</v>
      </c>
      <c r="AQ18" s="84" t="s">
        <v>307</v>
      </c>
      <c r="AR18" s="79" t="s">
        <v>196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78">
        <v>1</v>
      </c>
      <c r="BG18" s="47">
        <v>0</v>
      </c>
      <c r="BH18" s="48">
        <v>0</v>
      </c>
      <c r="BI18" s="47">
        <v>0</v>
      </c>
      <c r="BJ18" s="48">
        <v>0</v>
      </c>
      <c r="BK18" s="47">
        <v>0</v>
      </c>
      <c r="BL18" s="48">
        <v>0</v>
      </c>
      <c r="BM18" s="47">
        <v>23</v>
      </c>
      <c r="BN18" s="48">
        <v>63.888888888888886</v>
      </c>
      <c r="BO18" s="47">
        <v>36</v>
      </c>
    </row>
    <row r="19" spans="1:67" ht="15">
      <c r="A19" s="77" t="s">
        <v>241</v>
      </c>
      <c r="B19" s="77" t="s">
        <v>249</v>
      </c>
      <c r="C19" s="49" t="s">
        <v>968</v>
      </c>
      <c r="D19" s="50">
        <v>3</v>
      </c>
      <c r="E19" s="49" t="s">
        <v>132</v>
      </c>
      <c r="F19" s="51">
        <v>32</v>
      </c>
      <c r="G19" s="49"/>
      <c r="H19" s="53"/>
      <c r="I19" s="52"/>
      <c r="J19" s="52"/>
      <c r="K19" s="32" t="s">
        <v>65</v>
      </c>
      <c r="L19" s="58">
        <v>19</v>
      </c>
      <c r="M19" s="58"/>
      <c r="N19" s="59"/>
      <c r="O19" s="79" t="s">
        <v>254</v>
      </c>
      <c r="P19" s="81">
        <v>44992.26972222222</v>
      </c>
      <c r="Q19" s="79" t="s">
        <v>259</v>
      </c>
      <c r="R19" s="83" t="str">
        <f>HYPERLINK("https://www.straitstimes.com/singapore/cell-cultured-meat-industry-set-for-another-leap-forward-with-new-changi-plant")</f>
        <v>https://www.straitstimes.com/singapore/cell-cultured-meat-industry-set-for-another-leap-forward-with-new-changi-plant</v>
      </c>
      <c r="S19" s="79" t="s">
        <v>269</v>
      </c>
      <c r="T19" s="79"/>
      <c r="U19" s="79"/>
      <c r="V19" s="83" t="str">
        <f>HYPERLINK("https://pbs.twimg.com/profile_images/1623675266097717248/wf2uvNt__normal.jpg")</f>
        <v>https://pbs.twimg.com/profile_images/1623675266097717248/wf2uvNt__normal.jpg</v>
      </c>
      <c r="W19" s="81">
        <v>44992.26972222222</v>
      </c>
      <c r="X19" s="86">
        <v>44992</v>
      </c>
      <c r="Y19" s="84" t="s">
        <v>285</v>
      </c>
      <c r="Z19" s="83" t="str">
        <f>HYPERLINK("https://twitter.com/biftekco/status/1632991569471995907")</f>
        <v>https://twitter.com/biftekco/status/1632991569471995907</v>
      </c>
      <c r="AA19" s="79"/>
      <c r="AB19" s="79"/>
      <c r="AC19" s="84" t="s">
        <v>300</v>
      </c>
      <c r="AD19" s="79"/>
      <c r="AE19" s="79" t="b">
        <v>0</v>
      </c>
      <c r="AF19" s="79">
        <v>0</v>
      </c>
      <c r="AG19" s="84" t="s">
        <v>308</v>
      </c>
      <c r="AH19" s="79" t="b">
        <v>0</v>
      </c>
      <c r="AI19" s="79" t="s">
        <v>310</v>
      </c>
      <c r="AJ19" s="79"/>
      <c r="AK19" s="84" t="s">
        <v>308</v>
      </c>
      <c r="AL19" s="79" t="b">
        <v>0</v>
      </c>
      <c r="AM19" s="79">
        <v>3</v>
      </c>
      <c r="AN19" s="84" t="s">
        <v>299</v>
      </c>
      <c r="AO19" s="84" t="s">
        <v>315</v>
      </c>
      <c r="AP19" s="79" t="b">
        <v>0</v>
      </c>
      <c r="AQ19" s="84" t="s">
        <v>299</v>
      </c>
      <c r="AR19" s="79" t="s">
        <v>196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78">
        <v>1</v>
      </c>
      <c r="BG19" s="47"/>
      <c r="BH19" s="48"/>
      <c r="BI19" s="47"/>
      <c r="BJ19" s="48"/>
      <c r="BK19" s="47"/>
      <c r="BL19" s="48"/>
      <c r="BM19" s="47"/>
      <c r="BN19" s="48"/>
      <c r="BO19" s="47"/>
    </row>
    <row r="20" spans="1:67" ht="15">
      <c r="A20" s="77" t="s">
        <v>241</v>
      </c>
      <c r="B20" s="77" t="s">
        <v>240</v>
      </c>
      <c r="C20" s="49" t="s">
        <v>968</v>
      </c>
      <c r="D20" s="50">
        <v>3</v>
      </c>
      <c r="E20" s="49" t="s">
        <v>132</v>
      </c>
      <c r="F20" s="51">
        <v>32</v>
      </c>
      <c r="G20" s="49"/>
      <c r="H20" s="53"/>
      <c r="I20" s="52"/>
      <c r="J20" s="52"/>
      <c r="K20" s="32" t="s">
        <v>65</v>
      </c>
      <c r="L20" s="58">
        <v>20</v>
      </c>
      <c r="M20" s="58"/>
      <c r="N20" s="59"/>
      <c r="O20" s="79" t="s">
        <v>252</v>
      </c>
      <c r="P20" s="81">
        <v>44992.26972222222</v>
      </c>
      <c r="Q20" s="79" t="s">
        <v>259</v>
      </c>
      <c r="R20" s="83" t="str">
        <f>HYPERLINK("https://www.straitstimes.com/singapore/cell-cultured-meat-industry-set-for-another-leap-forward-with-new-changi-plant")</f>
        <v>https://www.straitstimes.com/singapore/cell-cultured-meat-industry-set-for-another-leap-forward-with-new-changi-plant</v>
      </c>
      <c r="S20" s="79" t="s">
        <v>269</v>
      </c>
      <c r="T20" s="79"/>
      <c r="U20" s="79"/>
      <c r="V20" s="83" t="str">
        <f>HYPERLINK("https://pbs.twimg.com/profile_images/1623675266097717248/wf2uvNt__normal.jpg")</f>
        <v>https://pbs.twimg.com/profile_images/1623675266097717248/wf2uvNt__normal.jpg</v>
      </c>
      <c r="W20" s="81">
        <v>44992.26972222222</v>
      </c>
      <c r="X20" s="86">
        <v>44992</v>
      </c>
      <c r="Y20" s="84" t="s">
        <v>285</v>
      </c>
      <c r="Z20" s="83" t="str">
        <f>HYPERLINK("https://twitter.com/biftekco/status/1632991569471995907")</f>
        <v>https://twitter.com/biftekco/status/1632991569471995907</v>
      </c>
      <c r="AA20" s="79"/>
      <c r="AB20" s="79"/>
      <c r="AC20" s="84" t="s">
        <v>300</v>
      </c>
      <c r="AD20" s="79"/>
      <c r="AE20" s="79" t="b">
        <v>0</v>
      </c>
      <c r="AF20" s="79">
        <v>0</v>
      </c>
      <c r="AG20" s="84" t="s">
        <v>308</v>
      </c>
      <c r="AH20" s="79" t="b">
        <v>0</v>
      </c>
      <c r="AI20" s="79" t="s">
        <v>310</v>
      </c>
      <c r="AJ20" s="79"/>
      <c r="AK20" s="84" t="s">
        <v>308</v>
      </c>
      <c r="AL20" s="79" t="b">
        <v>0</v>
      </c>
      <c r="AM20" s="79">
        <v>3</v>
      </c>
      <c r="AN20" s="84" t="s">
        <v>299</v>
      </c>
      <c r="AO20" s="84" t="s">
        <v>315</v>
      </c>
      <c r="AP20" s="79" t="b">
        <v>0</v>
      </c>
      <c r="AQ20" s="84" t="s">
        <v>299</v>
      </c>
      <c r="AR20" s="79" t="s">
        <v>196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78">
        <v>1</v>
      </c>
      <c r="BG20" s="47">
        <v>0</v>
      </c>
      <c r="BH20" s="48">
        <v>0</v>
      </c>
      <c r="BI20" s="47">
        <v>0</v>
      </c>
      <c r="BJ20" s="48">
        <v>0</v>
      </c>
      <c r="BK20" s="47">
        <v>0</v>
      </c>
      <c r="BL20" s="48">
        <v>0</v>
      </c>
      <c r="BM20" s="47">
        <v>23</v>
      </c>
      <c r="BN20" s="48">
        <v>63.888888888888886</v>
      </c>
      <c r="BO20" s="47">
        <v>36</v>
      </c>
    </row>
    <row r="21" spans="1:67" ht="15">
      <c r="A21" s="77" t="s">
        <v>242</v>
      </c>
      <c r="B21" s="77" t="s">
        <v>242</v>
      </c>
      <c r="C21" s="49" t="s">
        <v>968</v>
      </c>
      <c r="D21" s="50">
        <v>3</v>
      </c>
      <c r="E21" s="49" t="s">
        <v>132</v>
      </c>
      <c r="F21" s="51">
        <v>32</v>
      </c>
      <c r="G21" s="49"/>
      <c r="H21" s="53"/>
      <c r="I21" s="52"/>
      <c r="J21" s="52"/>
      <c r="K21" s="32" t="s">
        <v>65</v>
      </c>
      <c r="L21" s="58">
        <v>21</v>
      </c>
      <c r="M21" s="58"/>
      <c r="N21" s="59"/>
      <c r="O21" s="79" t="s">
        <v>196</v>
      </c>
      <c r="P21" s="81">
        <v>44992.66726851852</v>
      </c>
      <c r="Q21" s="79" t="s">
        <v>260</v>
      </c>
      <c r="R21" s="83" t="str">
        <f>HYPERLINK("https://marqmetrix.com/cultivated-meat-raman-seven-benefits/")</f>
        <v>https://marqmetrix.com/cultivated-meat-raman-seven-benefits/</v>
      </c>
      <c r="S21" s="79" t="s">
        <v>270</v>
      </c>
      <c r="T21" s="84" t="s">
        <v>275</v>
      </c>
      <c r="U21" s="83" t="str">
        <f>HYPERLINK("https://pbs.twimg.com/media/FqoQNJFWAAIgdDT.jpg")</f>
        <v>https://pbs.twimg.com/media/FqoQNJFWAAIgdDT.jpg</v>
      </c>
      <c r="V21" s="83" t="str">
        <f>HYPERLINK("https://pbs.twimg.com/media/FqoQNJFWAAIgdDT.jpg")</f>
        <v>https://pbs.twimg.com/media/FqoQNJFWAAIgdDT.jpg</v>
      </c>
      <c r="W21" s="81">
        <v>44992.66726851852</v>
      </c>
      <c r="X21" s="86">
        <v>44992</v>
      </c>
      <c r="Y21" s="84" t="s">
        <v>286</v>
      </c>
      <c r="Z21" s="83" t="str">
        <f>HYPERLINK("https://twitter.com/marqmetrix_inc/status/1633135636054982660")</f>
        <v>https://twitter.com/marqmetrix_inc/status/1633135636054982660</v>
      </c>
      <c r="AA21" s="79"/>
      <c r="AB21" s="79"/>
      <c r="AC21" s="84" t="s">
        <v>301</v>
      </c>
      <c r="AD21" s="79"/>
      <c r="AE21" s="79" t="b">
        <v>0</v>
      </c>
      <c r="AF21" s="79">
        <v>0</v>
      </c>
      <c r="AG21" s="84" t="s">
        <v>308</v>
      </c>
      <c r="AH21" s="79" t="b">
        <v>0</v>
      </c>
      <c r="AI21" s="79" t="s">
        <v>310</v>
      </c>
      <c r="AJ21" s="79"/>
      <c r="AK21" s="84" t="s">
        <v>308</v>
      </c>
      <c r="AL21" s="79" t="b">
        <v>0</v>
      </c>
      <c r="AM21" s="79">
        <v>0</v>
      </c>
      <c r="AN21" s="84" t="s">
        <v>308</v>
      </c>
      <c r="AO21" s="84" t="s">
        <v>317</v>
      </c>
      <c r="AP21" s="79" t="b">
        <v>0</v>
      </c>
      <c r="AQ21" s="84" t="s">
        <v>301</v>
      </c>
      <c r="AR21" s="79" t="s">
        <v>196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78">
        <v>4</v>
      </c>
      <c r="BG21" s="47">
        <v>2</v>
      </c>
      <c r="BH21" s="48">
        <v>7.407407407407407</v>
      </c>
      <c r="BI21" s="47">
        <v>0</v>
      </c>
      <c r="BJ21" s="48">
        <v>0</v>
      </c>
      <c r="BK21" s="47">
        <v>0</v>
      </c>
      <c r="BL21" s="48">
        <v>0</v>
      </c>
      <c r="BM21" s="47">
        <v>18</v>
      </c>
      <c r="BN21" s="48">
        <v>66.66666666666667</v>
      </c>
      <c r="BO21" s="47">
        <v>27</v>
      </c>
    </row>
    <row r="22" spans="1:67" ht="15">
      <c r="A22" s="77" t="s">
        <v>243</v>
      </c>
      <c r="B22" s="77" t="s">
        <v>243</v>
      </c>
      <c r="C22" s="49" t="s">
        <v>968</v>
      </c>
      <c r="D22" s="50">
        <v>3</v>
      </c>
      <c r="E22" s="49" t="s">
        <v>132</v>
      </c>
      <c r="F22" s="51">
        <v>32</v>
      </c>
      <c r="G22" s="49"/>
      <c r="H22" s="53"/>
      <c r="I22" s="52"/>
      <c r="J22" s="52"/>
      <c r="K22" s="32" t="s">
        <v>65</v>
      </c>
      <c r="L22" s="58">
        <v>22</v>
      </c>
      <c r="M22" s="58"/>
      <c r="N22" s="59"/>
      <c r="O22" s="79" t="s">
        <v>196</v>
      </c>
      <c r="P22" s="81">
        <v>44994.83495370371</v>
      </c>
      <c r="Q22" s="79" t="s">
        <v>261</v>
      </c>
      <c r="R22" s="83" t="str">
        <f>HYPERLINK("https://www.avma.org/news/fda-concludes-first-premarket-consultation-meat-cultured-animal-cells")</f>
        <v>https://www.avma.org/news/fda-concludes-first-premarket-consultation-meat-cultured-animal-cells</v>
      </c>
      <c r="S22" s="79" t="s">
        <v>271</v>
      </c>
      <c r="T22" s="79"/>
      <c r="U22" s="83" t="str">
        <f>HYPERLINK("https://pbs.twimg.com/media/FqzapwxX0AEeeKL.jpg")</f>
        <v>https://pbs.twimg.com/media/FqzapwxX0AEeeKL.jpg</v>
      </c>
      <c r="V22" s="83" t="str">
        <f>HYPERLINK("https://pbs.twimg.com/media/FqzapwxX0AEeeKL.jpg")</f>
        <v>https://pbs.twimg.com/media/FqzapwxX0AEeeKL.jpg</v>
      </c>
      <c r="W22" s="81">
        <v>44994.83495370371</v>
      </c>
      <c r="X22" s="86">
        <v>44994</v>
      </c>
      <c r="Y22" s="84" t="s">
        <v>287</v>
      </c>
      <c r="Z22" s="83" t="str">
        <f>HYPERLINK("https://twitter.com/avmajavma/status/1633921176992104450")</f>
        <v>https://twitter.com/avmajavma/status/1633921176992104450</v>
      </c>
      <c r="AA22" s="79"/>
      <c r="AB22" s="79"/>
      <c r="AC22" s="84" t="s">
        <v>302</v>
      </c>
      <c r="AD22" s="79"/>
      <c r="AE22" s="79" t="b">
        <v>0</v>
      </c>
      <c r="AF22" s="79">
        <v>1</v>
      </c>
      <c r="AG22" s="84" t="s">
        <v>308</v>
      </c>
      <c r="AH22" s="79" t="b">
        <v>0</v>
      </c>
      <c r="AI22" s="79" t="s">
        <v>310</v>
      </c>
      <c r="AJ22" s="79"/>
      <c r="AK22" s="84" t="s">
        <v>308</v>
      </c>
      <c r="AL22" s="79" t="b">
        <v>0</v>
      </c>
      <c r="AM22" s="79">
        <v>1</v>
      </c>
      <c r="AN22" s="84" t="s">
        <v>308</v>
      </c>
      <c r="AO22" s="84" t="s">
        <v>314</v>
      </c>
      <c r="AP22" s="79" t="b">
        <v>0</v>
      </c>
      <c r="AQ22" s="84" t="s">
        <v>302</v>
      </c>
      <c r="AR22" s="79" t="s">
        <v>196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78">
        <v>3</v>
      </c>
      <c r="BG22" s="47">
        <v>0</v>
      </c>
      <c r="BH22" s="48">
        <v>0</v>
      </c>
      <c r="BI22" s="47">
        <v>0</v>
      </c>
      <c r="BJ22" s="48">
        <v>0</v>
      </c>
      <c r="BK22" s="47">
        <v>0</v>
      </c>
      <c r="BL22" s="48">
        <v>0</v>
      </c>
      <c r="BM22" s="47">
        <v>29</v>
      </c>
      <c r="BN22" s="48">
        <v>70.73170731707317</v>
      </c>
      <c r="BO22" s="47">
        <v>41</v>
      </c>
    </row>
    <row r="23" spans="1:67" ht="15">
      <c r="A23" s="77" t="s">
        <v>244</v>
      </c>
      <c r="B23" s="77" t="s">
        <v>243</v>
      </c>
      <c r="C23" s="49" t="s">
        <v>968</v>
      </c>
      <c r="D23" s="50">
        <v>3</v>
      </c>
      <c r="E23" s="49" t="s">
        <v>132</v>
      </c>
      <c r="F23" s="51">
        <v>32</v>
      </c>
      <c r="G23" s="49"/>
      <c r="H23" s="53"/>
      <c r="I23" s="52"/>
      <c r="J23" s="52"/>
      <c r="K23" s="32" t="s">
        <v>65</v>
      </c>
      <c r="L23" s="58">
        <v>23</v>
      </c>
      <c r="M23" s="58"/>
      <c r="N23" s="59"/>
      <c r="O23" s="79" t="s">
        <v>252</v>
      </c>
      <c r="P23" s="81">
        <v>44994.838854166665</v>
      </c>
      <c r="Q23" s="79" t="s">
        <v>261</v>
      </c>
      <c r="R23" s="83" t="str">
        <f>HYPERLINK("https://www.avma.org/news/fda-concludes-first-premarket-consultation-meat-cultured-animal-cells")</f>
        <v>https://www.avma.org/news/fda-concludes-first-premarket-consultation-meat-cultured-animal-cells</v>
      </c>
      <c r="S23" s="79" t="s">
        <v>271</v>
      </c>
      <c r="T23" s="79"/>
      <c r="U23" s="83" t="str">
        <f>HYPERLINK("https://pbs.twimg.com/media/FqzapwxX0AEeeKL.jpg")</f>
        <v>https://pbs.twimg.com/media/FqzapwxX0AEeeKL.jpg</v>
      </c>
      <c r="V23" s="83" t="str">
        <f>HYPERLINK("https://pbs.twimg.com/media/FqzapwxX0AEeeKL.jpg")</f>
        <v>https://pbs.twimg.com/media/FqzapwxX0AEeeKL.jpg</v>
      </c>
      <c r="W23" s="81">
        <v>44994.838854166665</v>
      </c>
      <c r="X23" s="86">
        <v>44994</v>
      </c>
      <c r="Y23" s="84" t="s">
        <v>288</v>
      </c>
      <c r="Z23" s="83" t="str">
        <f>HYPERLINK("https://twitter.com/vetpathophile/status/1633922594150793217")</f>
        <v>https://twitter.com/vetpathophile/status/1633922594150793217</v>
      </c>
      <c r="AA23" s="79"/>
      <c r="AB23" s="79"/>
      <c r="AC23" s="84" t="s">
        <v>303</v>
      </c>
      <c r="AD23" s="79"/>
      <c r="AE23" s="79" t="b">
        <v>0</v>
      </c>
      <c r="AF23" s="79">
        <v>0</v>
      </c>
      <c r="AG23" s="84" t="s">
        <v>308</v>
      </c>
      <c r="AH23" s="79" t="b">
        <v>0</v>
      </c>
      <c r="AI23" s="79" t="s">
        <v>310</v>
      </c>
      <c r="AJ23" s="79"/>
      <c r="AK23" s="84" t="s">
        <v>308</v>
      </c>
      <c r="AL23" s="79" t="b">
        <v>0</v>
      </c>
      <c r="AM23" s="79">
        <v>1</v>
      </c>
      <c r="AN23" s="84" t="s">
        <v>302</v>
      </c>
      <c r="AO23" s="84" t="s">
        <v>312</v>
      </c>
      <c r="AP23" s="79" t="b">
        <v>0</v>
      </c>
      <c r="AQ23" s="84" t="s">
        <v>302</v>
      </c>
      <c r="AR23" s="79" t="s">
        <v>196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78">
        <v>3</v>
      </c>
      <c r="BG23" s="47">
        <v>0</v>
      </c>
      <c r="BH23" s="48">
        <v>0</v>
      </c>
      <c r="BI23" s="47">
        <v>0</v>
      </c>
      <c r="BJ23" s="48">
        <v>0</v>
      </c>
      <c r="BK23" s="47">
        <v>0</v>
      </c>
      <c r="BL23" s="48">
        <v>0</v>
      </c>
      <c r="BM23" s="47">
        <v>29</v>
      </c>
      <c r="BN23" s="48">
        <v>70.73170731707317</v>
      </c>
      <c r="BO23" s="47">
        <v>41</v>
      </c>
    </row>
    <row r="24" spans="1:67" ht="15">
      <c r="A24" s="77" t="s">
        <v>245</v>
      </c>
      <c r="B24" s="77" t="s">
        <v>251</v>
      </c>
      <c r="C24" s="49" t="s">
        <v>968</v>
      </c>
      <c r="D24" s="50">
        <v>3</v>
      </c>
      <c r="E24" s="49" t="s">
        <v>132</v>
      </c>
      <c r="F24" s="51">
        <v>32</v>
      </c>
      <c r="G24" s="49"/>
      <c r="H24" s="53"/>
      <c r="I24" s="52"/>
      <c r="J24" s="52"/>
      <c r="K24" s="32" t="s">
        <v>65</v>
      </c>
      <c r="L24" s="58">
        <v>24</v>
      </c>
      <c r="M24" s="58"/>
      <c r="N24" s="59"/>
      <c r="O24" s="79" t="s">
        <v>253</v>
      </c>
      <c r="P24" s="81">
        <v>44995.79017361111</v>
      </c>
      <c r="Q24" s="79" t="s">
        <v>262</v>
      </c>
      <c r="R24" s="83" t="str">
        <f>HYPERLINK("https://www.cell.ag/blog/cellular-metabolomics-and-optimizing-cultivated-meat-cell-line-selection")</f>
        <v>https://www.cell.ag/blog/cellular-metabolomics-and-optimizing-cultivated-meat-cell-line-selection</v>
      </c>
      <c r="S24" s="79" t="s">
        <v>272</v>
      </c>
      <c r="T24" s="84" t="s">
        <v>276</v>
      </c>
      <c r="U24" s="79"/>
      <c r="V24" s="83" t="str">
        <f>HYPERLINK("https://pbs.twimg.com/profile_images/486221724870926337/cS0048NP_normal.png")</f>
        <v>https://pbs.twimg.com/profile_images/486221724870926337/cS0048NP_normal.png</v>
      </c>
      <c r="W24" s="81">
        <v>44995.79017361111</v>
      </c>
      <c r="X24" s="86">
        <v>44995</v>
      </c>
      <c r="Y24" s="84" t="s">
        <v>289</v>
      </c>
      <c r="Z24" s="83" t="str">
        <f>HYPERLINK("https://twitter.com/hmtmetabolomics/status/1634267338282504192")</f>
        <v>https://twitter.com/hmtmetabolomics/status/1634267338282504192</v>
      </c>
      <c r="AA24" s="79"/>
      <c r="AB24" s="79"/>
      <c r="AC24" s="84" t="s">
        <v>304</v>
      </c>
      <c r="AD24" s="79"/>
      <c r="AE24" s="79" t="b">
        <v>0</v>
      </c>
      <c r="AF24" s="79">
        <v>1</v>
      </c>
      <c r="AG24" s="84" t="s">
        <v>308</v>
      </c>
      <c r="AH24" s="79" t="b">
        <v>0</v>
      </c>
      <c r="AI24" s="79" t="s">
        <v>310</v>
      </c>
      <c r="AJ24" s="79"/>
      <c r="AK24" s="84" t="s">
        <v>308</v>
      </c>
      <c r="AL24" s="79" t="b">
        <v>0</v>
      </c>
      <c r="AM24" s="79">
        <v>1</v>
      </c>
      <c r="AN24" s="84" t="s">
        <v>308</v>
      </c>
      <c r="AO24" s="84" t="s">
        <v>311</v>
      </c>
      <c r="AP24" s="79" t="b">
        <v>0</v>
      </c>
      <c r="AQ24" s="84" t="s">
        <v>304</v>
      </c>
      <c r="AR24" s="79" t="s">
        <v>196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78">
        <v>2</v>
      </c>
      <c r="BG24" s="47">
        <v>0</v>
      </c>
      <c r="BH24" s="48">
        <v>0</v>
      </c>
      <c r="BI24" s="47">
        <v>0</v>
      </c>
      <c r="BJ24" s="48">
        <v>0</v>
      </c>
      <c r="BK24" s="47">
        <v>0</v>
      </c>
      <c r="BL24" s="48">
        <v>0</v>
      </c>
      <c r="BM24" s="47">
        <v>13</v>
      </c>
      <c r="BN24" s="48">
        <v>61.904761904761905</v>
      </c>
      <c r="BO24" s="47">
        <v>21</v>
      </c>
    </row>
    <row r="25" spans="1:67" ht="15">
      <c r="A25" s="77" t="s">
        <v>246</v>
      </c>
      <c r="B25" s="77" t="s">
        <v>251</v>
      </c>
      <c r="C25" s="49" t="s">
        <v>968</v>
      </c>
      <c r="D25" s="50">
        <v>3</v>
      </c>
      <c r="E25" s="49" t="s">
        <v>132</v>
      </c>
      <c r="F25" s="51">
        <v>32</v>
      </c>
      <c r="G25" s="49"/>
      <c r="H25" s="53"/>
      <c r="I25" s="52"/>
      <c r="J25" s="52"/>
      <c r="K25" s="32" t="s">
        <v>65</v>
      </c>
      <c r="L25" s="58">
        <v>25</v>
      </c>
      <c r="M25" s="58"/>
      <c r="N25" s="59"/>
      <c r="O25" s="79" t="s">
        <v>254</v>
      </c>
      <c r="P25" s="81">
        <v>44995.80060185185</v>
      </c>
      <c r="Q25" s="79" t="s">
        <v>262</v>
      </c>
      <c r="R25" s="83" t="str">
        <f>HYPERLINK("https://www.cell.ag/blog/cellular-metabolomics-and-optimizing-cultivated-meat-cell-line-selection")</f>
        <v>https://www.cell.ag/blog/cellular-metabolomics-and-optimizing-cultivated-meat-cell-line-selection</v>
      </c>
      <c r="S25" s="79" t="s">
        <v>272</v>
      </c>
      <c r="T25" s="84" t="s">
        <v>276</v>
      </c>
      <c r="U25" s="79"/>
      <c r="V25" s="83" t="str">
        <f>HYPERLINK("https://pbs.twimg.com/profile_images/1342903725782953986/_tvytAU6_normal.png")</f>
        <v>https://pbs.twimg.com/profile_images/1342903725782953986/_tvytAU6_normal.png</v>
      </c>
      <c r="W25" s="81">
        <v>44995.80060185185</v>
      </c>
      <c r="X25" s="86">
        <v>44995</v>
      </c>
      <c r="Y25" s="84" t="s">
        <v>290</v>
      </c>
      <c r="Z25" s="83" t="str">
        <f>HYPERLINK("https://twitter.com/binfotrends/status/1634271118780424194")</f>
        <v>https://twitter.com/binfotrends/status/1634271118780424194</v>
      </c>
      <c r="AA25" s="79"/>
      <c r="AB25" s="79"/>
      <c r="AC25" s="84" t="s">
        <v>305</v>
      </c>
      <c r="AD25" s="79"/>
      <c r="AE25" s="79" t="b">
        <v>0</v>
      </c>
      <c r="AF25" s="79">
        <v>0</v>
      </c>
      <c r="AG25" s="84" t="s">
        <v>308</v>
      </c>
      <c r="AH25" s="79" t="b">
        <v>0</v>
      </c>
      <c r="AI25" s="79" t="s">
        <v>310</v>
      </c>
      <c r="AJ25" s="79"/>
      <c r="AK25" s="84" t="s">
        <v>308</v>
      </c>
      <c r="AL25" s="79" t="b">
        <v>0</v>
      </c>
      <c r="AM25" s="79">
        <v>1</v>
      </c>
      <c r="AN25" s="84" t="s">
        <v>304</v>
      </c>
      <c r="AO25" s="84" t="s">
        <v>318</v>
      </c>
      <c r="AP25" s="79" t="b">
        <v>0</v>
      </c>
      <c r="AQ25" s="84" t="s">
        <v>304</v>
      </c>
      <c r="AR25" s="79" t="s">
        <v>196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78">
        <v>2</v>
      </c>
      <c r="BG25" s="47"/>
      <c r="BH25" s="48"/>
      <c r="BI25" s="47"/>
      <c r="BJ25" s="48"/>
      <c r="BK25" s="47"/>
      <c r="BL25" s="48"/>
      <c r="BM25" s="47"/>
      <c r="BN25" s="48"/>
      <c r="BO25" s="47"/>
    </row>
    <row r="26" spans="1:67" ht="15">
      <c r="A26" s="77" t="s">
        <v>246</v>
      </c>
      <c r="B26" s="77" t="s">
        <v>245</v>
      </c>
      <c r="C26" s="49" t="s">
        <v>968</v>
      </c>
      <c r="D26" s="50">
        <v>3</v>
      </c>
      <c r="E26" s="49" t="s">
        <v>132</v>
      </c>
      <c r="F26" s="51">
        <v>32</v>
      </c>
      <c r="G26" s="49"/>
      <c r="H26" s="53"/>
      <c r="I26" s="52"/>
      <c r="J26" s="52"/>
      <c r="K26" s="32" t="s">
        <v>65</v>
      </c>
      <c r="L26" s="58">
        <v>26</v>
      </c>
      <c r="M26" s="58"/>
      <c r="N26" s="59"/>
      <c r="O26" s="79" t="s">
        <v>252</v>
      </c>
      <c r="P26" s="81">
        <v>44995.80060185185</v>
      </c>
      <c r="Q26" s="79" t="s">
        <v>262</v>
      </c>
      <c r="R26" s="83" t="str">
        <f>HYPERLINK("https://www.cell.ag/blog/cellular-metabolomics-and-optimizing-cultivated-meat-cell-line-selection")</f>
        <v>https://www.cell.ag/blog/cellular-metabolomics-and-optimizing-cultivated-meat-cell-line-selection</v>
      </c>
      <c r="S26" s="79" t="s">
        <v>272</v>
      </c>
      <c r="T26" s="84" t="s">
        <v>276</v>
      </c>
      <c r="U26" s="79"/>
      <c r="V26" s="83" t="str">
        <f>HYPERLINK("https://pbs.twimg.com/profile_images/1342903725782953986/_tvytAU6_normal.png")</f>
        <v>https://pbs.twimg.com/profile_images/1342903725782953986/_tvytAU6_normal.png</v>
      </c>
      <c r="W26" s="81">
        <v>44995.80060185185</v>
      </c>
      <c r="X26" s="86">
        <v>44995</v>
      </c>
      <c r="Y26" s="84" t="s">
        <v>290</v>
      </c>
      <c r="Z26" s="83" t="str">
        <f>HYPERLINK("https://twitter.com/binfotrends/status/1634271118780424194")</f>
        <v>https://twitter.com/binfotrends/status/1634271118780424194</v>
      </c>
      <c r="AA26" s="79"/>
      <c r="AB26" s="79"/>
      <c r="AC26" s="84" t="s">
        <v>305</v>
      </c>
      <c r="AD26" s="79"/>
      <c r="AE26" s="79" t="b">
        <v>0</v>
      </c>
      <c r="AF26" s="79">
        <v>0</v>
      </c>
      <c r="AG26" s="84" t="s">
        <v>308</v>
      </c>
      <c r="AH26" s="79" t="b">
        <v>0</v>
      </c>
      <c r="AI26" s="79" t="s">
        <v>310</v>
      </c>
      <c r="AJ26" s="79"/>
      <c r="AK26" s="84" t="s">
        <v>308</v>
      </c>
      <c r="AL26" s="79" t="b">
        <v>0</v>
      </c>
      <c r="AM26" s="79">
        <v>1</v>
      </c>
      <c r="AN26" s="84" t="s">
        <v>304</v>
      </c>
      <c r="AO26" s="84" t="s">
        <v>318</v>
      </c>
      <c r="AP26" s="79" t="b">
        <v>0</v>
      </c>
      <c r="AQ26" s="84" t="s">
        <v>304</v>
      </c>
      <c r="AR26" s="79" t="s">
        <v>196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78">
        <v>2</v>
      </c>
      <c r="BG26" s="47">
        <v>0</v>
      </c>
      <c r="BH26" s="48">
        <v>0</v>
      </c>
      <c r="BI26" s="47">
        <v>0</v>
      </c>
      <c r="BJ26" s="48">
        <v>0</v>
      </c>
      <c r="BK26" s="47">
        <v>0</v>
      </c>
      <c r="BL26" s="48">
        <v>0</v>
      </c>
      <c r="BM26" s="47">
        <v>13</v>
      </c>
      <c r="BN26" s="48">
        <v>61.904761904761905</v>
      </c>
      <c r="BO26" s="47">
        <v>21</v>
      </c>
    </row>
    <row r="27" spans="1:67" ht="15">
      <c r="A27" s="112" t="s">
        <v>240</v>
      </c>
      <c r="B27" s="112" t="s">
        <v>417</v>
      </c>
      <c r="C27" s="113" t="s">
        <v>968</v>
      </c>
      <c r="D27" s="114">
        <v>3</v>
      </c>
      <c r="E27" s="113" t="s">
        <v>132</v>
      </c>
      <c r="F27" s="115">
        <v>32</v>
      </c>
      <c r="G27" s="113"/>
      <c r="H27" s="109"/>
      <c r="I27" s="116"/>
      <c r="J27" s="116"/>
      <c r="K27" s="32" t="s">
        <v>65</v>
      </c>
      <c r="L27" s="117">
        <v>27</v>
      </c>
      <c r="M27" s="117"/>
      <c r="N27" s="118"/>
      <c r="O27" s="119" t="s">
        <v>253</v>
      </c>
      <c r="P27" s="120">
        <v>44992.08576388889</v>
      </c>
      <c r="Q27" s="119" t="s">
        <v>418</v>
      </c>
      <c r="R27" s="121" t="str">
        <f>HYPERLINK("https://www.timesofisrael.com/kosher-now-maybe-halal-aleph-farms-gears-up-for-rollout-of-cultivated-steak/")</f>
        <v>https://www.timesofisrael.com/kosher-now-maybe-halal-aleph-farms-gears-up-for-rollout-of-cultivated-steak/</v>
      </c>
      <c r="S27" s="119" t="s">
        <v>419</v>
      </c>
      <c r="T27" s="122" t="s">
        <v>420</v>
      </c>
      <c r="U27" s="119"/>
      <c r="V27" s="121" t="str">
        <f>HYPERLINK("https://pbs.twimg.com/profile_images/1244683441599373314/AFkHERkJ_normal.jpg")</f>
        <v>https://pbs.twimg.com/profile_images/1244683441599373314/AFkHERkJ_normal.jpg</v>
      </c>
      <c r="W27" s="120">
        <v>44992.08576388889</v>
      </c>
      <c r="X27" s="123">
        <v>44992</v>
      </c>
      <c r="Y27" s="122" t="s">
        <v>284</v>
      </c>
      <c r="Z27" s="121" t="str">
        <f>HYPERLINK("https://twitter.com/elliotswartz/status/1632924903816167425")</f>
        <v>https://twitter.com/elliotswartz/status/1632924903816167425</v>
      </c>
      <c r="AA27" s="119"/>
      <c r="AB27" s="119"/>
      <c r="AC27" s="122" t="s">
        <v>307</v>
      </c>
      <c r="AD27" s="119"/>
      <c r="AE27" s="119" t="b">
        <v>0</v>
      </c>
      <c r="AF27" s="119">
        <v>23</v>
      </c>
      <c r="AG27" s="122" t="s">
        <v>308</v>
      </c>
      <c r="AH27" s="119" t="b">
        <v>0</v>
      </c>
      <c r="AI27" s="119" t="s">
        <v>310</v>
      </c>
      <c r="AJ27" s="119"/>
      <c r="AK27" s="122" t="s">
        <v>308</v>
      </c>
      <c r="AL27" s="119" t="b">
        <v>0</v>
      </c>
      <c r="AM27" s="119">
        <v>1</v>
      </c>
      <c r="AN27" s="122" t="s">
        <v>308</v>
      </c>
      <c r="AO27" s="122" t="s">
        <v>311</v>
      </c>
      <c r="AP27" s="119" t="b">
        <v>0</v>
      </c>
      <c r="AQ27" s="122" t="s">
        <v>307</v>
      </c>
      <c r="AR27" s="119" t="s">
        <v>421</v>
      </c>
      <c r="AS27" s="119">
        <v>0</v>
      </c>
      <c r="AT27" s="119">
        <v>0</v>
      </c>
      <c r="AU27" s="119"/>
      <c r="AV27" s="119"/>
      <c r="AW27" s="119"/>
      <c r="AX27" s="119"/>
      <c r="AY27" s="119"/>
      <c r="AZ27" s="119"/>
      <c r="BA27" s="119"/>
      <c r="BB27" s="119"/>
      <c r="BC27">
        <v>1</v>
      </c>
      <c r="BD27" s="78" t="str">
        <f>REPLACE(INDEX(GroupVertices[Group],MATCH(Edges[[#This Row],[Vertex 1]],GroupVertices[Vertex],0)),1,1,"")</f>
        <v>1</v>
      </c>
      <c r="BE27" s="78" t="str">
        <f>REPLACE(INDEX(GroupVertices[Group],MATCH(Edges[[#This Row],[Vertex 2]],GroupVertices[Vertex],0)),1,1,"")</f>
        <v>1</v>
      </c>
      <c r="BF27" s="78">
        <v>1</v>
      </c>
      <c r="BG27" s="47">
        <v>0</v>
      </c>
      <c r="BH27" s="48">
        <v>0</v>
      </c>
      <c r="BI27" s="47">
        <v>0</v>
      </c>
      <c r="BJ27" s="48">
        <v>0</v>
      </c>
      <c r="BK27" s="47">
        <v>0</v>
      </c>
      <c r="BL27" s="48">
        <v>0</v>
      </c>
      <c r="BM27" s="47">
        <v>23</v>
      </c>
      <c r="BN27" s="48">
        <v>69.6969696969697</v>
      </c>
      <c r="BO27" s="47">
        <v>33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
    <dataValidation allowBlank="1" showErrorMessage="1" sqref="N2:N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
    <dataValidation allowBlank="1" showInputMessage="1" promptTitle="Edge Color" prompt="To select an optional edge color, right-click and select Select Color on the right-click menu." sqref="C3:C27"/>
    <dataValidation allowBlank="1" showInputMessage="1" promptTitle="Edge Width" prompt="Enter an optional edge width between 1 and 10." errorTitle="Invalid Edge Width" error="The optional edge width must be a whole number between 1 and 10." sqref="D3:D27"/>
    <dataValidation allowBlank="1" showInputMessage="1" promptTitle="Edge Opacity" prompt="Enter an optional edge opacity between 0 (transparent) and 100 (opaque)." errorTitle="Invalid Edge Opacity" error="The optional edge opacity must be a whole number between 0 and 10." sqref="F3:F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
      <formula1>ValidEdgeVisibilities</formula1>
    </dataValidation>
    <dataValidation allowBlank="1" showInputMessage="1" showErrorMessage="1" promptTitle="Vertex 1 Name" prompt="Enter the name of the edge's first vertex." sqref="A3:A27"/>
    <dataValidation allowBlank="1" showInputMessage="1" showErrorMessage="1" promptTitle="Vertex 2 Name" prompt="Enter the name of the edge's second vertex." sqref="B3:B27"/>
    <dataValidation allowBlank="1" showInputMessage="1" showErrorMessage="1" promptTitle="Edge Label" prompt="Enter an optional edge label." errorTitle="Invalid Edge Visibility" error="You have entered an unrecognized edge visibility.  Try selecting from the drop-down list instead." sqref="H3:H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1E577-F15C-42AC-9484-E807D8CDBAF2}">
  <dimension ref="A1:G10"/>
  <sheetViews>
    <sheetView workbookViewId="0" topLeftCell="A1"/>
  </sheetViews>
  <sheetFormatPr defaultColWidth="9.140625" defaultRowHeight="15"/>
  <cols>
    <col min="1" max="1" width="9.57421875" style="0" bestFit="1" customWidth="1"/>
    <col min="2" max="2" width="11.8515625" style="0" bestFit="1" customWidth="1"/>
    <col min="3" max="3" width="10.28125" style="0" bestFit="1" customWidth="1"/>
    <col min="4" max="4" width="14.140625" style="0" bestFit="1" customWidth="1"/>
    <col min="5" max="5" width="11.28125" style="0" bestFit="1" customWidth="1"/>
    <col min="6" max="6" width="11.57421875" style="0" bestFit="1" customWidth="1"/>
  </cols>
  <sheetData>
    <row r="1" spans="1:7" ht="15" customHeight="1">
      <c r="A1" s="7" t="s">
        <v>603</v>
      </c>
      <c r="B1" s="7" t="s">
        <v>620</v>
      </c>
      <c r="C1" s="7" t="s">
        <v>621</v>
      </c>
      <c r="D1" s="7" t="s">
        <v>622</v>
      </c>
      <c r="E1" s="78" t="s">
        <v>623</v>
      </c>
      <c r="F1" s="78" t="s">
        <v>624</v>
      </c>
      <c r="G1" s="78" t="s">
        <v>625</v>
      </c>
    </row>
    <row r="2" spans="1:7" ht="15">
      <c r="A2" s="78">
        <v>1</v>
      </c>
      <c r="B2" s="78">
        <v>5</v>
      </c>
      <c r="C2" s="78">
        <v>3</v>
      </c>
      <c r="D2" s="78">
        <v>3</v>
      </c>
      <c r="E2" s="78"/>
      <c r="F2" s="78"/>
      <c r="G2" s="78"/>
    </row>
    <row r="3" spans="1:7" ht="15">
      <c r="A3" s="79">
        <v>2</v>
      </c>
      <c r="B3" s="78">
        <v>2</v>
      </c>
      <c r="C3" s="78">
        <v>1</v>
      </c>
      <c r="D3" s="78">
        <v>2</v>
      </c>
      <c r="E3" s="78"/>
      <c r="F3" s="78"/>
      <c r="G3" s="78"/>
    </row>
    <row r="4" spans="1:7" ht="15">
      <c r="A4" s="79">
        <v>3</v>
      </c>
      <c r="B4" s="78">
        <v>2</v>
      </c>
      <c r="C4" s="78">
        <v>1</v>
      </c>
      <c r="D4" s="78">
        <v>2</v>
      </c>
      <c r="E4" s="78"/>
      <c r="F4" s="78"/>
      <c r="G4" s="78"/>
    </row>
    <row r="5" spans="1:7" ht="15">
      <c r="A5" s="79">
        <v>4</v>
      </c>
      <c r="B5" s="78">
        <v>1</v>
      </c>
      <c r="C5" s="78">
        <v>0</v>
      </c>
      <c r="D5" s="78">
        <v>1</v>
      </c>
      <c r="E5" s="78"/>
      <c r="F5" s="78"/>
      <c r="G5" s="78"/>
    </row>
    <row r="6" spans="1:7" ht="15">
      <c r="A6" s="79">
        <v>5</v>
      </c>
      <c r="B6" s="78">
        <v>1</v>
      </c>
      <c r="C6" s="78">
        <v>0</v>
      </c>
      <c r="D6" s="78">
        <v>1</v>
      </c>
      <c r="E6" s="78"/>
      <c r="F6" s="78"/>
      <c r="G6" s="78"/>
    </row>
    <row r="7" spans="1:7" ht="15">
      <c r="A7" s="79">
        <v>6</v>
      </c>
      <c r="B7" s="78">
        <v>1</v>
      </c>
      <c r="C7" s="78">
        <v>0</v>
      </c>
      <c r="D7" s="78">
        <v>1</v>
      </c>
      <c r="E7" s="78"/>
      <c r="F7" s="78"/>
      <c r="G7" s="78"/>
    </row>
    <row r="8" spans="1:7" ht="15">
      <c r="A8" s="79">
        <v>7</v>
      </c>
      <c r="B8" s="78">
        <v>1</v>
      </c>
      <c r="C8" s="78">
        <v>0</v>
      </c>
      <c r="D8" s="78">
        <v>1</v>
      </c>
      <c r="E8" s="78"/>
      <c r="F8" s="78"/>
      <c r="G8" s="78"/>
    </row>
    <row r="9" spans="1:7" ht="15">
      <c r="A9" s="79">
        <v>8</v>
      </c>
      <c r="B9" s="78">
        <v>2</v>
      </c>
      <c r="C9" s="78">
        <v>1</v>
      </c>
      <c r="D9" s="78">
        <v>2</v>
      </c>
      <c r="E9" s="78"/>
      <c r="F9" s="78"/>
      <c r="G9" s="78"/>
    </row>
    <row r="10" spans="1:7" ht="15">
      <c r="A10" s="79">
        <v>9</v>
      </c>
      <c r="B10" s="78">
        <v>1</v>
      </c>
      <c r="C10" s="78">
        <v>0</v>
      </c>
      <c r="D10" s="78">
        <v>1</v>
      </c>
      <c r="E10" s="78"/>
      <c r="F10" s="78"/>
      <c r="G10" s="78"/>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78FBF-61EA-4422-BB5A-400E82435E85}">
  <dimension ref="A1:G18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626</v>
      </c>
      <c r="B1" s="7" t="s">
        <v>717</v>
      </c>
      <c r="C1" s="7" t="s">
        <v>721</v>
      </c>
      <c r="D1" s="7" t="s">
        <v>144</v>
      </c>
      <c r="E1" s="7" t="s">
        <v>723</v>
      </c>
      <c r="F1" s="7" t="s">
        <v>724</v>
      </c>
      <c r="G1" s="7" t="s">
        <v>725</v>
      </c>
    </row>
    <row r="2" spans="1:7" ht="15">
      <c r="A2" s="78" t="s">
        <v>627</v>
      </c>
      <c r="B2" s="78" t="s">
        <v>718</v>
      </c>
      <c r="C2" s="130"/>
      <c r="D2" s="78"/>
      <c r="E2" s="78"/>
      <c r="F2" s="78"/>
      <c r="G2" s="78"/>
    </row>
    <row r="3" spans="1:7" ht="15">
      <c r="A3" s="79" t="s">
        <v>628</v>
      </c>
      <c r="B3" s="78" t="s">
        <v>719</v>
      </c>
      <c r="C3" s="130"/>
      <c r="D3" s="78"/>
      <c r="E3" s="78"/>
      <c r="F3" s="78"/>
      <c r="G3" s="78"/>
    </row>
    <row r="4" spans="1:7" ht="15">
      <c r="A4" s="79" t="s">
        <v>629</v>
      </c>
      <c r="B4" s="78" t="s">
        <v>720</v>
      </c>
      <c r="C4" s="130"/>
      <c r="D4" s="78"/>
      <c r="E4" s="78"/>
      <c r="F4" s="78"/>
      <c r="G4" s="78"/>
    </row>
    <row r="5" spans="1:7" ht="15">
      <c r="A5" s="79" t="s">
        <v>630</v>
      </c>
      <c r="B5" s="78">
        <v>15</v>
      </c>
      <c r="C5" s="130">
        <v>0.027777777777777776</v>
      </c>
      <c r="D5" s="78"/>
      <c r="E5" s="78"/>
      <c r="F5" s="78"/>
      <c r="G5" s="78"/>
    </row>
    <row r="6" spans="1:7" ht="15">
      <c r="A6" s="79" t="s">
        <v>631</v>
      </c>
      <c r="B6" s="78">
        <v>0</v>
      </c>
      <c r="C6" s="130">
        <v>0</v>
      </c>
      <c r="D6" s="78"/>
      <c r="E6" s="78"/>
      <c r="F6" s="78"/>
      <c r="G6" s="78"/>
    </row>
    <row r="7" spans="1:7" ht="15">
      <c r="A7" s="79" t="s">
        <v>632</v>
      </c>
      <c r="B7" s="78">
        <v>0</v>
      </c>
      <c r="C7" s="130">
        <v>0</v>
      </c>
      <c r="D7" s="78"/>
      <c r="E7" s="78"/>
      <c r="F7" s="78"/>
      <c r="G7" s="78"/>
    </row>
    <row r="8" spans="1:7" ht="15">
      <c r="A8" s="79" t="s">
        <v>633</v>
      </c>
      <c r="B8" s="78">
        <v>346</v>
      </c>
      <c r="C8" s="130">
        <v>0.6407407407407407</v>
      </c>
      <c r="D8" s="78"/>
      <c r="E8" s="78"/>
      <c r="F8" s="78"/>
      <c r="G8" s="78"/>
    </row>
    <row r="9" spans="1:7" ht="15">
      <c r="A9" s="79" t="s">
        <v>634</v>
      </c>
      <c r="B9" s="78">
        <v>540</v>
      </c>
      <c r="C9" s="130">
        <v>1</v>
      </c>
      <c r="D9" s="78"/>
      <c r="E9" s="78"/>
      <c r="F9" s="78"/>
      <c r="G9" s="78"/>
    </row>
    <row r="10" spans="1:7" ht="15">
      <c r="A10" s="84" t="s">
        <v>635</v>
      </c>
      <c r="B10" s="87">
        <v>14</v>
      </c>
      <c r="C10" s="131">
        <v>0.004845269563756784</v>
      </c>
      <c r="D10" s="87" t="s">
        <v>722</v>
      </c>
      <c r="E10" s="87" t="b">
        <v>0</v>
      </c>
      <c r="F10" s="87" t="b">
        <v>0</v>
      </c>
      <c r="G10" s="87" t="b">
        <v>0</v>
      </c>
    </row>
    <row r="11" spans="1:7" ht="15">
      <c r="A11" s="84" t="s">
        <v>636</v>
      </c>
      <c r="B11" s="87">
        <v>11</v>
      </c>
      <c r="C11" s="131">
        <v>0.004958449508240159</v>
      </c>
      <c r="D11" s="87" t="s">
        <v>722</v>
      </c>
      <c r="E11" s="87" t="b">
        <v>0</v>
      </c>
      <c r="F11" s="87" t="b">
        <v>0</v>
      </c>
      <c r="G11" s="87" t="b">
        <v>0</v>
      </c>
    </row>
    <row r="12" spans="1:7" ht="15">
      <c r="A12" s="84" t="s">
        <v>637</v>
      </c>
      <c r="B12" s="87">
        <v>10</v>
      </c>
      <c r="C12" s="131">
        <v>0.006921813662509692</v>
      </c>
      <c r="D12" s="87" t="s">
        <v>722</v>
      </c>
      <c r="E12" s="87" t="b">
        <v>0</v>
      </c>
      <c r="F12" s="87" t="b">
        <v>0</v>
      </c>
      <c r="G12" s="87" t="b">
        <v>0</v>
      </c>
    </row>
    <row r="13" spans="1:7" ht="15">
      <c r="A13" s="84" t="s">
        <v>638</v>
      </c>
      <c r="B13" s="87">
        <v>6</v>
      </c>
      <c r="C13" s="131">
        <v>0.015009805877982441</v>
      </c>
      <c r="D13" s="87" t="s">
        <v>722</v>
      </c>
      <c r="E13" s="87" t="b">
        <v>0</v>
      </c>
      <c r="F13" s="87" t="b">
        <v>0</v>
      </c>
      <c r="G13" s="87" t="b">
        <v>0</v>
      </c>
    </row>
    <row r="14" spans="1:7" ht="15">
      <c r="A14" s="84" t="s">
        <v>639</v>
      </c>
      <c r="B14" s="87">
        <v>6</v>
      </c>
      <c r="C14" s="131">
        <v>0.0070798127247470545</v>
      </c>
      <c r="D14" s="87" t="s">
        <v>722</v>
      </c>
      <c r="E14" s="87" t="b">
        <v>0</v>
      </c>
      <c r="F14" s="87" t="b">
        <v>0</v>
      </c>
      <c r="G14" s="87" t="b">
        <v>0</v>
      </c>
    </row>
    <row r="15" spans="1:7" ht="15">
      <c r="A15" s="84" t="s">
        <v>640</v>
      </c>
      <c r="B15" s="87">
        <v>6</v>
      </c>
      <c r="C15" s="131">
        <v>0.00839584451501229</v>
      </c>
      <c r="D15" s="87" t="s">
        <v>722</v>
      </c>
      <c r="E15" s="87" t="b">
        <v>0</v>
      </c>
      <c r="F15" s="87" t="b">
        <v>0</v>
      </c>
      <c r="G15" s="87" t="b">
        <v>0</v>
      </c>
    </row>
    <row r="16" spans="1:7" ht="15">
      <c r="A16" s="84" t="s">
        <v>641</v>
      </c>
      <c r="B16" s="87">
        <v>6</v>
      </c>
      <c r="C16" s="131">
        <v>0.00839584451501229</v>
      </c>
      <c r="D16" s="87" t="s">
        <v>722</v>
      </c>
      <c r="E16" s="87" t="b">
        <v>0</v>
      </c>
      <c r="F16" s="87" t="b">
        <v>0</v>
      </c>
      <c r="G16" s="87" t="b">
        <v>0</v>
      </c>
    </row>
    <row r="17" spans="1:7" ht="15">
      <c r="A17" s="84" t="s">
        <v>642</v>
      </c>
      <c r="B17" s="87">
        <v>5</v>
      </c>
      <c r="C17" s="131">
        <v>0.006996537095843574</v>
      </c>
      <c r="D17" s="87" t="s">
        <v>722</v>
      </c>
      <c r="E17" s="87" t="b">
        <v>0</v>
      </c>
      <c r="F17" s="87" t="b">
        <v>0</v>
      </c>
      <c r="G17" s="87" t="b">
        <v>0</v>
      </c>
    </row>
    <row r="18" spans="1:7" ht="15">
      <c r="A18" s="84" t="s">
        <v>643</v>
      </c>
      <c r="B18" s="87">
        <v>5</v>
      </c>
      <c r="C18" s="131">
        <v>0.010069234458951</v>
      </c>
      <c r="D18" s="87" t="s">
        <v>722</v>
      </c>
      <c r="E18" s="87" t="b">
        <v>0</v>
      </c>
      <c r="F18" s="87" t="b">
        <v>0</v>
      </c>
      <c r="G18" s="87" t="b">
        <v>0</v>
      </c>
    </row>
    <row r="19" spans="1:7" ht="15">
      <c r="A19" s="84" t="s">
        <v>249</v>
      </c>
      <c r="B19" s="87">
        <v>5</v>
      </c>
      <c r="C19" s="131">
        <v>0.006996537095843574</v>
      </c>
      <c r="D19" s="87" t="s">
        <v>722</v>
      </c>
      <c r="E19" s="87" t="b">
        <v>0</v>
      </c>
      <c r="F19" s="87" t="b">
        <v>0</v>
      </c>
      <c r="G19" s="87" t="b">
        <v>0</v>
      </c>
    </row>
    <row r="20" spans="1:7" ht="15">
      <c r="A20" s="84" t="s">
        <v>644</v>
      </c>
      <c r="B20" s="87">
        <v>5</v>
      </c>
      <c r="C20" s="131">
        <v>0.006996537095843574</v>
      </c>
      <c r="D20" s="87" t="s">
        <v>722</v>
      </c>
      <c r="E20" s="87" t="b">
        <v>0</v>
      </c>
      <c r="F20" s="87" t="b">
        <v>0</v>
      </c>
      <c r="G20" s="87" t="b">
        <v>0</v>
      </c>
    </row>
    <row r="21" spans="1:7" ht="15">
      <c r="A21" s="84" t="s">
        <v>645</v>
      </c>
      <c r="B21" s="87">
        <v>5</v>
      </c>
      <c r="C21" s="131">
        <v>0.006996537095843574</v>
      </c>
      <c r="D21" s="87" t="s">
        <v>722</v>
      </c>
      <c r="E21" s="87" t="b">
        <v>0</v>
      </c>
      <c r="F21" s="87" t="b">
        <v>0</v>
      </c>
      <c r="G21" s="87" t="b">
        <v>0</v>
      </c>
    </row>
    <row r="22" spans="1:7" ht="15">
      <c r="A22" s="84" t="s">
        <v>646</v>
      </c>
      <c r="B22" s="87">
        <v>4</v>
      </c>
      <c r="C22" s="131">
        <v>0.006671024834658863</v>
      </c>
      <c r="D22" s="87" t="s">
        <v>722</v>
      </c>
      <c r="E22" s="87" t="b">
        <v>0</v>
      </c>
      <c r="F22" s="87" t="b">
        <v>0</v>
      </c>
      <c r="G22" s="87" t="b">
        <v>0</v>
      </c>
    </row>
    <row r="23" spans="1:7" ht="15">
      <c r="A23" s="84" t="s">
        <v>647</v>
      </c>
      <c r="B23" s="87">
        <v>4</v>
      </c>
      <c r="C23" s="131">
        <v>0.006671024834658863</v>
      </c>
      <c r="D23" s="87" t="s">
        <v>722</v>
      </c>
      <c r="E23" s="87" t="b">
        <v>0</v>
      </c>
      <c r="F23" s="87" t="b">
        <v>0</v>
      </c>
      <c r="G23" s="87" t="b">
        <v>0</v>
      </c>
    </row>
    <row r="24" spans="1:7" ht="15">
      <c r="A24" s="84" t="s">
        <v>648</v>
      </c>
      <c r="B24" s="87">
        <v>4</v>
      </c>
      <c r="C24" s="131">
        <v>0.010006537251988294</v>
      </c>
      <c r="D24" s="87" t="s">
        <v>722</v>
      </c>
      <c r="E24" s="87" t="b">
        <v>0</v>
      </c>
      <c r="F24" s="87" t="b">
        <v>0</v>
      </c>
      <c r="G24" s="87" t="b">
        <v>0</v>
      </c>
    </row>
    <row r="25" spans="1:7" ht="15">
      <c r="A25" s="84" t="s">
        <v>250</v>
      </c>
      <c r="B25" s="87">
        <v>4</v>
      </c>
      <c r="C25" s="131">
        <v>0.006671024834658863</v>
      </c>
      <c r="D25" s="87" t="s">
        <v>722</v>
      </c>
      <c r="E25" s="87" t="b">
        <v>0</v>
      </c>
      <c r="F25" s="87" t="b">
        <v>0</v>
      </c>
      <c r="G25" s="87" t="b">
        <v>0</v>
      </c>
    </row>
    <row r="26" spans="1:7" ht="15">
      <c r="A26" s="84" t="s">
        <v>649</v>
      </c>
      <c r="B26" s="87">
        <v>4</v>
      </c>
      <c r="C26" s="131">
        <v>0.006671024834658863</v>
      </c>
      <c r="D26" s="87" t="s">
        <v>722</v>
      </c>
      <c r="E26" s="87" t="b">
        <v>0</v>
      </c>
      <c r="F26" s="87" t="b">
        <v>0</v>
      </c>
      <c r="G26" s="87" t="b">
        <v>0</v>
      </c>
    </row>
    <row r="27" spans="1:7" ht="15">
      <c r="A27" s="84" t="s">
        <v>650</v>
      </c>
      <c r="B27" s="87">
        <v>4</v>
      </c>
      <c r="C27" s="131">
        <v>0.006671024834658863</v>
      </c>
      <c r="D27" s="87" t="s">
        <v>722</v>
      </c>
      <c r="E27" s="87" t="b">
        <v>0</v>
      </c>
      <c r="F27" s="87" t="b">
        <v>0</v>
      </c>
      <c r="G27" s="87" t="b">
        <v>0</v>
      </c>
    </row>
    <row r="28" spans="1:7" ht="15">
      <c r="A28" s="84" t="s">
        <v>651</v>
      </c>
      <c r="B28" s="87">
        <v>4</v>
      </c>
      <c r="C28" s="131">
        <v>0.010006537251988294</v>
      </c>
      <c r="D28" s="87" t="s">
        <v>722</v>
      </c>
      <c r="E28" s="87" t="b">
        <v>1</v>
      </c>
      <c r="F28" s="87" t="b">
        <v>0</v>
      </c>
      <c r="G28" s="87" t="b">
        <v>0</v>
      </c>
    </row>
    <row r="29" spans="1:7" ht="15">
      <c r="A29" s="84" t="s">
        <v>652</v>
      </c>
      <c r="B29" s="87">
        <v>4</v>
      </c>
      <c r="C29" s="131">
        <v>0.006671024834658863</v>
      </c>
      <c r="D29" s="87" t="s">
        <v>722</v>
      </c>
      <c r="E29" s="87" t="b">
        <v>0</v>
      </c>
      <c r="F29" s="87" t="b">
        <v>0</v>
      </c>
      <c r="G29" s="87" t="b">
        <v>0</v>
      </c>
    </row>
    <row r="30" spans="1:7" ht="15">
      <c r="A30" s="84" t="s">
        <v>653</v>
      </c>
      <c r="B30" s="87">
        <v>4</v>
      </c>
      <c r="C30" s="131">
        <v>0.006671024834658863</v>
      </c>
      <c r="D30" s="87" t="s">
        <v>722</v>
      </c>
      <c r="E30" s="87" t="b">
        <v>0</v>
      </c>
      <c r="F30" s="87" t="b">
        <v>0</v>
      </c>
      <c r="G30" s="87" t="b">
        <v>0</v>
      </c>
    </row>
    <row r="31" spans="1:7" ht="15">
      <c r="A31" s="84" t="s">
        <v>654</v>
      </c>
      <c r="B31" s="87">
        <v>4</v>
      </c>
      <c r="C31" s="131">
        <v>0.006671024834658863</v>
      </c>
      <c r="D31" s="87" t="s">
        <v>722</v>
      </c>
      <c r="E31" s="87" t="b">
        <v>0</v>
      </c>
      <c r="F31" s="87" t="b">
        <v>0</v>
      </c>
      <c r="G31" s="87" t="b">
        <v>0</v>
      </c>
    </row>
    <row r="32" spans="1:7" ht="15">
      <c r="A32" s="84" t="s">
        <v>655</v>
      </c>
      <c r="B32" s="87">
        <v>4</v>
      </c>
      <c r="C32" s="131">
        <v>0.006671024834658863</v>
      </c>
      <c r="D32" s="87" t="s">
        <v>722</v>
      </c>
      <c r="E32" s="87" t="b">
        <v>0</v>
      </c>
      <c r="F32" s="87" t="b">
        <v>0</v>
      </c>
      <c r="G32" s="87" t="b">
        <v>0</v>
      </c>
    </row>
    <row r="33" spans="1:7" ht="15">
      <c r="A33" s="84" t="s">
        <v>656</v>
      </c>
      <c r="B33" s="87">
        <v>4</v>
      </c>
      <c r="C33" s="131">
        <v>0.008055387567160802</v>
      </c>
      <c r="D33" s="87" t="s">
        <v>722</v>
      </c>
      <c r="E33" s="87" t="b">
        <v>0</v>
      </c>
      <c r="F33" s="87" t="b">
        <v>0</v>
      </c>
      <c r="G33" s="87" t="b">
        <v>0</v>
      </c>
    </row>
    <row r="34" spans="1:7" ht="15">
      <c r="A34" s="84" t="s">
        <v>657</v>
      </c>
      <c r="B34" s="87">
        <v>4</v>
      </c>
      <c r="C34" s="131">
        <v>0.006671024834658863</v>
      </c>
      <c r="D34" s="87" t="s">
        <v>722</v>
      </c>
      <c r="E34" s="87" t="b">
        <v>0</v>
      </c>
      <c r="F34" s="87" t="b">
        <v>0</v>
      </c>
      <c r="G34" s="87" t="b">
        <v>0</v>
      </c>
    </row>
    <row r="35" spans="1:7" ht="15">
      <c r="A35" s="84" t="s">
        <v>658</v>
      </c>
      <c r="B35" s="87">
        <v>4</v>
      </c>
      <c r="C35" s="131">
        <v>0.006671024834658863</v>
      </c>
      <c r="D35" s="87" t="s">
        <v>722</v>
      </c>
      <c r="E35" s="87" t="b">
        <v>0</v>
      </c>
      <c r="F35" s="87" t="b">
        <v>0</v>
      </c>
      <c r="G35" s="87" t="b">
        <v>0</v>
      </c>
    </row>
    <row r="36" spans="1:7" ht="15">
      <c r="A36" s="84" t="s">
        <v>659</v>
      </c>
      <c r="B36" s="87">
        <v>4</v>
      </c>
      <c r="C36" s="131">
        <v>0.006671024834658863</v>
      </c>
      <c r="D36" s="87" t="s">
        <v>722</v>
      </c>
      <c r="E36" s="87" t="b">
        <v>0</v>
      </c>
      <c r="F36" s="87" t="b">
        <v>0</v>
      </c>
      <c r="G36" s="87" t="b">
        <v>0</v>
      </c>
    </row>
    <row r="37" spans="1:7" ht="15">
      <c r="A37" s="84" t="s">
        <v>660</v>
      </c>
      <c r="B37" s="87">
        <v>4</v>
      </c>
      <c r="C37" s="131">
        <v>0.006671024834658863</v>
      </c>
      <c r="D37" s="87" t="s">
        <v>722</v>
      </c>
      <c r="E37" s="87" t="b">
        <v>0</v>
      </c>
      <c r="F37" s="87" t="b">
        <v>0</v>
      </c>
      <c r="G37" s="87" t="b">
        <v>0</v>
      </c>
    </row>
    <row r="38" spans="1:7" ht="15">
      <c r="A38" s="84" t="s">
        <v>661</v>
      </c>
      <c r="B38" s="87">
        <v>4</v>
      </c>
      <c r="C38" s="131">
        <v>0.006671024834658863</v>
      </c>
      <c r="D38" s="87" t="s">
        <v>722</v>
      </c>
      <c r="E38" s="87" t="b">
        <v>0</v>
      </c>
      <c r="F38" s="87" t="b">
        <v>0</v>
      </c>
      <c r="G38" s="87" t="b">
        <v>0</v>
      </c>
    </row>
    <row r="39" spans="1:7" ht="15">
      <c r="A39" s="84" t="s">
        <v>662</v>
      </c>
      <c r="B39" s="87">
        <v>4</v>
      </c>
      <c r="C39" s="131">
        <v>0.006671024834658863</v>
      </c>
      <c r="D39" s="87" t="s">
        <v>722</v>
      </c>
      <c r="E39" s="87" t="b">
        <v>0</v>
      </c>
      <c r="F39" s="87" t="b">
        <v>0</v>
      </c>
      <c r="G39" s="87" t="b">
        <v>0</v>
      </c>
    </row>
    <row r="40" spans="1:7" ht="15">
      <c r="A40" s="84" t="s">
        <v>663</v>
      </c>
      <c r="B40" s="87">
        <v>3</v>
      </c>
      <c r="C40" s="131">
        <v>0.006041540675370601</v>
      </c>
      <c r="D40" s="87" t="s">
        <v>722</v>
      </c>
      <c r="E40" s="87" t="b">
        <v>0</v>
      </c>
      <c r="F40" s="87" t="b">
        <v>0</v>
      </c>
      <c r="G40" s="87" t="b">
        <v>0</v>
      </c>
    </row>
    <row r="41" spans="1:7" ht="15">
      <c r="A41" s="84" t="s">
        <v>664</v>
      </c>
      <c r="B41" s="87">
        <v>3</v>
      </c>
      <c r="C41" s="131">
        <v>0.006041540675370601</v>
      </c>
      <c r="D41" s="87" t="s">
        <v>722</v>
      </c>
      <c r="E41" s="87" t="b">
        <v>0</v>
      </c>
      <c r="F41" s="87" t="b">
        <v>0</v>
      </c>
      <c r="G41" s="87" t="b">
        <v>0</v>
      </c>
    </row>
    <row r="42" spans="1:7" ht="15">
      <c r="A42" s="84" t="s">
        <v>665</v>
      </c>
      <c r="B42" s="87">
        <v>3</v>
      </c>
      <c r="C42" s="131">
        <v>0.006041540675370601</v>
      </c>
      <c r="D42" s="87" t="s">
        <v>722</v>
      </c>
      <c r="E42" s="87" t="b">
        <v>0</v>
      </c>
      <c r="F42" s="87" t="b">
        <v>0</v>
      </c>
      <c r="G42" s="87" t="b">
        <v>0</v>
      </c>
    </row>
    <row r="43" spans="1:7" ht="15">
      <c r="A43" s="84" t="s">
        <v>666</v>
      </c>
      <c r="B43" s="87">
        <v>3</v>
      </c>
      <c r="C43" s="131">
        <v>0.006041540675370601</v>
      </c>
      <c r="D43" s="87" t="s">
        <v>722</v>
      </c>
      <c r="E43" s="87" t="b">
        <v>0</v>
      </c>
      <c r="F43" s="87" t="b">
        <v>0</v>
      </c>
      <c r="G43" s="87" t="b">
        <v>0</v>
      </c>
    </row>
    <row r="44" spans="1:7" ht="15">
      <c r="A44" s="84" t="s">
        <v>667</v>
      </c>
      <c r="B44" s="87">
        <v>3</v>
      </c>
      <c r="C44" s="131">
        <v>0.006041540675370601</v>
      </c>
      <c r="D44" s="87" t="s">
        <v>722</v>
      </c>
      <c r="E44" s="87" t="b">
        <v>0</v>
      </c>
      <c r="F44" s="87" t="b">
        <v>0</v>
      </c>
      <c r="G44" s="87" t="b">
        <v>0</v>
      </c>
    </row>
    <row r="45" spans="1:7" ht="15">
      <c r="A45" s="84" t="s">
        <v>668</v>
      </c>
      <c r="B45" s="87">
        <v>3</v>
      </c>
      <c r="C45" s="131">
        <v>0.006041540675370601</v>
      </c>
      <c r="D45" s="87" t="s">
        <v>722</v>
      </c>
      <c r="E45" s="87" t="b">
        <v>0</v>
      </c>
      <c r="F45" s="87" t="b">
        <v>0</v>
      </c>
      <c r="G45" s="87" t="b">
        <v>0</v>
      </c>
    </row>
    <row r="46" spans="1:7" ht="15">
      <c r="A46" s="84" t="s">
        <v>669</v>
      </c>
      <c r="B46" s="87">
        <v>2</v>
      </c>
      <c r="C46" s="131">
        <v>0.006671024834658863</v>
      </c>
      <c r="D46" s="87" t="s">
        <v>722</v>
      </c>
      <c r="E46" s="87" t="b">
        <v>0</v>
      </c>
      <c r="F46" s="87" t="b">
        <v>0</v>
      </c>
      <c r="G46" s="87" t="b">
        <v>0</v>
      </c>
    </row>
    <row r="47" spans="1:7" ht="15">
      <c r="A47" s="84" t="s">
        <v>670</v>
      </c>
      <c r="B47" s="87">
        <v>2</v>
      </c>
      <c r="C47" s="131">
        <v>0.005003268625994147</v>
      </c>
      <c r="D47" s="87" t="s">
        <v>722</v>
      </c>
      <c r="E47" s="87" t="b">
        <v>0</v>
      </c>
      <c r="F47" s="87" t="b">
        <v>0</v>
      </c>
      <c r="G47" s="87" t="b">
        <v>0</v>
      </c>
    </row>
    <row r="48" spans="1:7" ht="15">
      <c r="A48" s="84" t="s">
        <v>671</v>
      </c>
      <c r="B48" s="87">
        <v>2</v>
      </c>
      <c r="C48" s="131">
        <v>0.005003268625994147</v>
      </c>
      <c r="D48" s="87" t="s">
        <v>722</v>
      </c>
      <c r="E48" s="87" t="b">
        <v>0</v>
      </c>
      <c r="F48" s="87" t="b">
        <v>0</v>
      </c>
      <c r="G48" s="87" t="b">
        <v>0</v>
      </c>
    </row>
    <row r="49" spans="1:7" ht="15">
      <c r="A49" s="84" t="s">
        <v>672</v>
      </c>
      <c r="B49" s="87">
        <v>2</v>
      </c>
      <c r="C49" s="131">
        <v>0.005003268625994147</v>
      </c>
      <c r="D49" s="87" t="s">
        <v>722</v>
      </c>
      <c r="E49" s="87" t="b">
        <v>0</v>
      </c>
      <c r="F49" s="87" t="b">
        <v>0</v>
      </c>
      <c r="G49" s="87" t="b">
        <v>0</v>
      </c>
    </row>
    <row r="50" spans="1:7" ht="15">
      <c r="A50" s="84" t="s">
        <v>673</v>
      </c>
      <c r="B50" s="87">
        <v>2</v>
      </c>
      <c r="C50" s="131">
        <v>0.005003268625994147</v>
      </c>
      <c r="D50" s="87" t="s">
        <v>722</v>
      </c>
      <c r="E50" s="87" t="b">
        <v>0</v>
      </c>
      <c r="F50" s="87" t="b">
        <v>0</v>
      </c>
      <c r="G50" s="87" t="b">
        <v>0</v>
      </c>
    </row>
    <row r="51" spans="1:7" ht="15">
      <c r="A51" s="84" t="s">
        <v>674</v>
      </c>
      <c r="B51" s="87">
        <v>2</v>
      </c>
      <c r="C51" s="131">
        <v>0.005003268625994147</v>
      </c>
      <c r="D51" s="87" t="s">
        <v>722</v>
      </c>
      <c r="E51" s="87" t="b">
        <v>0</v>
      </c>
      <c r="F51" s="87" t="b">
        <v>0</v>
      </c>
      <c r="G51" s="87" t="b">
        <v>0</v>
      </c>
    </row>
    <row r="52" spans="1:7" ht="15">
      <c r="A52" s="84" t="s">
        <v>675</v>
      </c>
      <c r="B52" s="87">
        <v>2</v>
      </c>
      <c r="C52" s="131">
        <v>0.005003268625994147</v>
      </c>
      <c r="D52" s="87" t="s">
        <v>722</v>
      </c>
      <c r="E52" s="87" t="b">
        <v>0</v>
      </c>
      <c r="F52" s="87" t="b">
        <v>0</v>
      </c>
      <c r="G52" s="87" t="b">
        <v>0</v>
      </c>
    </row>
    <row r="53" spans="1:7" ht="15">
      <c r="A53" s="84" t="s">
        <v>676</v>
      </c>
      <c r="B53" s="87">
        <v>2</v>
      </c>
      <c r="C53" s="131">
        <v>0.005003268625994147</v>
      </c>
      <c r="D53" s="87" t="s">
        <v>722</v>
      </c>
      <c r="E53" s="87" t="b">
        <v>0</v>
      </c>
      <c r="F53" s="87" t="b">
        <v>0</v>
      </c>
      <c r="G53" s="87" t="b">
        <v>0</v>
      </c>
    </row>
    <row r="54" spans="1:7" ht="15">
      <c r="A54" s="84" t="s">
        <v>677</v>
      </c>
      <c r="B54" s="87">
        <v>2</v>
      </c>
      <c r="C54" s="131">
        <v>0.005003268625994147</v>
      </c>
      <c r="D54" s="87" t="s">
        <v>722</v>
      </c>
      <c r="E54" s="87" t="b">
        <v>0</v>
      </c>
      <c r="F54" s="87" t="b">
        <v>0</v>
      </c>
      <c r="G54" s="87" t="b">
        <v>0</v>
      </c>
    </row>
    <row r="55" spans="1:7" ht="15">
      <c r="A55" s="84" t="s">
        <v>678</v>
      </c>
      <c r="B55" s="87">
        <v>2</v>
      </c>
      <c r="C55" s="131">
        <v>0.005003268625994147</v>
      </c>
      <c r="D55" s="87" t="s">
        <v>722</v>
      </c>
      <c r="E55" s="87" t="b">
        <v>0</v>
      </c>
      <c r="F55" s="87" t="b">
        <v>0</v>
      </c>
      <c r="G55" s="87" t="b">
        <v>0</v>
      </c>
    </row>
    <row r="56" spans="1:7" ht="15">
      <c r="A56" s="84" t="s">
        <v>679</v>
      </c>
      <c r="B56" s="87">
        <v>2</v>
      </c>
      <c r="C56" s="131">
        <v>0.005003268625994147</v>
      </c>
      <c r="D56" s="87" t="s">
        <v>722</v>
      </c>
      <c r="E56" s="87" t="b">
        <v>0</v>
      </c>
      <c r="F56" s="87" t="b">
        <v>0</v>
      </c>
      <c r="G56" s="87" t="b">
        <v>0</v>
      </c>
    </row>
    <row r="57" spans="1:7" ht="15">
      <c r="A57" s="84" t="s">
        <v>680</v>
      </c>
      <c r="B57" s="87">
        <v>2</v>
      </c>
      <c r="C57" s="131">
        <v>0.005003268625994147</v>
      </c>
      <c r="D57" s="87" t="s">
        <v>722</v>
      </c>
      <c r="E57" s="87" t="b">
        <v>0</v>
      </c>
      <c r="F57" s="87" t="b">
        <v>0</v>
      </c>
      <c r="G57" s="87" t="b">
        <v>0</v>
      </c>
    </row>
    <row r="58" spans="1:7" ht="15">
      <c r="A58" s="84" t="s">
        <v>681</v>
      </c>
      <c r="B58" s="87">
        <v>2</v>
      </c>
      <c r="C58" s="131">
        <v>0.005003268625994147</v>
      </c>
      <c r="D58" s="87" t="s">
        <v>722</v>
      </c>
      <c r="E58" s="87" t="b">
        <v>0</v>
      </c>
      <c r="F58" s="87" t="b">
        <v>0</v>
      </c>
      <c r="G58" s="87" t="b">
        <v>0</v>
      </c>
    </row>
    <row r="59" spans="1:7" ht="15">
      <c r="A59" s="84" t="s">
        <v>682</v>
      </c>
      <c r="B59" s="87">
        <v>2</v>
      </c>
      <c r="C59" s="131">
        <v>0.005003268625994147</v>
      </c>
      <c r="D59" s="87" t="s">
        <v>722</v>
      </c>
      <c r="E59" s="87" t="b">
        <v>0</v>
      </c>
      <c r="F59" s="87" t="b">
        <v>0</v>
      </c>
      <c r="G59" s="87" t="b">
        <v>0</v>
      </c>
    </row>
    <row r="60" spans="1:7" ht="15">
      <c r="A60" s="84" t="s">
        <v>683</v>
      </c>
      <c r="B60" s="87">
        <v>2</v>
      </c>
      <c r="C60" s="131">
        <v>0.005003268625994147</v>
      </c>
      <c r="D60" s="87" t="s">
        <v>722</v>
      </c>
      <c r="E60" s="87" t="b">
        <v>0</v>
      </c>
      <c r="F60" s="87" t="b">
        <v>0</v>
      </c>
      <c r="G60" s="87" t="b">
        <v>0</v>
      </c>
    </row>
    <row r="61" spans="1:7" ht="15">
      <c r="A61" s="84" t="s">
        <v>684</v>
      </c>
      <c r="B61" s="87">
        <v>2</v>
      </c>
      <c r="C61" s="131">
        <v>0.006671024834658863</v>
      </c>
      <c r="D61" s="87" t="s">
        <v>722</v>
      </c>
      <c r="E61" s="87" t="b">
        <v>0</v>
      </c>
      <c r="F61" s="87" t="b">
        <v>0</v>
      </c>
      <c r="G61" s="87" t="b">
        <v>0</v>
      </c>
    </row>
    <row r="62" spans="1:7" ht="15">
      <c r="A62" s="84" t="s">
        <v>685</v>
      </c>
      <c r="B62" s="87">
        <v>2</v>
      </c>
      <c r="C62" s="131">
        <v>0.005003268625994147</v>
      </c>
      <c r="D62" s="87" t="s">
        <v>722</v>
      </c>
      <c r="E62" s="87" t="b">
        <v>0</v>
      </c>
      <c r="F62" s="87" t="b">
        <v>0</v>
      </c>
      <c r="G62" s="87" t="b">
        <v>0</v>
      </c>
    </row>
    <row r="63" spans="1:7" ht="15">
      <c r="A63" s="84" t="s">
        <v>686</v>
      </c>
      <c r="B63" s="87">
        <v>2</v>
      </c>
      <c r="C63" s="131">
        <v>0.005003268625994147</v>
      </c>
      <c r="D63" s="87" t="s">
        <v>722</v>
      </c>
      <c r="E63" s="87" t="b">
        <v>0</v>
      </c>
      <c r="F63" s="87" t="b">
        <v>0</v>
      </c>
      <c r="G63" s="87" t="b">
        <v>0</v>
      </c>
    </row>
    <row r="64" spans="1:7" ht="15">
      <c r="A64" s="84" t="s">
        <v>687</v>
      </c>
      <c r="B64" s="87">
        <v>2</v>
      </c>
      <c r="C64" s="131">
        <v>0.005003268625994147</v>
      </c>
      <c r="D64" s="87" t="s">
        <v>722</v>
      </c>
      <c r="E64" s="87" t="b">
        <v>0</v>
      </c>
      <c r="F64" s="87" t="b">
        <v>0</v>
      </c>
      <c r="G64" s="87" t="b">
        <v>0</v>
      </c>
    </row>
    <row r="65" spans="1:7" ht="15">
      <c r="A65" s="84" t="s">
        <v>688</v>
      </c>
      <c r="B65" s="87">
        <v>2</v>
      </c>
      <c r="C65" s="131">
        <v>0.005003268625994147</v>
      </c>
      <c r="D65" s="87" t="s">
        <v>722</v>
      </c>
      <c r="E65" s="87" t="b">
        <v>0</v>
      </c>
      <c r="F65" s="87" t="b">
        <v>0</v>
      </c>
      <c r="G65" s="87" t="b">
        <v>0</v>
      </c>
    </row>
    <row r="66" spans="1:7" ht="15">
      <c r="A66" s="84" t="s">
        <v>689</v>
      </c>
      <c r="B66" s="87">
        <v>2</v>
      </c>
      <c r="C66" s="131">
        <v>0.005003268625994147</v>
      </c>
      <c r="D66" s="87" t="s">
        <v>722</v>
      </c>
      <c r="E66" s="87" t="b">
        <v>0</v>
      </c>
      <c r="F66" s="87" t="b">
        <v>0</v>
      </c>
      <c r="G66" s="87" t="b">
        <v>0</v>
      </c>
    </row>
    <row r="67" spans="1:7" ht="15">
      <c r="A67" s="84" t="s">
        <v>690</v>
      </c>
      <c r="B67" s="87">
        <v>2</v>
      </c>
      <c r="C67" s="131">
        <v>0.005003268625994147</v>
      </c>
      <c r="D67" s="87" t="s">
        <v>722</v>
      </c>
      <c r="E67" s="87" t="b">
        <v>0</v>
      </c>
      <c r="F67" s="87" t="b">
        <v>0</v>
      </c>
      <c r="G67" s="87" t="b">
        <v>0</v>
      </c>
    </row>
    <row r="68" spans="1:7" ht="15">
      <c r="A68" s="84" t="s">
        <v>691</v>
      </c>
      <c r="B68" s="87">
        <v>2</v>
      </c>
      <c r="C68" s="131">
        <v>0.005003268625994147</v>
      </c>
      <c r="D68" s="87" t="s">
        <v>722</v>
      </c>
      <c r="E68" s="87" t="b">
        <v>0</v>
      </c>
      <c r="F68" s="87" t="b">
        <v>0</v>
      </c>
      <c r="G68" s="87" t="b">
        <v>0</v>
      </c>
    </row>
    <row r="69" spans="1:7" ht="15">
      <c r="A69" s="84" t="s">
        <v>692</v>
      </c>
      <c r="B69" s="87">
        <v>2</v>
      </c>
      <c r="C69" s="131">
        <v>0.005003268625994147</v>
      </c>
      <c r="D69" s="87" t="s">
        <v>722</v>
      </c>
      <c r="E69" s="87" t="b">
        <v>0</v>
      </c>
      <c r="F69" s="87" t="b">
        <v>0</v>
      </c>
      <c r="G69" s="87" t="b">
        <v>0</v>
      </c>
    </row>
    <row r="70" spans="1:7" ht="15">
      <c r="A70" s="84" t="s">
        <v>693</v>
      </c>
      <c r="B70" s="87">
        <v>2</v>
      </c>
      <c r="C70" s="131">
        <v>0.005003268625994147</v>
      </c>
      <c r="D70" s="87" t="s">
        <v>722</v>
      </c>
      <c r="E70" s="87" t="b">
        <v>1</v>
      </c>
      <c r="F70" s="87" t="b">
        <v>0</v>
      </c>
      <c r="G70" s="87" t="b">
        <v>0</v>
      </c>
    </row>
    <row r="71" spans="1:7" ht="15">
      <c r="A71" s="84" t="s">
        <v>694</v>
      </c>
      <c r="B71" s="87">
        <v>2</v>
      </c>
      <c r="C71" s="131">
        <v>0.005003268625994147</v>
      </c>
      <c r="D71" s="87" t="s">
        <v>722</v>
      </c>
      <c r="E71" s="87" t="b">
        <v>0</v>
      </c>
      <c r="F71" s="87" t="b">
        <v>0</v>
      </c>
      <c r="G71" s="87" t="b">
        <v>0</v>
      </c>
    </row>
    <row r="72" spans="1:7" ht="15">
      <c r="A72" s="84" t="s">
        <v>695</v>
      </c>
      <c r="B72" s="87">
        <v>2</v>
      </c>
      <c r="C72" s="131">
        <v>0.005003268625994147</v>
      </c>
      <c r="D72" s="87" t="s">
        <v>722</v>
      </c>
      <c r="E72" s="87" t="b">
        <v>0</v>
      </c>
      <c r="F72" s="87" t="b">
        <v>0</v>
      </c>
      <c r="G72" s="87" t="b">
        <v>0</v>
      </c>
    </row>
    <row r="73" spans="1:7" ht="15">
      <c r="A73" s="84" t="s">
        <v>696</v>
      </c>
      <c r="B73" s="87">
        <v>2</v>
      </c>
      <c r="C73" s="131">
        <v>0.005003268625994147</v>
      </c>
      <c r="D73" s="87" t="s">
        <v>722</v>
      </c>
      <c r="E73" s="87" t="b">
        <v>0</v>
      </c>
      <c r="F73" s="87" t="b">
        <v>0</v>
      </c>
      <c r="G73" s="87" t="b">
        <v>0</v>
      </c>
    </row>
    <row r="74" spans="1:7" ht="15">
      <c r="A74" s="84" t="s">
        <v>697</v>
      </c>
      <c r="B74" s="87">
        <v>2</v>
      </c>
      <c r="C74" s="131">
        <v>0.005003268625994147</v>
      </c>
      <c r="D74" s="87" t="s">
        <v>722</v>
      </c>
      <c r="E74" s="87" t="b">
        <v>0</v>
      </c>
      <c r="F74" s="87" t="b">
        <v>0</v>
      </c>
      <c r="G74" s="87" t="b">
        <v>0</v>
      </c>
    </row>
    <row r="75" spans="1:7" ht="15">
      <c r="A75" s="84" t="s">
        <v>698</v>
      </c>
      <c r="B75" s="87">
        <v>2</v>
      </c>
      <c r="C75" s="131">
        <v>0.005003268625994147</v>
      </c>
      <c r="D75" s="87" t="s">
        <v>722</v>
      </c>
      <c r="E75" s="87" t="b">
        <v>0</v>
      </c>
      <c r="F75" s="87" t="b">
        <v>0</v>
      </c>
      <c r="G75" s="87" t="b">
        <v>0</v>
      </c>
    </row>
    <row r="76" spans="1:7" ht="15">
      <c r="A76" s="84" t="s">
        <v>699</v>
      </c>
      <c r="B76" s="87">
        <v>2</v>
      </c>
      <c r="C76" s="131">
        <v>0.005003268625994147</v>
      </c>
      <c r="D76" s="87" t="s">
        <v>722</v>
      </c>
      <c r="E76" s="87" t="b">
        <v>0</v>
      </c>
      <c r="F76" s="87" t="b">
        <v>0</v>
      </c>
      <c r="G76" s="87" t="b">
        <v>0</v>
      </c>
    </row>
    <row r="77" spans="1:7" ht="15">
      <c r="A77" s="84" t="s">
        <v>700</v>
      </c>
      <c r="B77" s="87">
        <v>2</v>
      </c>
      <c r="C77" s="131">
        <v>0.005003268625994147</v>
      </c>
      <c r="D77" s="87" t="s">
        <v>722</v>
      </c>
      <c r="E77" s="87" t="b">
        <v>1</v>
      </c>
      <c r="F77" s="87" t="b">
        <v>0</v>
      </c>
      <c r="G77" s="87" t="b">
        <v>0</v>
      </c>
    </row>
    <row r="78" spans="1:7" ht="15">
      <c r="A78" s="84" t="s">
        <v>701</v>
      </c>
      <c r="B78" s="87">
        <v>2</v>
      </c>
      <c r="C78" s="131">
        <v>0.005003268625994147</v>
      </c>
      <c r="D78" s="87" t="s">
        <v>722</v>
      </c>
      <c r="E78" s="87" t="b">
        <v>0</v>
      </c>
      <c r="F78" s="87" t="b">
        <v>0</v>
      </c>
      <c r="G78" s="87" t="b">
        <v>0</v>
      </c>
    </row>
    <row r="79" spans="1:7" ht="15">
      <c r="A79" s="84" t="s">
        <v>702</v>
      </c>
      <c r="B79" s="87">
        <v>2</v>
      </c>
      <c r="C79" s="131">
        <v>0.005003268625994147</v>
      </c>
      <c r="D79" s="87" t="s">
        <v>722</v>
      </c>
      <c r="E79" s="87" t="b">
        <v>0</v>
      </c>
      <c r="F79" s="87" t="b">
        <v>0</v>
      </c>
      <c r="G79" s="87" t="b">
        <v>0</v>
      </c>
    </row>
    <row r="80" spans="1:7" ht="15">
      <c r="A80" s="84" t="s">
        <v>703</v>
      </c>
      <c r="B80" s="87">
        <v>2</v>
      </c>
      <c r="C80" s="131">
        <v>0.005003268625994147</v>
      </c>
      <c r="D80" s="87" t="s">
        <v>722</v>
      </c>
      <c r="E80" s="87" t="b">
        <v>0</v>
      </c>
      <c r="F80" s="87" t="b">
        <v>0</v>
      </c>
      <c r="G80" s="87" t="b">
        <v>0</v>
      </c>
    </row>
    <row r="81" spans="1:7" ht="15">
      <c r="A81" s="84" t="s">
        <v>704</v>
      </c>
      <c r="B81" s="87">
        <v>2</v>
      </c>
      <c r="C81" s="131">
        <v>0.005003268625994147</v>
      </c>
      <c r="D81" s="87" t="s">
        <v>722</v>
      </c>
      <c r="E81" s="87" t="b">
        <v>0</v>
      </c>
      <c r="F81" s="87" t="b">
        <v>0</v>
      </c>
      <c r="G81" s="87" t="b">
        <v>0</v>
      </c>
    </row>
    <row r="82" spans="1:7" ht="15">
      <c r="A82" s="84" t="s">
        <v>705</v>
      </c>
      <c r="B82" s="87">
        <v>2</v>
      </c>
      <c r="C82" s="131">
        <v>0.005003268625994147</v>
      </c>
      <c r="D82" s="87" t="s">
        <v>722</v>
      </c>
      <c r="E82" s="87" t="b">
        <v>0</v>
      </c>
      <c r="F82" s="87" t="b">
        <v>0</v>
      </c>
      <c r="G82" s="87" t="b">
        <v>0</v>
      </c>
    </row>
    <row r="83" spans="1:7" ht="15">
      <c r="A83" s="84" t="s">
        <v>706</v>
      </c>
      <c r="B83" s="87">
        <v>2</v>
      </c>
      <c r="C83" s="131">
        <v>0.005003268625994147</v>
      </c>
      <c r="D83" s="87" t="s">
        <v>722</v>
      </c>
      <c r="E83" s="87" t="b">
        <v>0</v>
      </c>
      <c r="F83" s="87" t="b">
        <v>0</v>
      </c>
      <c r="G83" s="87" t="b">
        <v>0</v>
      </c>
    </row>
    <row r="84" spans="1:7" ht="15">
      <c r="A84" s="84" t="s">
        <v>707</v>
      </c>
      <c r="B84" s="87">
        <v>2</v>
      </c>
      <c r="C84" s="131">
        <v>0.005003268625994147</v>
      </c>
      <c r="D84" s="87" t="s">
        <v>722</v>
      </c>
      <c r="E84" s="87" t="b">
        <v>0</v>
      </c>
      <c r="F84" s="87" t="b">
        <v>0</v>
      </c>
      <c r="G84" s="87" t="b">
        <v>0</v>
      </c>
    </row>
    <row r="85" spans="1:7" ht="15">
      <c r="A85" s="84" t="s">
        <v>708</v>
      </c>
      <c r="B85" s="87">
        <v>2</v>
      </c>
      <c r="C85" s="131">
        <v>0.005003268625994147</v>
      </c>
      <c r="D85" s="87" t="s">
        <v>722</v>
      </c>
      <c r="E85" s="87" t="b">
        <v>0</v>
      </c>
      <c r="F85" s="87" t="b">
        <v>0</v>
      </c>
      <c r="G85" s="87" t="b">
        <v>0</v>
      </c>
    </row>
    <row r="86" spans="1:7" ht="15">
      <c r="A86" s="84" t="s">
        <v>709</v>
      </c>
      <c r="B86" s="87">
        <v>2</v>
      </c>
      <c r="C86" s="131">
        <v>0.005003268625994147</v>
      </c>
      <c r="D86" s="87" t="s">
        <v>722</v>
      </c>
      <c r="E86" s="87" t="b">
        <v>0</v>
      </c>
      <c r="F86" s="87" t="b">
        <v>0</v>
      </c>
      <c r="G86" s="87" t="b">
        <v>0</v>
      </c>
    </row>
    <row r="87" spans="1:7" ht="15">
      <c r="A87" s="84" t="s">
        <v>251</v>
      </c>
      <c r="B87" s="87">
        <v>2</v>
      </c>
      <c r="C87" s="131">
        <v>0.005003268625994147</v>
      </c>
      <c r="D87" s="87" t="s">
        <v>722</v>
      </c>
      <c r="E87" s="87" t="b">
        <v>0</v>
      </c>
      <c r="F87" s="87" t="b">
        <v>0</v>
      </c>
      <c r="G87" s="87" t="b">
        <v>0</v>
      </c>
    </row>
    <row r="88" spans="1:7" ht="15">
      <c r="A88" s="84" t="s">
        <v>710</v>
      </c>
      <c r="B88" s="87">
        <v>2</v>
      </c>
      <c r="C88" s="131">
        <v>0.005003268625994147</v>
      </c>
      <c r="D88" s="87" t="s">
        <v>722</v>
      </c>
      <c r="E88" s="87" t="b">
        <v>0</v>
      </c>
      <c r="F88" s="87" t="b">
        <v>0</v>
      </c>
      <c r="G88" s="87" t="b">
        <v>0</v>
      </c>
    </row>
    <row r="89" spans="1:7" ht="15">
      <c r="A89" s="84" t="s">
        <v>711</v>
      </c>
      <c r="B89" s="87">
        <v>2</v>
      </c>
      <c r="C89" s="131">
        <v>0.005003268625994147</v>
      </c>
      <c r="D89" s="87" t="s">
        <v>722</v>
      </c>
      <c r="E89" s="87" t="b">
        <v>0</v>
      </c>
      <c r="F89" s="87" t="b">
        <v>0</v>
      </c>
      <c r="G89" s="87" t="b">
        <v>0</v>
      </c>
    </row>
    <row r="90" spans="1:7" ht="15">
      <c r="A90" s="84" t="s">
        <v>712</v>
      </c>
      <c r="B90" s="87">
        <v>2</v>
      </c>
      <c r="C90" s="131">
        <v>0.005003268625994147</v>
      </c>
      <c r="D90" s="87" t="s">
        <v>722</v>
      </c>
      <c r="E90" s="87" t="b">
        <v>0</v>
      </c>
      <c r="F90" s="87" t="b">
        <v>0</v>
      </c>
      <c r="G90" s="87" t="b">
        <v>0</v>
      </c>
    </row>
    <row r="91" spans="1:7" ht="15">
      <c r="A91" s="84" t="s">
        <v>713</v>
      </c>
      <c r="B91" s="87">
        <v>2</v>
      </c>
      <c r="C91" s="131">
        <v>0.005003268625994147</v>
      </c>
      <c r="D91" s="87" t="s">
        <v>722</v>
      </c>
      <c r="E91" s="87" t="b">
        <v>0</v>
      </c>
      <c r="F91" s="87" t="b">
        <v>0</v>
      </c>
      <c r="G91" s="87" t="b">
        <v>0</v>
      </c>
    </row>
    <row r="92" spans="1:7" ht="15">
      <c r="A92" s="84" t="s">
        <v>714</v>
      </c>
      <c r="B92" s="87">
        <v>2</v>
      </c>
      <c r="C92" s="131">
        <v>0.005003268625994147</v>
      </c>
      <c r="D92" s="87" t="s">
        <v>722</v>
      </c>
      <c r="E92" s="87" t="b">
        <v>0</v>
      </c>
      <c r="F92" s="87" t="b">
        <v>0</v>
      </c>
      <c r="G92" s="87" t="b">
        <v>0</v>
      </c>
    </row>
    <row r="93" spans="1:7" ht="15">
      <c r="A93" s="84" t="s">
        <v>715</v>
      </c>
      <c r="B93" s="87">
        <v>2</v>
      </c>
      <c r="C93" s="131">
        <v>0.005003268625994147</v>
      </c>
      <c r="D93" s="87" t="s">
        <v>722</v>
      </c>
      <c r="E93" s="87" t="b">
        <v>0</v>
      </c>
      <c r="F93" s="87" t="b">
        <v>0</v>
      </c>
      <c r="G93" s="87" t="b">
        <v>0</v>
      </c>
    </row>
    <row r="94" spans="1:7" ht="15">
      <c r="A94" s="84" t="s">
        <v>716</v>
      </c>
      <c r="B94" s="87">
        <v>2</v>
      </c>
      <c r="C94" s="131">
        <v>0.005003268625994147</v>
      </c>
      <c r="D94" s="87" t="s">
        <v>722</v>
      </c>
      <c r="E94" s="87" t="b">
        <v>0</v>
      </c>
      <c r="F94" s="87" t="b">
        <v>0</v>
      </c>
      <c r="G94" s="87" t="b">
        <v>0</v>
      </c>
    </row>
    <row r="95" spans="1:7" ht="15">
      <c r="A95" s="84" t="s">
        <v>640</v>
      </c>
      <c r="B95" s="87">
        <v>6</v>
      </c>
      <c r="C95" s="131">
        <v>0</v>
      </c>
      <c r="D95" s="87" t="s">
        <v>429</v>
      </c>
      <c r="E95" s="87" t="b">
        <v>0</v>
      </c>
      <c r="F95" s="87" t="b">
        <v>0</v>
      </c>
      <c r="G95" s="87" t="b">
        <v>0</v>
      </c>
    </row>
    <row r="96" spans="1:7" ht="15">
      <c r="A96" s="84" t="s">
        <v>641</v>
      </c>
      <c r="B96" s="87">
        <v>6</v>
      </c>
      <c r="C96" s="131">
        <v>0</v>
      </c>
      <c r="D96" s="87" t="s">
        <v>429</v>
      </c>
      <c r="E96" s="87" t="b">
        <v>0</v>
      </c>
      <c r="F96" s="87" t="b">
        <v>0</v>
      </c>
      <c r="G96" s="87" t="b">
        <v>0</v>
      </c>
    </row>
    <row r="97" spans="1:7" ht="15">
      <c r="A97" s="84" t="s">
        <v>636</v>
      </c>
      <c r="B97" s="87">
        <v>5</v>
      </c>
      <c r="C97" s="131">
        <v>0</v>
      </c>
      <c r="D97" s="87" t="s">
        <v>429</v>
      </c>
      <c r="E97" s="87" t="b">
        <v>0</v>
      </c>
      <c r="F97" s="87" t="b">
        <v>0</v>
      </c>
      <c r="G97" s="87" t="b">
        <v>0</v>
      </c>
    </row>
    <row r="98" spans="1:7" ht="15">
      <c r="A98" s="84" t="s">
        <v>642</v>
      </c>
      <c r="B98" s="87">
        <v>5</v>
      </c>
      <c r="C98" s="131">
        <v>0</v>
      </c>
      <c r="D98" s="87" t="s">
        <v>429</v>
      </c>
      <c r="E98" s="87" t="b">
        <v>0</v>
      </c>
      <c r="F98" s="87" t="b">
        <v>0</v>
      </c>
      <c r="G98" s="87" t="b">
        <v>0</v>
      </c>
    </row>
    <row r="99" spans="1:7" ht="15">
      <c r="A99" s="84" t="s">
        <v>644</v>
      </c>
      <c r="B99" s="87">
        <v>5</v>
      </c>
      <c r="C99" s="131">
        <v>0</v>
      </c>
      <c r="D99" s="87" t="s">
        <v>429</v>
      </c>
      <c r="E99" s="87" t="b">
        <v>0</v>
      </c>
      <c r="F99" s="87" t="b">
        <v>0</v>
      </c>
      <c r="G99" s="87" t="b">
        <v>0</v>
      </c>
    </row>
    <row r="100" spans="1:7" ht="15">
      <c r="A100" s="84" t="s">
        <v>639</v>
      </c>
      <c r="B100" s="87">
        <v>5</v>
      </c>
      <c r="C100" s="131">
        <v>0</v>
      </c>
      <c r="D100" s="87" t="s">
        <v>429</v>
      </c>
      <c r="E100" s="87" t="b">
        <v>0</v>
      </c>
      <c r="F100" s="87" t="b">
        <v>0</v>
      </c>
      <c r="G100" s="87" t="b">
        <v>0</v>
      </c>
    </row>
    <row r="101" spans="1:7" ht="15">
      <c r="A101" s="84" t="s">
        <v>645</v>
      </c>
      <c r="B101" s="87">
        <v>5</v>
      </c>
      <c r="C101" s="131">
        <v>0</v>
      </c>
      <c r="D101" s="87" t="s">
        <v>429</v>
      </c>
      <c r="E101" s="87" t="b">
        <v>0</v>
      </c>
      <c r="F101" s="87" t="b">
        <v>0</v>
      </c>
      <c r="G101" s="87" t="b">
        <v>0</v>
      </c>
    </row>
    <row r="102" spans="1:7" ht="15">
      <c r="A102" s="84" t="s">
        <v>249</v>
      </c>
      <c r="B102" s="87">
        <v>4</v>
      </c>
      <c r="C102" s="131">
        <v>0.0033707830611497884</v>
      </c>
      <c r="D102" s="87" t="s">
        <v>429</v>
      </c>
      <c r="E102" s="87" t="b">
        <v>0</v>
      </c>
      <c r="F102" s="87" t="b">
        <v>0</v>
      </c>
      <c r="G102" s="87" t="b">
        <v>0</v>
      </c>
    </row>
    <row r="103" spans="1:7" ht="15">
      <c r="A103" s="84" t="s">
        <v>653</v>
      </c>
      <c r="B103" s="87">
        <v>4</v>
      </c>
      <c r="C103" s="131">
        <v>0.0033707830611497884</v>
      </c>
      <c r="D103" s="87" t="s">
        <v>429</v>
      </c>
      <c r="E103" s="87" t="b">
        <v>0</v>
      </c>
      <c r="F103" s="87" t="b">
        <v>0</v>
      </c>
      <c r="G103" s="87" t="b">
        <v>0</v>
      </c>
    </row>
    <row r="104" spans="1:7" ht="15">
      <c r="A104" s="84" t="s">
        <v>654</v>
      </c>
      <c r="B104" s="87">
        <v>4</v>
      </c>
      <c r="C104" s="131">
        <v>0.0033707830611497884</v>
      </c>
      <c r="D104" s="87" t="s">
        <v>429</v>
      </c>
      <c r="E104" s="87" t="b">
        <v>0</v>
      </c>
      <c r="F104" s="87" t="b">
        <v>0</v>
      </c>
      <c r="G104" s="87" t="b">
        <v>0</v>
      </c>
    </row>
    <row r="105" spans="1:7" ht="15">
      <c r="A105" s="84" t="s">
        <v>655</v>
      </c>
      <c r="B105" s="87">
        <v>4</v>
      </c>
      <c r="C105" s="131">
        <v>0.0033707830611497884</v>
      </c>
      <c r="D105" s="87" t="s">
        <v>429</v>
      </c>
      <c r="E105" s="87" t="b">
        <v>0</v>
      </c>
      <c r="F105" s="87" t="b">
        <v>0</v>
      </c>
      <c r="G105" s="87" t="b">
        <v>0</v>
      </c>
    </row>
    <row r="106" spans="1:7" ht="15">
      <c r="A106" s="84" t="s">
        <v>661</v>
      </c>
      <c r="B106" s="87">
        <v>4</v>
      </c>
      <c r="C106" s="131">
        <v>0.0033707830611497884</v>
      </c>
      <c r="D106" s="87" t="s">
        <v>429</v>
      </c>
      <c r="E106" s="87" t="b">
        <v>0</v>
      </c>
      <c r="F106" s="87" t="b">
        <v>0</v>
      </c>
      <c r="G106" s="87" t="b">
        <v>0</v>
      </c>
    </row>
    <row r="107" spans="1:7" ht="15">
      <c r="A107" s="84" t="s">
        <v>649</v>
      </c>
      <c r="B107" s="87">
        <v>4</v>
      </c>
      <c r="C107" s="131">
        <v>0.0033707830611497884</v>
      </c>
      <c r="D107" s="87" t="s">
        <v>429</v>
      </c>
      <c r="E107" s="87" t="b">
        <v>0</v>
      </c>
      <c r="F107" s="87" t="b">
        <v>0</v>
      </c>
      <c r="G107" s="87" t="b">
        <v>0</v>
      </c>
    </row>
    <row r="108" spans="1:7" ht="15">
      <c r="A108" s="84" t="s">
        <v>650</v>
      </c>
      <c r="B108" s="87">
        <v>4</v>
      </c>
      <c r="C108" s="131">
        <v>0.0033707830611497884</v>
      </c>
      <c r="D108" s="87" t="s">
        <v>429</v>
      </c>
      <c r="E108" s="87" t="b">
        <v>0</v>
      </c>
      <c r="F108" s="87" t="b">
        <v>0</v>
      </c>
      <c r="G108" s="87" t="b">
        <v>0</v>
      </c>
    </row>
    <row r="109" spans="1:7" ht="15">
      <c r="A109" s="84" t="s">
        <v>658</v>
      </c>
      <c r="B109" s="87">
        <v>4</v>
      </c>
      <c r="C109" s="131">
        <v>0.0033707830611497884</v>
      </c>
      <c r="D109" s="87" t="s">
        <v>429</v>
      </c>
      <c r="E109" s="87" t="b">
        <v>0</v>
      </c>
      <c r="F109" s="87" t="b">
        <v>0</v>
      </c>
      <c r="G109" s="87" t="b">
        <v>0</v>
      </c>
    </row>
    <row r="110" spans="1:7" ht="15">
      <c r="A110" s="84" t="s">
        <v>659</v>
      </c>
      <c r="B110" s="87">
        <v>4</v>
      </c>
      <c r="C110" s="131">
        <v>0.0033707830611497884</v>
      </c>
      <c r="D110" s="87" t="s">
        <v>429</v>
      </c>
      <c r="E110" s="87" t="b">
        <v>0</v>
      </c>
      <c r="F110" s="87" t="b">
        <v>0</v>
      </c>
      <c r="G110" s="87" t="b">
        <v>0</v>
      </c>
    </row>
    <row r="111" spans="1:7" ht="15">
      <c r="A111" s="84" t="s">
        <v>635</v>
      </c>
      <c r="B111" s="87">
        <v>4</v>
      </c>
      <c r="C111" s="131">
        <v>0.0033707830611497884</v>
      </c>
      <c r="D111" s="87" t="s">
        <v>429</v>
      </c>
      <c r="E111" s="87" t="b">
        <v>0</v>
      </c>
      <c r="F111" s="87" t="b">
        <v>0</v>
      </c>
      <c r="G111" s="87" t="b">
        <v>0</v>
      </c>
    </row>
    <row r="112" spans="1:7" ht="15">
      <c r="A112" s="84" t="s">
        <v>250</v>
      </c>
      <c r="B112" s="87">
        <v>4</v>
      </c>
      <c r="C112" s="131">
        <v>0.0033707830611497884</v>
      </c>
      <c r="D112" s="87" t="s">
        <v>429</v>
      </c>
      <c r="E112" s="87" t="b">
        <v>0</v>
      </c>
      <c r="F112" s="87" t="b">
        <v>0</v>
      </c>
      <c r="G112" s="87" t="b">
        <v>0</v>
      </c>
    </row>
    <row r="113" spans="1:7" ht="15">
      <c r="A113" s="84" t="s">
        <v>657</v>
      </c>
      <c r="B113" s="87">
        <v>4</v>
      </c>
      <c r="C113" s="131">
        <v>0.0033707830611497884</v>
      </c>
      <c r="D113" s="87" t="s">
        <v>429</v>
      </c>
      <c r="E113" s="87" t="b">
        <v>0</v>
      </c>
      <c r="F113" s="87" t="b">
        <v>0</v>
      </c>
      <c r="G113" s="87" t="b">
        <v>0</v>
      </c>
    </row>
    <row r="114" spans="1:7" ht="15">
      <c r="A114" s="84" t="s">
        <v>660</v>
      </c>
      <c r="B114" s="87">
        <v>4</v>
      </c>
      <c r="C114" s="131">
        <v>0.0033707830611497884</v>
      </c>
      <c r="D114" s="87" t="s">
        <v>429</v>
      </c>
      <c r="E114" s="87" t="b">
        <v>0</v>
      </c>
      <c r="F114" s="87" t="b">
        <v>0</v>
      </c>
      <c r="G114" s="87" t="b">
        <v>0</v>
      </c>
    </row>
    <row r="115" spans="1:7" ht="15">
      <c r="A115" s="84" t="s">
        <v>652</v>
      </c>
      <c r="B115" s="87">
        <v>4</v>
      </c>
      <c r="C115" s="131">
        <v>0.0033707830611497884</v>
      </c>
      <c r="D115" s="87" t="s">
        <v>429</v>
      </c>
      <c r="E115" s="87" t="b">
        <v>0</v>
      </c>
      <c r="F115" s="87" t="b">
        <v>0</v>
      </c>
      <c r="G115" s="87" t="b">
        <v>0</v>
      </c>
    </row>
    <row r="116" spans="1:7" ht="15">
      <c r="A116" s="84" t="s">
        <v>647</v>
      </c>
      <c r="B116" s="87">
        <v>4</v>
      </c>
      <c r="C116" s="131">
        <v>0.0033707830611497884</v>
      </c>
      <c r="D116" s="87" t="s">
        <v>429</v>
      </c>
      <c r="E116" s="87" t="b">
        <v>0</v>
      </c>
      <c r="F116" s="87" t="b">
        <v>0</v>
      </c>
      <c r="G116" s="87" t="b">
        <v>0</v>
      </c>
    </row>
    <row r="117" spans="1:7" ht="15">
      <c r="A117" s="84" t="s">
        <v>662</v>
      </c>
      <c r="B117" s="87">
        <v>4</v>
      </c>
      <c r="C117" s="131">
        <v>0.0033707830611497884</v>
      </c>
      <c r="D117" s="87" t="s">
        <v>429</v>
      </c>
      <c r="E117" s="87" t="b">
        <v>0</v>
      </c>
      <c r="F117" s="87" t="b">
        <v>0</v>
      </c>
      <c r="G117" s="87" t="b">
        <v>0</v>
      </c>
    </row>
    <row r="118" spans="1:7" ht="15">
      <c r="A118" s="84" t="s">
        <v>656</v>
      </c>
      <c r="B118" s="87">
        <v>2</v>
      </c>
      <c r="C118" s="131">
        <v>0.012156000075409023</v>
      </c>
      <c r="D118" s="87" t="s">
        <v>429</v>
      </c>
      <c r="E118" s="87" t="b">
        <v>0</v>
      </c>
      <c r="F118" s="87" t="b">
        <v>0</v>
      </c>
      <c r="G118" s="87" t="b">
        <v>0</v>
      </c>
    </row>
    <row r="119" spans="1:7" ht="15">
      <c r="A119" s="84" t="s">
        <v>709</v>
      </c>
      <c r="B119" s="87">
        <v>2</v>
      </c>
      <c r="C119" s="131">
        <v>0</v>
      </c>
      <c r="D119" s="87" t="s">
        <v>430</v>
      </c>
      <c r="E119" s="87" t="b">
        <v>0</v>
      </c>
      <c r="F119" s="87" t="b">
        <v>0</v>
      </c>
      <c r="G119" s="87" t="b">
        <v>0</v>
      </c>
    </row>
    <row r="120" spans="1:7" ht="15">
      <c r="A120" s="84" t="s">
        <v>699</v>
      </c>
      <c r="B120" s="87">
        <v>2</v>
      </c>
      <c r="C120" s="131">
        <v>0</v>
      </c>
      <c r="D120" s="87" t="s">
        <v>430</v>
      </c>
      <c r="E120" s="87" t="b">
        <v>0</v>
      </c>
      <c r="F120" s="87" t="b">
        <v>0</v>
      </c>
      <c r="G120" s="87" t="b">
        <v>0</v>
      </c>
    </row>
    <row r="121" spans="1:7" ht="15">
      <c r="A121" s="84" t="s">
        <v>656</v>
      </c>
      <c r="B121" s="87">
        <v>2</v>
      </c>
      <c r="C121" s="131">
        <v>0</v>
      </c>
      <c r="D121" s="87" t="s">
        <v>430</v>
      </c>
      <c r="E121" s="87" t="b">
        <v>0</v>
      </c>
      <c r="F121" s="87" t="b">
        <v>0</v>
      </c>
      <c r="G121" s="87" t="b">
        <v>0</v>
      </c>
    </row>
    <row r="122" spans="1:7" ht="15">
      <c r="A122" s="84" t="s">
        <v>663</v>
      </c>
      <c r="B122" s="87">
        <v>2</v>
      </c>
      <c r="C122" s="131">
        <v>0</v>
      </c>
      <c r="D122" s="87" t="s">
        <v>430</v>
      </c>
      <c r="E122" s="87" t="b">
        <v>0</v>
      </c>
      <c r="F122" s="87" t="b">
        <v>0</v>
      </c>
      <c r="G122" s="87" t="b">
        <v>0</v>
      </c>
    </row>
    <row r="123" spans="1:7" ht="15">
      <c r="A123" s="84" t="s">
        <v>715</v>
      </c>
      <c r="B123" s="87">
        <v>2</v>
      </c>
      <c r="C123" s="131">
        <v>0</v>
      </c>
      <c r="D123" s="87" t="s">
        <v>430</v>
      </c>
      <c r="E123" s="87" t="b">
        <v>0</v>
      </c>
      <c r="F123" s="87" t="b">
        <v>0</v>
      </c>
      <c r="G123" s="87" t="b">
        <v>0</v>
      </c>
    </row>
    <row r="124" spans="1:7" ht="15">
      <c r="A124" s="84" t="s">
        <v>678</v>
      </c>
      <c r="B124" s="87">
        <v>2</v>
      </c>
      <c r="C124" s="131">
        <v>0</v>
      </c>
      <c r="D124" s="87" t="s">
        <v>430</v>
      </c>
      <c r="E124" s="87" t="b">
        <v>0</v>
      </c>
      <c r="F124" s="87" t="b">
        <v>0</v>
      </c>
      <c r="G124" s="87" t="b">
        <v>0</v>
      </c>
    </row>
    <row r="125" spans="1:7" ht="15">
      <c r="A125" s="84" t="s">
        <v>251</v>
      </c>
      <c r="B125" s="87">
        <v>2</v>
      </c>
      <c r="C125" s="131">
        <v>0</v>
      </c>
      <c r="D125" s="87" t="s">
        <v>430</v>
      </c>
      <c r="E125" s="87" t="b">
        <v>0</v>
      </c>
      <c r="F125" s="87" t="b">
        <v>0</v>
      </c>
      <c r="G125" s="87" t="b">
        <v>0</v>
      </c>
    </row>
    <row r="126" spans="1:7" ht="15">
      <c r="A126" s="84" t="s">
        <v>686</v>
      </c>
      <c r="B126" s="87">
        <v>2</v>
      </c>
      <c r="C126" s="131">
        <v>0</v>
      </c>
      <c r="D126" s="87" t="s">
        <v>430</v>
      </c>
      <c r="E126" s="87" t="b">
        <v>0</v>
      </c>
      <c r="F126" s="87" t="b">
        <v>0</v>
      </c>
      <c r="G126" s="87" t="b">
        <v>0</v>
      </c>
    </row>
    <row r="127" spans="1:7" ht="15">
      <c r="A127" s="84" t="s">
        <v>697</v>
      </c>
      <c r="B127" s="87">
        <v>2</v>
      </c>
      <c r="C127" s="131">
        <v>0</v>
      </c>
      <c r="D127" s="87" t="s">
        <v>430</v>
      </c>
      <c r="E127" s="87" t="b">
        <v>0</v>
      </c>
      <c r="F127" s="87" t="b">
        <v>0</v>
      </c>
      <c r="G127" s="87" t="b">
        <v>0</v>
      </c>
    </row>
    <row r="128" spans="1:7" ht="15">
      <c r="A128" s="84" t="s">
        <v>635</v>
      </c>
      <c r="B128" s="87">
        <v>2</v>
      </c>
      <c r="C128" s="131">
        <v>0</v>
      </c>
      <c r="D128" s="87" t="s">
        <v>430</v>
      </c>
      <c r="E128" s="87" t="b">
        <v>0</v>
      </c>
      <c r="F128" s="87" t="b">
        <v>0</v>
      </c>
      <c r="G128" s="87" t="b">
        <v>0</v>
      </c>
    </row>
    <row r="129" spans="1:7" ht="15">
      <c r="A129" s="84" t="s">
        <v>646</v>
      </c>
      <c r="B129" s="87">
        <v>2</v>
      </c>
      <c r="C129" s="131">
        <v>0</v>
      </c>
      <c r="D129" s="87" t="s">
        <v>430</v>
      </c>
      <c r="E129" s="87" t="b">
        <v>0</v>
      </c>
      <c r="F129" s="87" t="b">
        <v>0</v>
      </c>
      <c r="G129" s="87" t="b">
        <v>0</v>
      </c>
    </row>
    <row r="130" spans="1:7" ht="15">
      <c r="A130" s="84" t="s">
        <v>707</v>
      </c>
      <c r="B130" s="87">
        <v>2</v>
      </c>
      <c r="C130" s="131">
        <v>0</v>
      </c>
      <c r="D130" s="87" t="s">
        <v>430</v>
      </c>
      <c r="E130" s="87" t="b">
        <v>0</v>
      </c>
      <c r="F130" s="87" t="b">
        <v>0</v>
      </c>
      <c r="G130" s="87" t="b">
        <v>0</v>
      </c>
    </row>
    <row r="131" spans="1:7" ht="15">
      <c r="A131" s="84" t="s">
        <v>637</v>
      </c>
      <c r="B131" s="87">
        <v>2</v>
      </c>
      <c r="C131" s="131">
        <v>0</v>
      </c>
      <c r="D131" s="87" t="s">
        <v>430</v>
      </c>
      <c r="E131" s="87" t="b">
        <v>0</v>
      </c>
      <c r="F131" s="87" t="b">
        <v>0</v>
      </c>
      <c r="G131" s="87" t="b">
        <v>0</v>
      </c>
    </row>
    <row r="132" spans="1:7" ht="15">
      <c r="A132" s="84" t="s">
        <v>635</v>
      </c>
      <c r="B132" s="87">
        <v>5</v>
      </c>
      <c r="C132" s="131">
        <v>0</v>
      </c>
      <c r="D132" s="87" t="s">
        <v>431</v>
      </c>
      <c r="E132" s="87" t="b">
        <v>0</v>
      </c>
      <c r="F132" s="87" t="b">
        <v>0</v>
      </c>
      <c r="G132" s="87" t="b">
        <v>0</v>
      </c>
    </row>
    <row r="133" spans="1:7" ht="15">
      <c r="A133" s="84" t="s">
        <v>637</v>
      </c>
      <c r="B133" s="87">
        <v>3</v>
      </c>
      <c r="C133" s="131">
        <v>0.006860698404766801</v>
      </c>
      <c r="D133" s="87" t="s">
        <v>431</v>
      </c>
      <c r="E133" s="87" t="b">
        <v>0</v>
      </c>
      <c r="F133" s="87" t="b">
        <v>0</v>
      </c>
      <c r="G133" s="87" t="b">
        <v>0</v>
      </c>
    </row>
    <row r="134" spans="1:7" ht="15">
      <c r="A134" s="84" t="s">
        <v>684</v>
      </c>
      <c r="B134" s="87">
        <v>2</v>
      </c>
      <c r="C134" s="131">
        <v>0.012392759862848376</v>
      </c>
      <c r="D134" s="87" t="s">
        <v>431</v>
      </c>
      <c r="E134" s="87" t="b">
        <v>0</v>
      </c>
      <c r="F134" s="87" t="b">
        <v>0</v>
      </c>
      <c r="G134" s="87" t="b">
        <v>0</v>
      </c>
    </row>
    <row r="135" spans="1:7" ht="15">
      <c r="A135" s="84" t="s">
        <v>713</v>
      </c>
      <c r="B135" s="87">
        <v>2</v>
      </c>
      <c r="C135" s="131">
        <v>0.0045737989365112015</v>
      </c>
      <c r="D135" s="87" t="s">
        <v>431</v>
      </c>
      <c r="E135" s="87" t="b">
        <v>0</v>
      </c>
      <c r="F135" s="87" t="b">
        <v>0</v>
      </c>
      <c r="G135" s="87" t="b">
        <v>0</v>
      </c>
    </row>
    <row r="136" spans="1:7" ht="15">
      <c r="A136" s="84" t="s">
        <v>669</v>
      </c>
      <c r="B136" s="87">
        <v>2</v>
      </c>
      <c r="C136" s="131">
        <v>0.012392759862848376</v>
      </c>
      <c r="D136" s="87" t="s">
        <v>431</v>
      </c>
      <c r="E136" s="87" t="b">
        <v>0</v>
      </c>
      <c r="F136" s="87" t="b">
        <v>0</v>
      </c>
      <c r="G136" s="87" t="b">
        <v>0</v>
      </c>
    </row>
    <row r="137" spans="1:7" ht="15">
      <c r="A137" s="84" t="s">
        <v>638</v>
      </c>
      <c r="B137" s="87">
        <v>6</v>
      </c>
      <c r="C137" s="131">
        <v>0</v>
      </c>
      <c r="D137" s="87" t="s">
        <v>432</v>
      </c>
      <c r="E137" s="87" t="b">
        <v>0</v>
      </c>
      <c r="F137" s="87" t="b">
        <v>0</v>
      </c>
      <c r="G137" s="87" t="b">
        <v>0</v>
      </c>
    </row>
    <row r="138" spans="1:7" ht="15">
      <c r="A138" s="84" t="s">
        <v>648</v>
      </c>
      <c r="B138" s="87">
        <v>4</v>
      </c>
      <c r="C138" s="131">
        <v>0</v>
      </c>
      <c r="D138" s="87" t="s">
        <v>432</v>
      </c>
      <c r="E138" s="87" t="b">
        <v>0</v>
      </c>
      <c r="F138" s="87" t="b">
        <v>0</v>
      </c>
      <c r="G138" s="87" t="b">
        <v>0</v>
      </c>
    </row>
    <row r="139" spans="1:7" ht="15">
      <c r="A139" s="84" t="s">
        <v>643</v>
      </c>
      <c r="B139" s="87">
        <v>4</v>
      </c>
      <c r="C139" s="131">
        <v>0</v>
      </c>
      <c r="D139" s="87" t="s">
        <v>432</v>
      </c>
      <c r="E139" s="87" t="b">
        <v>0</v>
      </c>
      <c r="F139" s="87" t="b">
        <v>0</v>
      </c>
      <c r="G139" s="87" t="b">
        <v>0</v>
      </c>
    </row>
    <row r="140" spans="1:7" ht="15">
      <c r="A140" s="84" t="s">
        <v>673</v>
      </c>
      <c r="B140" s="87">
        <v>2</v>
      </c>
      <c r="C140" s="131">
        <v>0</v>
      </c>
      <c r="D140" s="87" t="s">
        <v>432</v>
      </c>
      <c r="E140" s="87" t="b">
        <v>0</v>
      </c>
      <c r="F140" s="87" t="b">
        <v>0</v>
      </c>
      <c r="G140" s="87" t="b">
        <v>0</v>
      </c>
    </row>
    <row r="141" spans="1:7" ht="15">
      <c r="A141" s="84" t="s">
        <v>690</v>
      </c>
      <c r="B141" s="87">
        <v>2</v>
      </c>
      <c r="C141" s="131">
        <v>0</v>
      </c>
      <c r="D141" s="87" t="s">
        <v>432</v>
      </c>
      <c r="E141" s="87" t="b">
        <v>0</v>
      </c>
      <c r="F141" s="87" t="b">
        <v>0</v>
      </c>
      <c r="G141" s="87" t="b">
        <v>0</v>
      </c>
    </row>
    <row r="142" spans="1:7" ht="15">
      <c r="A142" s="84" t="s">
        <v>692</v>
      </c>
      <c r="B142" s="87">
        <v>2</v>
      </c>
      <c r="C142" s="131">
        <v>0</v>
      </c>
      <c r="D142" s="87" t="s">
        <v>432</v>
      </c>
      <c r="E142" s="87" t="b">
        <v>0</v>
      </c>
      <c r="F142" s="87" t="b">
        <v>0</v>
      </c>
      <c r="G142" s="87" t="b">
        <v>0</v>
      </c>
    </row>
    <row r="143" spans="1:7" ht="15">
      <c r="A143" s="84" t="s">
        <v>716</v>
      </c>
      <c r="B143" s="87">
        <v>2</v>
      </c>
      <c r="C143" s="131">
        <v>0</v>
      </c>
      <c r="D143" s="87" t="s">
        <v>432</v>
      </c>
      <c r="E143" s="87" t="b">
        <v>0</v>
      </c>
      <c r="F143" s="87" t="b">
        <v>0</v>
      </c>
      <c r="G143" s="87" t="b">
        <v>0</v>
      </c>
    </row>
    <row r="144" spans="1:7" ht="15">
      <c r="A144" s="84" t="s">
        <v>683</v>
      </c>
      <c r="B144" s="87">
        <v>2</v>
      </c>
      <c r="C144" s="131">
        <v>0</v>
      </c>
      <c r="D144" s="87" t="s">
        <v>432</v>
      </c>
      <c r="E144" s="87" t="b">
        <v>0</v>
      </c>
      <c r="F144" s="87" t="b">
        <v>0</v>
      </c>
      <c r="G144" s="87" t="b">
        <v>0</v>
      </c>
    </row>
    <row r="145" spans="1:7" ht="15">
      <c r="A145" s="84" t="s">
        <v>675</v>
      </c>
      <c r="B145" s="87">
        <v>2</v>
      </c>
      <c r="C145" s="131">
        <v>0</v>
      </c>
      <c r="D145" s="87" t="s">
        <v>432</v>
      </c>
      <c r="E145" s="87" t="b">
        <v>0</v>
      </c>
      <c r="F145" s="87" t="b">
        <v>0</v>
      </c>
      <c r="G145" s="87" t="b">
        <v>0</v>
      </c>
    </row>
    <row r="146" spans="1:7" ht="15">
      <c r="A146" s="84" t="s">
        <v>710</v>
      </c>
      <c r="B146" s="87">
        <v>2</v>
      </c>
      <c r="C146" s="131">
        <v>0</v>
      </c>
      <c r="D146" s="87" t="s">
        <v>432</v>
      </c>
      <c r="E146" s="87" t="b">
        <v>0</v>
      </c>
      <c r="F146" s="87" t="b">
        <v>0</v>
      </c>
      <c r="G146" s="87" t="b">
        <v>0</v>
      </c>
    </row>
    <row r="147" spans="1:7" ht="15">
      <c r="A147" s="84" t="s">
        <v>670</v>
      </c>
      <c r="B147" s="87">
        <v>2</v>
      </c>
      <c r="C147" s="131">
        <v>0</v>
      </c>
      <c r="D147" s="87" t="s">
        <v>432</v>
      </c>
      <c r="E147" s="87" t="b">
        <v>0</v>
      </c>
      <c r="F147" s="87" t="b">
        <v>0</v>
      </c>
      <c r="G147" s="87" t="b">
        <v>0</v>
      </c>
    </row>
    <row r="148" spans="1:7" ht="15">
      <c r="A148" s="84" t="s">
        <v>668</v>
      </c>
      <c r="B148" s="87">
        <v>2</v>
      </c>
      <c r="C148" s="131">
        <v>0</v>
      </c>
      <c r="D148" s="87" t="s">
        <v>432</v>
      </c>
      <c r="E148" s="87" t="b">
        <v>0</v>
      </c>
      <c r="F148" s="87" t="b">
        <v>0</v>
      </c>
      <c r="G148" s="87" t="b">
        <v>0</v>
      </c>
    </row>
    <row r="149" spans="1:7" ht="15">
      <c r="A149" s="84" t="s">
        <v>679</v>
      </c>
      <c r="B149" s="87">
        <v>2</v>
      </c>
      <c r="C149" s="131">
        <v>0</v>
      </c>
      <c r="D149" s="87" t="s">
        <v>432</v>
      </c>
      <c r="E149" s="87" t="b">
        <v>0</v>
      </c>
      <c r="F149" s="87" t="b">
        <v>0</v>
      </c>
      <c r="G149" s="87" t="b">
        <v>0</v>
      </c>
    </row>
    <row r="150" spans="1:7" ht="15">
      <c r="A150" s="84" t="s">
        <v>671</v>
      </c>
      <c r="B150" s="87">
        <v>2</v>
      </c>
      <c r="C150" s="131">
        <v>0</v>
      </c>
      <c r="D150" s="87" t="s">
        <v>432</v>
      </c>
      <c r="E150" s="87" t="b">
        <v>0</v>
      </c>
      <c r="F150" s="87" t="b">
        <v>0</v>
      </c>
      <c r="G150" s="87" t="b">
        <v>0</v>
      </c>
    </row>
    <row r="151" spans="1:7" ht="15">
      <c r="A151" s="84" t="s">
        <v>636</v>
      </c>
      <c r="B151" s="87">
        <v>2</v>
      </c>
      <c r="C151" s="131">
        <v>0</v>
      </c>
      <c r="D151" s="87" t="s">
        <v>432</v>
      </c>
      <c r="E151" s="87" t="b">
        <v>0</v>
      </c>
      <c r="F151" s="87" t="b">
        <v>0</v>
      </c>
      <c r="G151" s="87" t="b">
        <v>0</v>
      </c>
    </row>
    <row r="152" spans="1:7" ht="15">
      <c r="A152" s="84" t="s">
        <v>694</v>
      </c>
      <c r="B152" s="87">
        <v>2</v>
      </c>
      <c r="C152" s="131">
        <v>0</v>
      </c>
      <c r="D152" s="87" t="s">
        <v>432</v>
      </c>
      <c r="E152" s="87" t="b">
        <v>0</v>
      </c>
      <c r="F152" s="87" t="b">
        <v>0</v>
      </c>
      <c r="G152" s="87" t="b">
        <v>0</v>
      </c>
    </row>
    <row r="153" spans="1:7" ht="15">
      <c r="A153" s="84" t="s">
        <v>672</v>
      </c>
      <c r="B153" s="87">
        <v>2</v>
      </c>
      <c r="C153" s="131">
        <v>0</v>
      </c>
      <c r="D153" s="87" t="s">
        <v>432</v>
      </c>
      <c r="E153" s="87" t="b">
        <v>0</v>
      </c>
      <c r="F153" s="87" t="b">
        <v>0</v>
      </c>
      <c r="G153" s="87" t="b">
        <v>0</v>
      </c>
    </row>
    <row r="154" spans="1:7" ht="15">
      <c r="A154" s="84" t="s">
        <v>702</v>
      </c>
      <c r="B154" s="87">
        <v>2</v>
      </c>
      <c r="C154" s="131">
        <v>0</v>
      </c>
      <c r="D154" s="87" t="s">
        <v>432</v>
      </c>
      <c r="E154" s="87" t="b">
        <v>0</v>
      </c>
      <c r="F154" s="87" t="b">
        <v>0</v>
      </c>
      <c r="G154" s="87" t="b">
        <v>0</v>
      </c>
    </row>
    <row r="155" spans="1:7" ht="15">
      <c r="A155" s="84" t="s">
        <v>689</v>
      </c>
      <c r="B155" s="87">
        <v>2</v>
      </c>
      <c r="C155" s="131">
        <v>0</v>
      </c>
      <c r="D155" s="87" t="s">
        <v>432</v>
      </c>
      <c r="E155" s="87" t="b">
        <v>0</v>
      </c>
      <c r="F155" s="87" t="b">
        <v>0</v>
      </c>
      <c r="G155" s="87" t="b">
        <v>0</v>
      </c>
    </row>
    <row r="156" spans="1:7" ht="15">
      <c r="A156" s="84" t="s">
        <v>666</v>
      </c>
      <c r="B156" s="87">
        <v>2</v>
      </c>
      <c r="C156" s="131">
        <v>0</v>
      </c>
      <c r="D156" s="87" t="s">
        <v>432</v>
      </c>
      <c r="E156" s="87" t="b">
        <v>0</v>
      </c>
      <c r="F156" s="87" t="b">
        <v>0</v>
      </c>
      <c r="G156" s="87" t="b">
        <v>0</v>
      </c>
    </row>
    <row r="157" spans="1:7" ht="15">
      <c r="A157" s="84" t="s">
        <v>637</v>
      </c>
      <c r="B157" s="87">
        <v>2</v>
      </c>
      <c r="C157" s="131">
        <v>0</v>
      </c>
      <c r="D157" s="87" t="s">
        <v>432</v>
      </c>
      <c r="E157" s="87" t="b">
        <v>0</v>
      </c>
      <c r="F157" s="87" t="b">
        <v>0</v>
      </c>
      <c r="G157" s="87" t="b">
        <v>0</v>
      </c>
    </row>
    <row r="158" spans="1:7" ht="15">
      <c r="A158" s="84" t="s">
        <v>695</v>
      </c>
      <c r="B158" s="87">
        <v>2</v>
      </c>
      <c r="C158" s="131">
        <v>0</v>
      </c>
      <c r="D158" s="87" t="s">
        <v>432</v>
      </c>
      <c r="E158" s="87" t="b">
        <v>0</v>
      </c>
      <c r="F158" s="87" t="b">
        <v>0</v>
      </c>
      <c r="G158" s="87" t="b">
        <v>0</v>
      </c>
    </row>
    <row r="159" spans="1:7" ht="15">
      <c r="A159" s="84" t="s">
        <v>687</v>
      </c>
      <c r="B159" s="87">
        <v>2</v>
      </c>
      <c r="C159" s="131">
        <v>0</v>
      </c>
      <c r="D159" s="87" t="s">
        <v>432</v>
      </c>
      <c r="E159" s="87" t="b">
        <v>0</v>
      </c>
      <c r="F159" s="87" t="b">
        <v>0</v>
      </c>
      <c r="G159" s="87" t="b">
        <v>0</v>
      </c>
    </row>
    <row r="160" spans="1:7" ht="15">
      <c r="A160" s="84" t="s">
        <v>667</v>
      </c>
      <c r="B160" s="87">
        <v>2</v>
      </c>
      <c r="C160" s="131">
        <v>0</v>
      </c>
      <c r="D160" s="87" t="s">
        <v>432</v>
      </c>
      <c r="E160" s="87" t="b">
        <v>0</v>
      </c>
      <c r="F160" s="87" t="b">
        <v>0</v>
      </c>
      <c r="G160" s="87" t="b">
        <v>0</v>
      </c>
    </row>
    <row r="161" spans="1:7" ht="15">
      <c r="A161" s="84" t="s">
        <v>676</v>
      </c>
      <c r="B161" s="87">
        <v>2</v>
      </c>
      <c r="C161" s="131">
        <v>0</v>
      </c>
      <c r="D161" s="87" t="s">
        <v>432</v>
      </c>
      <c r="E161" s="87" t="b">
        <v>0</v>
      </c>
      <c r="F161" s="87" t="b">
        <v>0</v>
      </c>
      <c r="G161" s="87" t="b">
        <v>0</v>
      </c>
    </row>
    <row r="162" spans="1:7" ht="15">
      <c r="A162" s="84" t="s">
        <v>651</v>
      </c>
      <c r="B162" s="87">
        <v>4</v>
      </c>
      <c r="C162" s="131">
        <v>0.011360726390689111</v>
      </c>
      <c r="D162" s="87" t="s">
        <v>434</v>
      </c>
      <c r="E162" s="87" t="b">
        <v>1</v>
      </c>
      <c r="F162" s="87" t="b">
        <v>0</v>
      </c>
      <c r="G162" s="87" t="b">
        <v>0</v>
      </c>
    </row>
    <row r="163" spans="1:7" ht="15">
      <c r="A163" s="84" t="s">
        <v>636</v>
      </c>
      <c r="B163" s="87">
        <v>3</v>
      </c>
      <c r="C163" s="131">
        <v>0</v>
      </c>
      <c r="D163" s="87" t="s">
        <v>434</v>
      </c>
      <c r="E163" s="87" t="b">
        <v>0</v>
      </c>
      <c r="F163" s="87" t="b">
        <v>0</v>
      </c>
      <c r="G163" s="87" t="b">
        <v>0</v>
      </c>
    </row>
    <row r="164" spans="1:7" ht="15">
      <c r="A164" s="84" t="s">
        <v>637</v>
      </c>
      <c r="B164" s="87">
        <v>3</v>
      </c>
      <c r="C164" s="131">
        <v>0</v>
      </c>
      <c r="D164" s="87" t="s">
        <v>434</v>
      </c>
      <c r="E164" s="87" t="b">
        <v>0</v>
      </c>
      <c r="F164" s="87" t="b">
        <v>0</v>
      </c>
      <c r="G164" s="87" t="b">
        <v>0</v>
      </c>
    </row>
    <row r="165" spans="1:7" ht="15">
      <c r="A165" s="84" t="s">
        <v>635</v>
      </c>
      <c r="B165" s="87">
        <v>3</v>
      </c>
      <c r="C165" s="131">
        <v>0</v>
      </c>
      <c r="D165" s="87" t="s">
        <v>434</v>
      </c>
      <c r="E165" s="87" t="b">
        <v>0</v>
      </c>
      <c r="F165" s="87" t="b">
        <v>0</v>
      </c>
      <c r="G165" s="87" t="b">
        <v>0</v>
      </c>
    </row>
    <row r="166" spans="1:7" ht="15">
      <c r="A166" s="84" t="s">
        <v>711</v>
      </c>
      <c r="B166" s="87">
        <v>2</v>
      </c>
      <c r="C166" s="131">
        <v>0.0056803631953445555</v>
      </c>
      <c r="D166" s="87" t="s">
        <v>434</v>
      </c>
      <c r="E166" s="87" t="b">
        <v>0</v>
      </c>
      <c r="F166" s="87" t="b">
        <v>0</v>
      </c>
      <c r="G166" s="87" t="b">
        <v>0</v>
      </c>
    </row>
    <row r="167" spans="1:7" ht="15">
      <c r="A167" s="84" t="s">
        <v>700</v>
      </c>
      <c r="B167" s="87">
        <v>2</v>
      </c>
      <c r="C167" s="131">
        <v>0.0056803631953445555</v>
      </c>
      <c r="D167" s="87" t="s">
        <v>434</v>
      </c>
      <c r="E167" s="87" t="b">
        <v>1</v>
      </c>
      <c r="F167" s="87" t="b">
        <v>0</v>
      </c>
      <c r="G167" s="87" t="b">
        <v>0</v>
      </c>
    </row>
    <row r="168" spans="1:7" ht="15">
      <c r="A168" s="84" t="s">
        <v>714</v>
      </c>
      <c r="B168" s="87">
        <v>2</v>
      </c>
      <c r="C168" s="131">
        <v>0.0056803631953445555</v>
      </c>
      <c r="D168" s="87" t="s">
        <v>434</v>
      </c>
      <c r="E168" s="87" t="b">
        <v>0</v>
      </c>
      <c r="F168" s="87" t="b">
        <v>0</v>
      </c>
      <c r="G168" s="87" t="b">
        <v>0</v>
      </c>
    </row>
    <row r="169" spans="1:7" ht="15">
      <c r="A169" s="84" t="s">
        <v>677</v>
      </c>
      <c r="B169" s="87">
        <v>2</v>
      </c>
      <c r="C169" s="131">
        <v>0.0056803631953445555</v>
      </c>
      <c r="D169" s="87" t="s">
        <v>434</v>
      </c>
      <c r="E169" s="87" t="b">
        <v>0</v>
      </c>
      <c r="F169" s="87" t="b">
        <v>0</v>
      </c>
      <c r="G169" s="87" t="b">
        <v>0</v>
      </c>
    </row>
    <row r="170" spans="1:7" ht="15">
      <c r="A170" s="84" t="s">
        <v>708</v>
      </c>
      <c r="B170" s="87">
        <v>2</v>
      </c>
      <c r="C170" s="131">
        <v>0.0056803631953445555</v>
      </c>
      <c r="D170" s="87" t="s">
        <v>434</v>
      </c>
      <c r="E170" s="87" t="b">
        <v>0</v>
      </c>
      <c r="F170" s="87" t="b">
        <v>0</v>
      </c>
      <c r="G170" s="87" t="b">
        <v>0</v>
      </c>
    </row>
    <row r="171" spans="1:7" ht="15">
      <c r="A171" s="84" t="s">
        <v>674</v>
      </c>
      <c r="B171" s="87">
        <v>2</v>
      </c>
      <c r="C171" s="131">
        <v>0.0056803631953445555</v>
      </c>
      <c r="D171" s="87" t="s">
        <v>434</v>
      </c>
      <c r="E171" s="87" t="b">
        <v>0</v>
      </c>
      <c r="F171" s="87" t="b">
        <v>0</v>
      </c>
      <c r="G171" s="87" t="b">
        <v>0</v>
      </c>
    </row>
    <row r="172" spans="1:7" ht="15">
      <c r="A172" s="84" t="s">
        <v>704</v>
      </c>
      <c r="B172" s="87">
        <v>2</v>
      </c>
      <c r="C172" s="131">
        <v>0.0056803631953445555</v>
      </c>
      <c r="D172" s="87" t="s">
        <v>434</v>
      </c>
      <c r="E172" s="87" t="b">
        <v>0</v>
      </c>
      <c r="F172" s="87" t="b">
        <v>0</v>
      </c>
      <c r="G172" s="87" t="b">
        <v>0</v>
      </c>
    </row>
    <row r="173" spans="1:7" ht="15">
      <c r="A173" s="84" t="s">
        <v>698</v>
      </c>
      <c r="B173" s="87">
        <v>2</v>
      </c>
      <c r="C173" s="131">
        <v>0.0056803631953445555</v>
      </c>
      <c r="D173" s="87" t="s">
        <v>434</v>
      </c>
      <c r="E173" s="87" t="b">
        <v>0</v>
      </c>
      <c r="F173" s="87" t="b">
        <v>0</v>
      </c>
      <c r="G173" s="87" t="b">
        <v>0</v>
      </c>
    </row>
    <row r="174" spans="1:7" ht="15">
      <c r="A174" s="84" t="s">
        <v>703</v>
      </c>
      <c r="B174" s="87">
        <v>2</v>
      </c>
      <c r="C174" s="131">
        <v>0.0056803631953445555</v>
      </c>
      <c r="D174" s="87" t="s">
        <v>434</v>
      </c>
      <c r="E174" s="87" t="b">
        <v>0</v>
      </c>
      <c r="F174" s="87" t="b">
        <v>0</v>
      </c>
      <c r="G174" s="87" t="b">
        <v>0</v>
      </c>
    </row>
    <row r="175" spans="1:7" ht="15">
      <c r="A175" s="84" t="s">
        <v>693</v>
      </c>
      <c r="B175" s="87">
        <v>2</v>
      </c>
      <c r="C175" s="131">
        <v>0.0056803631953445555</v>
      </c>
      <c r="D175" s="87" t="s">
        <v>434</v>
      </c>
      <c r="E175" s="87" t="b">
        <v>1</v>
      </c>
      <c r="F175" s="87" t="b">
        <v>0</v>
      </c>
      <c r="G175" s="87" t="b">
        <v>0</v>
      </c>
    </row>
    <row r="176" spans="1:7" ht="15">
      <c r="A176" s="84" t="s">
        <v>681</v>
      </c>
      <c r="B176" s="87">
        <v>2</v>
      </c>
      <c r="C176" s="131">
        <v>0.0056803631953445555</v>
      </c>
      <c r="D176" s="87" t="s">
        <v>434</v>
      </c>
      <c r="E176" s="87" t="b">
        <v>0</v>
      </c>
      <c r="F176" s="87" t="b">
        <v>0</v>
      </c>
      <c r="G176" s="87" t="b">
        <v>0</v>
      </c>
    </row>
    <row r="177" spans="1:7" ht="15">
      <c r="A177" s="84" t="s">
        <v>688</v>
      </c>
      <c r="B177" s="87">
        <v>2</v>
      </c>
      <c r="C177" s="131">
        <v>0.0056803631953445555</v>
      </c>
      <c r="D177" s="87" t="s">
        <v>434</v>
      </c>
      <c r="E177" s="87" t="b">
        <v>0</v>
      </c>
      <c r="F177" s="87" t="b">
        <v>0</v>
      </c>
      <c r="G177" s="87" t="b">
        <v>0</v>
      </c>
    </row>
    <row r="178" spans="1:7" ht="15">
      <c r="A178" s="84" t="s">
        <v>705</v>
      </c>
      <c r="B178" s="87">
        <v>2</v>
      </c>
      <c r="C178" s="131">
        <v>0.0056803631953445555</v>
      </c>
      <c r="D178" s="87" t="s">
        <v>434</v>
      </c>
      <c r="E178" s="87" t="b">
        <v>0</v>
      </c>
      <c r="F178" s="87" t="b">
        <v>0</v>
      </c>
      <c r="G178" s="87" t="b">
        <v>0</v>
      </c>
    </row>
    <row r="179" spans="1:7" ht="15">
      <c r="A179" s="84" t="s">
        <v>680</v>
      </c>
      <c r="B179" s="87">
        <v>2</v>
      </c>
      <c r="C179" s="131">
        <v>0.0056803631953445555</v>
      </c>
      <c r="D179" s="87" t="s">
        <v>434</v>
      </c>
      <c r="E179" s="87" t="b">
        <v>0</v>
      </c>
      <c r="F179" s="87" t="b">
        <v>0</v>
      </c>
      <c r="G179" s="87" t="b">
        <v>0</v>
      </c>
    </row>
    <row r="180" spans="1:7" ht="15">
      <c r="A180" s="84" t="s">
        <v>665</v>
      </c>
      <c r="B180" s="87">
        <v>2</v>
      </c>
      <c r="C180" s="131">
        <v>0.0056803631953445555</v>
      </c>
      <c r="D180" s="87" t="s">
        <v>434</v>
      </c>
      <c r="E180" s="87" t="b">
        <v>0</v>
      </c>
      <c r="F180" s="87" t="b">
        <v>0</v>
      </c>
      <c r="G180" s="87" t="b">
        <v>0</v>
      </c>
    </row>
    <row r="181" spans="1:7" ht="15">
      <c r="A181" s="84" t="s">
        <v>664</v>
      </c>
      <c r="B181" s="87">
        <v>2</v>
      </c>
      <c r="C181" s="131">
        <v>0.0056803631953445555</v>
      </c>
      <c r="D181" s="87" t="s">
        <v>434</v>
      </c>
      <c r="E181" s="87" t="b">
        <v>0</v>
      </c>
      <c r="F181" s="87" t="b">
        <v>0</v>
      </c>
      <c r="G181" s="87" t="b">
        <v>0</v>
      </c>
    </row>
    <row r="182" spans="1:7" ht="15">
      <c r="A182" s="84" t="s">
        <v>685</v>
      </c>
      <c r="B182" s="87">
        <v>2</v>
      </c>
      <c r="C182" s="131">
        <v>0.0056803631953445555</v>
      </c>
      <c r="D182" s="87" t="s">
        <v>434</v>
      </c>
      <c r="E182" s="87" t="b">
        <v>0</v>
      </c>
      <c r="F182" s="87" t="b">
        <v>0</v>
      </c>
      <c r="G182" s="87" t="b">
        <v>0</v>
      </c>
    </row>
    <row r="183" spans="1:7" ht="15">
      <c r="A183" s="84" t="s">
        <v>691</v>
      </c>
      <c r="B183" s="87">
        <v>2</v>
      </c>
      <c r="C183" s="131">
        <v>0.0056803631953445555</v>
      </c>
      <c r="D183" s="87" t="s">
        <v>434</v>
      </c>
      <c r="E183" s="87" t="b">
        <v>0</v>
      </c>
      <c r="F183" s="87" t="b">
        <v>0</v>
      </c>
      <c r="G183" s="87" t="b">
        <v>0</v>
      </c>
    </row>
    <row r="184" spans="1:7" ht="15">
      <c r="A184" s="84" t="s">
        <v>696</v>
      </c>
      <c r="B184" s="87">
        <v>2</v>
      </c>
      <c r="C184" s="131">
        <v>0.0056803631953445555</v>
      </c>
      <c r="D184" s="87" t="s">
        <v>434</v>
      </c>
      <c r="E184" s="87" t="b">
        <v>0</v>
      </c>
      <c r="F184" s="87" t="b">
        <v>0</v>
      </c>
      <c r="G184" s="87" t="b">
        <v>0</v>
      </c>
    </row>
    <row r="185" spans="1:7" ht="15">
      <c r="A185" s="84" t="s">
        <v>706</v>
      </c>
      <c r="B185" s="87">
        <v>2</v>
      </c>
      <c r="C185" s="131">
        <v>0.0056803631953445555</v>
      </c>
      <c r="D185" s="87" t="s">
        <v>434</v>
      </c>
      <c r="E185" s="87" t="b">
        <v>0</v>
      </c>
      <c r="F185" s="87" t="b">
        <v>0</v>
      </c>
      <c r="G185" s="87"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0A478-8D1A-4ACD-933D-0E554B1B862B}">
  <dimension ref="A1:L17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726</v>
      </c>
      <c r="B1" s="7" t="s">
        <v>727</v>
      </c>
      <c r="C1" s="7" t="s">
        <v>717</v>
      </c>
      <c r="D1" s="7" t="s">
        <v>721</v>
      </c>
      <c r="E1" s="7" t="s">
        <v>728</v>
      </c>
      <c r="F1" s="7" t="s">
        <v>144</v>
      </c>
      <c r="G1" s="7" t="s">
        <v>729</v>
      </c>
      <c r="H1" s="7" t="s">
        <v>730</v>
      </c>
      <c r="I1" s="7" t="s">
        <v>731</v>
      </c>
      <c r="J1" s="7" t="s">
        <v>732</v>
      </c>
      <c r="K1" s="7" t="s">
        <v>733</v>
      </c>
      <c r="L1" s="7" t="s">
        <v>734</v>
      </c>
    </row>
    <row r="2" spans="1:12" ht="15">
      <c r="A2" s="87" t="s">
        <v>636</v>
      </c>
      <c r="B2" s="87" t="s">
        <v>635</v>
      </c>
      <c r="C2" s="87">
        <v>8</v>
      </c>
      <c r="D2" s="131">
        <v>0.006671024834658863</v>
      </c>
      <c r="E2" s="131">
        <v>1.2533883612287546</v>
      </c>
      <c r="F2" s="87" t="s">
        <v>722</v>
      </c>
      <c r="G2" s="87" t="b">
        <v>0</v>
      </c>
      <c r="H2" s="87" t="b">
        <v>0</v>
      </c>
      <c r="I2" s="87" t="b">
        <v>0</v>
      </c>
      <c r="J2" s="87" t="b">
        <v>0</v>
      </c>
      <c r="K2" s="87" t="b">
        <v>0</v>
      </c>
      <c r="L2" s="87" t="b">
        <v>0</v>
      </c>
    </row>
    <row r="3" spans="1:12" ht="15">
      <c r="A3" s="84" t="s">
        <v>645</v>
      </c>
      <c r="B3" s="87" t="s">
        <v>642</v>
      </c>
      <c r="C3" s="87">
        <v>5</v>
      </c>
      <c r="D3" s="131">
        <v>0.006996537095843574</v>
      </c>
      <c r="E3" s="131">
        <v>1.8388490907372552</v>
      </c>
      <c r="F3" s="87" t="s">
        <v>722</v>
      </c>
      <c r="G3" s="87" t="b">
        <v>0</v>
      </c>
      <c r="H3" s="87" t="b">
        <v>0</v>
      </c>
      <c r="I3" s="87" t="b">
        <v>0</v>
      </c>
      <c r="J3" s="87" t="b">
        <v>0</v>
      </c>
      <c r="K3" s="87" t="b">
        <v>0</v>
      </c>
      <c r="L3" s="87" t="b">
        <v>0</v>
      </c>
    </row>
    <row r="4" spans="1:12" ht="15">
      <c r="A4" s="84" t="s">
        <v>644</v>
      </c>
      <c r="B4" s="87" t="s">
        <v>641</v>
      </c>
      <c r="C4" s="87">
        <v>5</v>
      </c>
      <c r="D4" s="131">
        <v>0.006996537095843574</v>
      </c>
      <c r="E4" s="131">
        <v>1.7596678446896306</v>
      </c>
      <c r="F4" s="87" t="s">
        <v>722</v>
      </c>
      <c r="G4" s="87" t="b">
        <v>0</v>
      </c>
      <c r="H4" s="87" t="b">
        <v>0</v>
      </c>
      <c r="I4" s="87" t="b">
        <v>0</v>
      </c>
      <c r="J4" s="87" t="b">
        <v>0</v>
      </c>
      <c r="K4" s="87" t="b">
        <v>0</v>
      </c>
      <c r="L4" s="87" t="b">
        <v>0</v>
      </c>
    </row>
    <row r="5" spans="1:12" ht="15">
      <c r="A5" s="84" t="s">
        <v>655</v>
      </c>
      <c r="B5" s="87" t="s">
        <v>650</v>
      </c>
      <c r="C5" s="87">
        <v>4</v>
      </c>
      <c r="D5" s="131">
        <v>0.006671024834658863</v>
      </c>
      <c r="E5" s="131">
        <v>1.9357591037453117</v>
      </c>
      <c r="F5" s="87" t="s">
        <v>722</v>
      </c>
      <c r="G5" s="87" t="b">
        <v>0</v>
      </c>
      <c r="H5" s="87" t="b">
        <v>0</v>
      </c>
      <c r="I5" s="87" t="b">
        <v>0</v>
      </c>
      <c r="J5" s="87" t="b">
        <v>0</v>
      </c>
      <c r="K5" s="87" t="b">
        <v>0</v>
      </c>
      <c r="L5" s="87" t="b">
        <v>0</v>
      </c>
    </row>
    <row r="6" spans="1:12" ht="15">
      <c r="A6" s="84" t="s">
        <v>653</v>
      </c>
      <c r="B6" s="87" t="s">
        <v>657</v>
      </c>
      <c r="C6" s="87">
        <v>4</v>
      </c>
      <c r="D6" s="131">
        <v>0.006671024834658863</v>
      </c>
      <c r="E6" s="131">
        <v>1.9357591037453117</v>
      </c>
      <c r="F6" s="87" t="s">
        <v>722</v>
      </c>
      <c r="G6" s="87" t="b">
        <v>0</v>
      </c>
      <c r="H6" s="87" t="b">
        <v>0</v>
      </c>
      <c r="I6" s="87" t="b">
        <v>0</v>
      </c>
      <c r="J6" s="87" t="b">
        <v>0</v>
      </c>
      <c r="K6" s="87" t="b">
        <v>0</v>
      </c>
      <c r="L6" s="87" t="b">
        <v>0</v>
      </c>
    </row>
    <row r="7" spans="1:12" ht="15">
      <c r="A7" s="84" t="s">
        <v>662</v>
      </c>
      <c r="B7" s="87" t="s">
        <v>636</v>
      </c>
      <c r="C7" s="87">
        <v>4</v>
      </c>
      <c r="D7" s="131">
        <v>0.006671024834658863</v>
      </c>
      <c r="E7" s="131">
        <v>1.5378190950732742</v>
      </c>
      <c r="F7" s="87" t="s">
        <v>722</v>
      </c>
      <c r="G7" s="87" t="b">
        <v>0</v>
      </c>
      <c r="H7" s="87" t="b">
        <v>0</v>
      </c>
      <c r="I7" s="87" t="b">
        <v>0</v>
      </c>
      <c r="J7" s="87" t="b">
        <v>0</v>
      </c>
      <c r="K7" s="87" t="b">
        <v>0</v>
      </c>
      <c r="L7" s="87" t="b">
        <v>0</v>
      </c>
    </row>
    <row r="8" spans="1:12" ht="15">
      <c r="A8" s="84" t="s">
        <v>654</v>
      </c>
      <c r="B8" s="87" t="s">
        <v>639</v>
      </c>
      <c r="C8" s="87">
        <v>4</v>
      </c>
      <c r="D8" s="131">
        <v>0.006671024834658863</v>
      </c>
      <c r="E8" s="131">
        <v>1.7596678446896306</v>
      </c>
      <c r="F8" s="87" t="s">
        <v>722</v>
      </c>
      <c r="G8" s="87" t="b">
        <v>0</v>
      </c>
      <c r="H8" s="87" t="b">
        <v>0</v>
      </c>
      <c r="I8" s="87" t="b">
        <v>0</v>
      </c>
      <c r="J8" s="87" t="b">
        <v>0</v>
      </c>
      <c r="K8" s="87" t="b">
        <v>0</v>
      </c>
      <c r="L8" s="87" t="b">
        <v>0</v>
      </c>
    </row>
    <row r="9" spans="1:12" ht="15">
      <c r="A9" s="84" t="s">
        <v>640</v>
      </c>
      <c r="B9" s="87" t="s">
        <v>658</v>
      </c>
      <c r="C9" s="87">
        <v>4</v>
      </c>
      <c r="D9" s="131">
        <v>0.006671024834658863</v>
      </c>
      <c r="E9" s="131">
        <v>1.7596678446896306</v>
      </c>
      <c r="F9" s="87" t="s">
        <v>722</v>
      </c>
      <c r="G9" s="87" t="b">
        <v>0</v>
      </c>
      <c r="H9" s="87" t="b">
        <v>0</v>
      </c>
      <c r="I9" s="87" t="b">
        <v>0</v>
      </c>
      <c r="J9" s="87" t="b">
        <v>0</v>
      </c>
      <c r="K9" s="87" t="b">
        <v>0</v>
      </c>
      <c r="L9" s="87" t="b">
        <v>0</v>
      </c>
    </row>
    <row r="10" spans="1:12" ht="15">
      <c r="A10" s="84" t="s">
        <v>642</v>
      </c>
      <c r="B10" s="87" t="s">
        <v>640</v>
      </c>
      <c r="C10" s="87">
        <v>4</v>
      </c>
      <c r="D10" s="131">
        <v>0.006671024834658863</v>
      </c>
      <c r="E10" s="131">
        <v>1.662757831681574</v>
      </c>
      <c r="F10" s="87" t="s">
        <v>722</v>
      </c>
      <c r="G10" s="87" t="b">
        <v>0</v>
      </c>
      <c r="H10" s="87" t="b">
        <v>0</v>
      </c>
      <c r="I10" s="87" t="b">
        <v>0</v>
      </c>
      <c r="J10" s="87" t="b">
        <v>0</v>
      </c>
      <c r="K10" s="87" t="b">
        <v>0</v>
      </c>
      <c r="L10" s="87" t="b">
        <v>0</v>
      </c>
    </row>
    <row r="11" spans="1:12" ht="15">
      <c r="A11" s="84" t="s">
        <v>637</v>
      </c>
      <c r="B11" s="87" t="s">
        <v>635</v>
      </c>
      <c r="C11" s="87">
        <v>4</v>
      </c>
      <c r="D11" s="131">
        <v>0.006671024834658863</v>
      </c>
      <c r="E11" s="131">
        <v>0.9937510507229985</v>
      </c>
      <c r="F11" s="87" t="s">
        <v>722</v>
      </c>
      <c r="G11" s="87" t="b">
        <v>0</v>
      </c>
      <c r="H11" s="87" t="b">
        <v>0</v>
      </c>
      <c r="I11" s="87" t="b">
        <v>0</v>
      </c>
      <c r="J11" s="87" t="b">
        <v>0</v>
      </c>
      <c r="K11" s="87" t="b">
        <v>0</v>
      </c>
      <c r="L11" s="87" t="b">
        <v>0</v>
      </c>
    </row>
    <row r="12" spans="1:12" ht="15">
      <c r="A12" s="84" t="s">
        <v>647</v>
      </c>
      <c r="B12" s="87" t="s">
        <v>649</v>
      </c>
      <c r="C12" s="87">
        <v>4</v>
      </c>
      <c r="D12" s="131">
        <v>0.006671024834658863</v>
      </c>
      <c r="E12" s="131">
        <v>1.9357591037453117</v>
      </c>
      <c r="F12" s="87" t="s">
        <v>722</v>
      </c>
      <c r="G12" s="87" t="b">
        <v>0</v>
      </c>
      <c r="H12" s="87" t="b">
        <v>0</v>
      </c>
      <c r="I12" s="87" t="b">
        <v>0</v>
      </c>
      <c r="J12" s="87" t="b">
        <v>0</v>
      </c>
      <c r="K12" s="87" t="b">
        <v>0</v>
      </c>
      <c r="L12" s="87" t="b">
        <v>0</v>
      </c>
    </row>
    <row r="13" spans="1:12" ht="15">
      <c r="A13" s="84" t="s">
        <v>652</v>
      </c>
      <c r="B13" s="87" t="s">
        <v>644</v>
      </c>
      <c r="C13" s="87">
        <v>4</v>
      </c>
      <c r="D13" s="131">
        <v>0.006671024834658863</v>
      </c>
      <c r="E13" s="131">
        <v>1.8388490907372552</v>
      </c>
      <c r="F13" s="87" t="s">
        <v>722</v>
      </c>
      <c r="G13" s="87" t="b">
        <v>0</v>
      </c>
      <c r="H13" s="87" t="b">
        <v>0</v>
      </c>
      <c r="I13" s="87" t="b">
        <v>0</v>
      </c>
      <c r="J13" s="87" t="b">
        <v>0</v>
      </c>
      <c r="K13" s="87" t="b">
        <v>0</v>
      </c>
      <c r="L13" s="87" t="b">
        <v>0</v>
      </c>
    </row>
    <row r="14" spans="1:12" ht="15">
      <c r="A14" s="84" t="s">
        <v>639</v>
      </c>
      <c r="B14" s="87" t="s">
        <v>659</v>
      </c>
      <c r="C14" s="87">
        <v>4</v>
      </c>
      <c r="D14" s="131">
        <v>0.006671024834658863</v>
      </c>
      <c r="E14" s="131">
        <v>1.7596678446896306</v>
      </c>
      <c r="F14" s="87" t="s">
        <v>722</v>
      </c>
      <c r="G14" s="87" t="b">
        <v>0</v>
      </c>
      <c r="H14" s="87" t="b">
        <v>0</v>
      </c>
      <c r="I14" s="87" t="b">
        <v>0</v>
      </c>
      <c r="J14" s="87" t="b">
        <v>0</v>
      </c>
      <c r="K14" s="87" t="b">
        <v>0</v>
      </c>
      <c r="L14" s="87" t="b">
        <v>0</v>
      </c>
    </row>
    <row r="15" spans="1:12" ht="15">
      <c r="A15" s="84" t="s">
        <v>249</v>
      </c>
      <c r="B15" s="87" t="s">
        <v>250</v>
      </c>
      <c r="C15" s="87">
        <v>4</v>
      </c>
      <c r="D15" s="131">
        <v>0.006671024834658863</v>
      </c>
      <c r="E15" s="131">
        <v>1.8388490907372552</v>
      </c>
      <c r="F15" s="87" t="s">
        <v>722</v>
      </c>
      <c r="G15" s="87" t="b">
        <v>0</v>
      </c>
      <c r="H15" s="87" t="b">
        <v>0</v>
      </c>
      <c r="I15" s="87" t="b">
        <v>0</v>
      </c>
      <c r="J15" s="87" t="b">
        <v>0</v>
      </c>
      <c r="K15" s="87" t="b">
        <v>0</v>
      </c>
      <c r="L15" s="87" t="b">
        <v>0</v>
      </c>
    </row>
    <row r="16" spans="1:12" ht="15">
      <c r="A16" s="84" t="s">
        <v>660</v>
      </c>
      <c r="B16" s="87" t="s">
        <v>662</v>
      </c>
      <c r="C16" s="87">
        <v>4</v>
      </c>
      <c r="D16" s="131">
        <v>0.006671024834658863</v>
      </c>
      <c r="E16" s="131">
        <v>1.9357591037453117</v>
      </c>
      <c r="F16" s="87" t="s">
        <v>722</v>
      </c>
      <c r="G16" s="87" t="b">
        <v>0</v>
      </c>
      <c r="H16" s="87" t="b">
        <v>0</v>
      </c>
      <c r="I16" s="87" t="b">
        <v>0</v>
      </c>
      <c r="J16" s="87" t="b">
        <v>0</v>
      </c>
      <c r="K16" s="87" t="b">
        <v>0</v>
      </c>
      <c r="L16" s="87" t="b">
        <v>0</v>
      </c>
    </row>
    <row r="17" spans="1:12" ht="15">
      <c r="A17" s="84" t="s">
        <v>659</v>
      </c>
      <c r="B17" s="87" t="s">
        <v>660</v>
      </c>
      <c r="C17" s="87">
        <v>4</v>
      </c>
      <c r="D17" s="131">
        <v>0.006671024834658863</v>
      </c>
      <c r="E17" s="131">
        <v>1.9357591037453117</v>
      </c>
      <c r="F17" s="87" t="s">
        <v>722</v>
      </c>
      <c r="G17" s="87" t="b">
        <v>0</v>
      </c>
      <c r="H17" s="87" t="b">
        <v>0</v>
      </c>
      <c r="I17" s="87" t="b">
        <v>0</v>
      </c>
      <c r="J17" s="87" t="b">
        <v>0</v>
      </c>
      <c r="K17" s="87" t="b">
        <v>0</v>
      </c>
      <c r="L17" s="87" t="b">
        <v>0</v>
      </c>
    </row>
    <row r="18" spans="1:12" ht="15">
      <c r="A18" s="84" t="s">
        <v>657</v>
      </c>
      <c r="B18" s="87" t="s">
        <v>249</v>
      </c>
      <c r="C18" s="87">
        <v>4</v>
      </c>
      <c r="D18" s="131">
        <v>0.006671024834658863</v>
      </c>
      <c r="E18" s="131">
        <v>1.8388490907372552</v>
      </c>
      <c r="F18" s="87" t="s">
        <v>722</v>
      </c>
      <c r="G18" s="87" t="b">
        <v>0</v>
      </c>
      <c r="H18" s="87" t="b">
        <v>0</v>
      </c>
      <c r="I18" s="87" t="b">
        <v>0</v>
      </c>
      <c r="J18" s="87" t="b">
        <v>0</v>
      </c>
      <c r="K18" s="87" t="b">
        <v>0</v>
      </c>
      <c r="L18" s="87" t="b">
        <v>0</v>
      </c>
    </row>
    <row r="19" spans="1:12" ht="15">
      <c r="A19" s="84" t="s">
        <v>641</v>
      </c>
      <c r="B19" s="87" t="s">
        <v>653</v>
      </c>
      <c r="C19" s="87">
        <v>4</v>
      </c>
      <c r="D19" s="131">
        <v>0.006671024834658863</v>
      </c>
      <c r="E19" s="131">
        <v>1.7596678446896306</v>
      </c>
      <c r="F19" s="87" t="s">
        <v>722</v>
      </c>
      <c r="G19" s="87" t="b">
        <v>0</v>
      </c>
      <c r="H19" s="87" t="b">
        <v>0</v>
      </c>
      <c r="I19" s="87" t="b">
        <v>0</v>
      </c>
      <c r="J19" s="87" t="b">
        <v>0</v>
      </c>
      <c r="K19" s="87" t="b">
        <v>0</v>
      </c>
      <c r="L19" s="87" t="b">
        <v>0</v>
      </c>
    </row>
    <row r="20" spans="1:12" ht="15">
      <c r="A20" s="84" t="s">
        <v>661</v>
      </c>
      <c r="B20" s="87" t="s">
        <v>647</v>
      </c>
      <c r="C20" s="87">
        <v>4</v>
      </c>
      <c r="D20" s="131">
        <v>0.006671024834658863</v>
      </c>
      <c r="E20" s="131">
        <v>1.9357591037453117</v>
      </c>
      <c r="F20" s="87" t="s">
        <v>722</v>
      </c>
      <c r="G20" s="87" t="b">
        <v>0</v>
      </c>
      <c r="H20" s="87" t="b">
        <v>0</v>
      </c>
      <c r="I20" s="87" t="b">
        <v>0</v>
      </c>
      <c r="J20" s="87" t="b">
        <v>0</v>
      </c>
      <c r="K20" s="87" t="b">
        <v>0</v>
      </c>
      <c r="L20" s="87" t="b">
        <v>0</v>
      </c>
    </row>
    <row r="21" spans="1:12" ht="15">
      <c r="A21" s="84" t="s">
        <v>658</v>
      </c>
      <c r="B21" s="87" t="s">
        <v>661</v>
      </c>
      <c r="C21" s="87">
        <v>4</v>
      </c>
      <c r="D21" s="131">
        <v>0.006671024834658863</v>
      </c>
      <c r="E21" s="131">
        <v>1.9357591037453117</v>
      </c>
      <c r="F21" s="87" t="s">
        <v>722</v>
      </c>
      <c r="G21" s="87" t="b">
        <v>0</v>
      </c>
      <c r="H21" s="87" t="b">
        <v>0</v>
      </c>
      <c r="I21" s="87" t="b">
        <v>0</v>
      </c>
      <c r="J21" s="87" t="b">
        <v>0</v>
      </c>
      <c r="K21" s="87" t="b">
        <v>0</v>
      </c>
      <c r="L21" s="87" t="b">
        <v>0</v>
      </c>
    </row>
    <row r="22" spans="1:12" ht="15">
      <c r="A22" s="84" t="s">
        <v>649</v>
      </c>
      <c r="B22" s="87" t="s">
        <v>655</v>
      </c>
      <c r="C22" s="87">
        <v>4</v>
      </c>
      <c r="D22" s="131">
        <v>0.006671024834658863</v>
      </c>
      <c r="E22" s="131">
        <v>1.9357591037453117</v>
      </c>
      <c r="F22" s="87" t="s">
        <v>722</v>
      </c>
      <c r="G22" s="87" t="b">
        <v>0</v>
      </c>
      <c r="H22" s="87" t="b">
        <v>0</v>
      </c>
      <c r="I22" s="87" t="b">
        <v>0</v>
      </c>
      <c r="J22" s="87" t="b">
        <v>0</v>
      </c>
      <c r="K22" s="87" t="b">
        <v>0</v>
      </c>
      <c r="L22" s="87" t="b">
        <v>0</v>
      </c>
    </row>
    <row r="23" spans="1:12" ht="15">
      <c r="A23" s="84" t="s">
        <v>635</v>
      </c>
      <c r="B23" s="87" t="s">
        <v>652</v>
      </c>
      <c r="C23" s="87">
        <v>4</v>
      </c>
      <c r="D23" s="131">
        <v>0.006671024834658863</v>
      </c>
      <c r="E23" s="131">
        <v>1.496426409915049</v>
      </c>
      <c r="F23" s="87" t="s">
        <v>722</v>
      </c>
      <c r="G23" s="87" t="b">
        <v>0</v>
      </c>
      <c r="H23" s="87" t="b">
        <v>0</v>
      </c>
      <c r="I23" s="87" t="b">
        <v>0</v>
      </c>
      <c r="J23" s="87" t="b">
        <v>0</v>
      </c>
      <c r="K23" s="87" t="b">
        <v>0</v>
      </c>
      <c r="L23" s="87" t="b">
        <v>0</v>
      </c>
    </row>
    <row r="24" spans="1:12" ht="15">
      <c r="A24" s="84" t="s">
        <v>650</v>
      </c>
      <c r="B24" s="87" t="s">
        <v>654</v>
      </c>
      <c r="C24" s="87">
        <v>4</v>
      </c>
      <c r="D24" s="131">
        <v>0.006671024834658863</v>
      </c>
      <c r="E24" s="131">
        <v>1.9357591037453117</v>
      </c>
      <c r="F24" s="87" t="s">
        <v>722</v>
      </c>
      <c r="G24" s="87" t="b">
        <v>0</v>
      </c>
      <c r="H24" s="87" t="b">
        <v>0</v>
      </c>
      <c r="I24" s="87" t="b">
        <v>0</v>
      </c>
      <c r="J24" s="87" t="b">
        <v>0</v>
      </c>
      <c r="K24" s="87" t="b">
        <v>0</v>
      </c>
      <c r="L24" s="87" t="b">
        <v>0</v>
      </c>
    </row>
    <row r="25" spans="1:12" ht="15">
      <c r="A25" s="84" t="s">
        <v>646</v>
      </c>
      <c r="B25" s="87" t="s">
        <v>637</v>
      </c>
      <c r="C25" s="87">
        <v>3</v>
      </c>
      <c r="D25" s="131">
        <v>0.006041540675370601</v>
      </c>
      <c r="E25" s="131">
        <v>1.4586378490256493</v>
      </c>
      <c r="F25" s="87" t="s">
        <v>722</v>
      </c>
      <c r="G25" s="87" t="b">
        <v>0</v>
      </c>
      <c r="H25" s="87" t="b">
        <v>0</v>
      </c>
      <c r="I25" s="87" t="b">
        <v>0</v>
      </c>
      <c r="J25" s="87" t="b">
        <v>0</v>
      </c>
      <c r="K25" s="87" t="b">
        <v>0</v>
      </c>
      <c r="L25" s="87" t="b">
        <v>0</v>
      </c>
    </row>
    <row r="26" spans="1:12" ht="15">
      <c r="A26" s="84" t="s">
        <v>668</v>
      </c>
      <c r="B26" s="87" t="s">
        <v>666</v>
      </c>
      <c r="C26" s="87">
        <v>3</v>
      </c>
      <c r="D26" s="131">
        <v>0.006041540675370601</v>
      </c>
      <c r="E26" s="131">
        <v>2.060697840353612</v>
      </c>
      <c r="F26" s="87" t="s">
        <v>722</v>
      </c>
      <c r="G26" s="87" t="b">
        <v>0</v>
      </c>
      <c r="H26" s="87" t="b">
        <v>0</v>
      </c>
      <c r="I26" s="87" t="b">
        <v>0</v>
      </c>
      <c r="J26" s="87" t="b">
        <v>0</v>
      </c>
      <c r="K26" s="87" t="b">
        <v>0</v>
      </c>
      <c r="L26" s="87" t="b">
        <v>0</v>
      </c>
    </row>
    <row r="27" spans="1:12" ht="15">
      <c r="A27" s="84" t="s">
        <v>706</v>
      </c>
      <c r="B27" s="87" t="s">
        <v>688</v>
      </c>
      <c r="C27" s="87">
        <v>2</v>
      </c>
      <c r="D27" s="131">
        <v>0.005003268625994147</v>
      </c>
      <c r="E27" s="131">
        <v>2.2367890994092927</v>
      </c>
      <c r="F27" s="87" t="s">
        <v>722</v>
      </c>
      <c r="G27" s="87" t="b">
        <v>0</v>
      </c>
      <c r="H27" s="87" t="b">
        <v>0</v>
      </c>
      <c r="I27" s="87" t="b">
        <v>0</v>
      </c>
      <c r="J27" s="87" t="b">
        <v>0</v>
      </c>
      <c r="K27" s="87" t="b">
        <v>0</v>
      </c>
      <c r="L27" s="87" t="b">
        <v>0</v>
      </c>
    </row>
    <row r="28" spans="1:12" ht="15">
      <c r="A28" s="84" t="s">
        <v>691</v>
      </c>
      <c r="B28" s="87" t="s">
        <v>706</v>
      </c>
      <c r="C28" s="87">
        <v>2</v>
      </c>
      <c r="D28" s="131">
        <v>0.005003268625994147</v>
      </c>
      <c r="E28" s="131">
        <v>2.2367890994092927</v>
      </c>
      <c r="F28" s="87" t="s">
        <v>722</v>
      </c>
      <c r="G28" s="87" t="b">
        <v>0</v>
      </c>
      <c r="H28" s="87" t="b">
        <v>0</v>
      </c>
      <c r="I28" s="87" t="b">
        <v>0</v>
      </c>
      <c r="J28" s="87" t="b">
        <v>0</v>
      </c>
      <c r="K28" s="87" t="b">
        <v>0</v>
      </c>
      <c r="L28" s="87" t="b">
        <v>0</v>
      </c>
    </row>
    <row r="29" spans="1:12" ht="15">
      <c r="A29" s="84" t="s">
        <v>666</v>
      </c>
      <c r="B29" s="87" t="s">
        <v>648</v>
      </c>
      <c r="C29" s="87">
        <v>2</v>
      </c>
      <c r="D29" s="131">
        <v>0.005003268625994147</v>
      </c>
      <c r="E29" s="131">
        <v>1.7596678446896306</v>
      </c>
      <c r="F29" s="87" t="s">
        <v>722</v>
      </c>
      <c r="G29" s="87" t="b">
        <v>0</v>
      </c>
      <c r="H29" s="87" t="b">
        <v>0</v>
      </c>
      <c r="I29" s="87" t="b">
        <v>0</v>
      </c>
      <c r="J29" s="87" t="b">
        <v>0</v>
      </c>
      <c r="K29" s="87" t="b">
        <v>0</v>
      </c>
      <c r="L29" s="87" t="b">
        <v>0</v>
      </c>
    </row>
    <row r="30" spans="1:12" ht="15">
      <c r="A30" s="84" t="s">
        <v>651</v>
      </c>
      <c r="B30" s="87" t="s">
        <v>698</v>
      </c>
      <c r="C30" s="87">
        <v>2</v>
      </c>
      <c r="D30" s="131">
        <v>0.005003268625994147</v>
      </c>
      <c r="E30" s="131">
        <v>2.2367890994092927</v>
      </c>
      <c r="F30" s="87" t="s">
        <v>722</v>
      </c>
      <c r="G30" s="87" t="b">
        <v>1</v>
      </c>
      <c r="H30" s="87" t="b">
        <v>0</v>
      </c>
      <c r="I30" s="87" t="b">
        <v>0</v>
      </c>
      <c r="J30" s="87" t="b">
        <v>0</v>
      </c>
      <c r="K30" s="87" t="b">
        <v>0</v>
      </c>
      <c r="L30" s="87" t="b">
        <v>0</v>
      </c>
    </row>
    <row r="31" spans="1:12" ht="15">
      <c r="A31" s="84" t="s">
        <v>693</v>
      </c>
      <c r="B31" s="87" t="s">
        <v>681</v>
      </c>
      <c r="C31" s="87">
        <v>2</v>
      </c>
      <c r="D31" s="131">
        <v>0.005003268625994147</v>
      </c>
      <c r="E31" s="131">
        <v>2.2367890994092927</v>
      </c>
      <c r="F31" s="87" t="s">
        <v>722</v>
      </c>
      <c r="G31" s="87" t="b">
        <v>1</v>
      </c>
      <c r="H31" s="87" t="b">
        <v>0</v>
      </c>
      <c r="I31" s="87" t="b">
        <v>0</v>
      </c>
      <c r="J31" s="87" t="b">
        <v>0</v>
      </c>
      <c r="K31" s="87" t="b">
        <v>0</v>
      </c>
      <c r="L31" s="87" t="b">
        <v>0</v>
      </c>
    </row>
    <row r="32" spans="1:12" ht="15">
      <c r="A32" s="84" t="s">
        <v>697</v>
      </c>
      <c r="B32" s="87" t="s">
        <v>656</v>
      </c>
      <c r="C32" s="87">
        <v>2</v>
      </c>
      <c r="D32" s="131">
        <v>0.005003268625994147</v>
      </c>
      <c r="E32" s="131">
        <v>1.9357591037453117</v>
      </c>
      <c r="F32" s="87" t="s">
        <v>722</v>
      </c>
      <c r="G32" s="87" t="b">
        <v>0</v>
      </c>
      <c r="H32" s="87" t="b">
        <v>0</v>
      </c>
      <c r="I32" s="87" t="b">
        <v>0</v>
      </c>
      <c r="J32" s="87" t="b">
        <v>0</v>
      </c>
      <c r="K32" s="87" t="b">
        <v>0</v>
      </c>
      <c r="L32" s="87" t="b">
        <v>0</v>
      </c>
    </row>
    <row r="33" spans="1:12" ht="15">
      <c r="A33" s="84" t="s">
        <v>648</v>
      </c>
      <c r="B33" s="87" t="s">
        <v>702</v>
      </c>
      <c r="C33" s="87">
        <v>2</v>
      </c>
      <c r="D33" s="131">
        <v>0.005003268625994147</v>
      </c>
      <c r="E33" s="131">
        <v>1.9357591037453117</v>
      </c>
      <c r="F33" s="87" t="s">
        <v>722</v>
      </c>
      <c r="G33" s="87" t="b">
        <v>0</v>
      </c>
      <c r="H33" s="87" t="b">
        <v>0</v>
      </c>
      <c r="I33" s="87" t="b">
        <v>0</v>
      </c>
      <c r="J33" s="87" t="b">
        <v>0</v>
      </c>
      <c r="K33" s="87" t="b">
        <v>0</v>
      </c>
      <c r="L33" s="87" t="b">
        <v>0</v>
      </c>
    </row>
    <row r="34" spans="1:12" ht="15">
      <c r="A34" s="84" t="s">
        <v>707</v>
      </c>
      <c r="B34" s="87" t="s">
        <v>715</v>
      </c>
      <c r="C34" s="87">
        <v>2</v>
      </c>
      <c r="D34" s="131">
        <v>0.005003268625994147</v>
      </c>
      <c r="E34" s="131">
        <v>2.2367890994092927</v>
      </c>
      <c r="F34" s="87" t="s">
        <v>722</v>
      </c>
      <c r="G34" s="87" t="b">
        <v>0</v>
      </c>
      <c r="H34" s="87" t="b">
        <v>0</v>
      </c>
      <c r="I34" s="87" t="b">
        <v>0</v>
      </c>
      <c r="J34" s="87" t="b">
        <v>0</v>
      </c>
      <c r="K34" s="87" t="b">
        <v>0</v>
      </c>
      <c r="L34" s="87" t="b">
        <v>0</v>
      </c>
    </row>
    <row r="35" spans="1:12" ht="15">
      <c r="A35" s="84" t="s">
        <v>703</v>
      </c>
      <c r="B35" s="87" t="s">
        <v>704</v>
      </c>
      <c r="C35" s="87">
        <v>2</v>
      </c>
      <c r="D35" s="131">
        <v>0.005003268625994147</v>
      </c>
      <c r="E35" s="131">
        <v>2.2367890994092927</v>
      </c>
      <c r="F35" s="87" t="s">
        <v>722</v>
      </c>
      <c r="G35" s="87" t="b">
        <v>0</v>
      </c>
      <c r="H35" s="87" t="b">
        <v>0</v>
      </c>
      <c r="I35" s="87" t="b">
        <v>0</v>
      </c>
      <c r="J35" s="87" t="b">
        <v>0</v>
      </c>
      <c r="K35" s="87" t="b">
        <v>0</v>
      </c>
      <c r="L35" s="87" t="b">
        <v>0</v>
      </c>
    </row>
    <row r="36" spans="1:12" ht="15">
      <c r="A36" s="84" t="s">
        <v>663</v>
      </c>
      <c r="B36" s="87" t="s">
        <v>707</v>
      </c>
      <c r="C36" s="87">
        <v>2</v>
      </c>
      <c r="D36" s="131">
        <v>0.005003268625994147</v>
      </c>
      <c r="E36" s="131">
        <v>2.060697840353612</v>
      </c>
      <c r="F36" s="87" t="s">
        <v>722</v>
      </c>
      <c r="G36" s="87" t="b">
        <v>0</v>
      </c>
      <c r="H36" s="87" t="b">
        <v>0</v>
      </c>
      <c r="I36" s="87" t="b">
        <v>0</v>
      </c>
      <c r="J36" s="87" t="b">
        <v>0</v>
      </c>
      <c r="K36" s="87" t="b">
        <v>0</v>
      </c>
      <c r="L36" s="87" t="b">
        <v>0</v>
      </c>
    </row>
    <row r="37" spans="1:12" ht="15">
      <c r="A37" s="84" t="s">
        <v>692</v>
      </c>
      <c r="B37" s="87" t="s">
        <v>667</v>
      </c>
      <c r="C37" s="87">
        <v>2</v>
      </c>
      <c r="D37" s="131">
        <v>0.005003268625994147</v>
      </c>
      <c r="E37" s="131">
        <v>2.060697840353612</v>
      </c>
      <c r="F37" s="87" t="s">
        <v>722</v>
      </c>
      <c r="G37" s="87" t="b">
        <v>0</v>
      </c>
      <c r="H37" s="87" t="b">
        <v>0</v>
      </c>
      <c r="I37" s="87" t="b">
        <v>0</v>
      </c>
      <c r="J37" s="87" t="b">
        <v>0</v>
      </c>
      <c r="K37" s="87" t="b">
        <v>0</v>
      </c>
      <c r="L37" s="87" t="b">
        <v>0</v>
      </c>
    </row>
    <row r="38" spans="1:12" ht="15">
      <c r="A38" s="84" t="s">
        <v>683</v>
      </c>
      <c r="B38" s="87" t="s">
        <v>679</v>
      </c>
      <c r="C38" s="87">
        <v>2</v>
      </c>
      <c r="D38" s="131">
        <v>0.005003268625994147</v>
      </c>
      <c r="E38" s="131">
        <v>2.2367890994092927</v>
      </c>
      <c r="F38" s="87" t="s">
        <v>722</v>
      </c>
      <c r="G38" s="87" t="b">
        <v>0</v>
      </c>
      <c r="H38" s="87" t="b">
        <v>0</v>
      </c>
      <c r="I38" s="87" t="b">
        <v>0</v>
      </c>
      <c r="J38" s="87" t="b">
        <v>0</v>
      </c>
      <c r="K38" s="87" t="b">
        <v>0</v>
      </c>
      <c r="L38" s="87" t="b">
        <v>0</v>
      </c>
    </row>
    <row r="39" spans="1:12" ht="15">
      <c r="A39" s="84" t="s">
        <v>638</v>
      </c>
      <c r="B39" s="87" t="s">
        <v>694</v>
      </c>
      <c r="C39" s="87">
        <v>2</v>
      </c>
      <c r="D39" s="131">
        <v>0.005003268625994147</v>
      </c>
      <c r="E39" s="131">
        <v>1.7596678446896306</v>
      </c>
      <c r="F39" s="87" t="s">
        <v>722</v>
      </c>
      <c r="G39" s="87" t="b">
        <v>0</v>
      </c>
      <c r="H39" s="87" t="b">
        <v>0</v>
      </c>
      <c r="I39" s="87" t="b">
        <v>0</v>
      </c>
      <c r="J39" s="87" t="b">
        <v>0</v>
      </c>
      <c r="K39" s="87" t="b">
        <v>0</v>
      </c>
      <c r="L39" s="87" t="b">
        <v>0</v>
      </c>
    </row>
    <row r="40" spans="1:12" ht="15">
      <c r="A40" s="84" t="s">
        <v>251</v>
      </c>
      <c r="B40" s="87" t="s">
        <v>686</v>
      </c>
      <c r="C40" s="87">
        <v>2</v>
      </c>
      <c r="D40" s="131">
        <v>0.005003268625994147</v>
      </c>
      <c r="E40" s="131">
        <v>2.2367890994092927</v>
      </c>
      <c r="F40" s="87" t="s">
        <v>722</v>
      </c>
      <c r="G40" s="87" t="b">
        <v>0</v>
      </c>
      <c r="H40" s="87" t="b">
        <v>0</v>
      </c>
      <c r="I40" s="87" t="b">
        <v>0</v>
      </c>
      <c r="J40" s="87" t="b">
        <v>0</v>
      </c>
      <c r="K40" s="87" t="b">
        <v>0</v>
      </c>
      <c r="L40" s="87" t="b">
        <v>0</v>
      </c>
    </row>
    <row r="41" spans="1:12" ht="15">
      <c r="A41" s="84" t="s">
        <v>705</v>
      </c>
      <c r="B41" s="87" t="s">
        <v>693</v>
      </c>
      <c r="C41" s="87">
        <v>2</v>
      </c>
      <c r="D41" s="131">
        <v>0.005003268625994147</v>
      </c>
      <c r="E41" s="131">
        <v>2.2367890994092927</v>
      </c>
      <c r="F41" s="87" t="s">
        <v>722</v>
      </c>
      <c r="G41" s="87" t="b">
        <v>0</v>
      </c>
      <c r="H41" s="87" t="b">
        <v>0</v>
      </c>
      <c r="I41" s="87" t="b">
        <v>0</v>
      </c>
      <c r="J41" s="87" t="b">
        <v>1</v>
      </c>
      <c r="K41" s="87" t="b">
        <v>0</v>
      </c>
      <c r="L41" s="87" t="b">
        <v>0</v>
      </c>
    </row>
    <row r="42" spans="1:12" ht="15">
      <c r="A42" s="84" t="s">
        <v>690</v>
      </c>
      <c r="B42" s="87" t="s">
        <v>673</v>
      </c>
      <c r="C42" s="87">
        <v>2</v>
      </c>
      <c r="D42" s="131">
        <v>0.005003268625994147</v>
      </c>
      <c r="E42" s="131">
        <v>2.2367890994092927</v>
      </c>
      <c r="F42" s="87" t="s">
        <v>722</v>
      </c>
      <c r="G42" s="87" t="b">
        <v>0</v>
      </c>
      <c r="H42" s="87" t="b">
        <v>0</v>
      </c>
      <c r="I42" s="87" t="b">
        <v>0</v>
      </c>
      <c r="J42" s="87" t="b">
        <v>0</v>
      </c>
      <c r="K42" s="87" t="b">
        <v>0</v>
      </c>
      <c r="L42" s="87" t="b">
        <v>0</v>
      </c>
    </row>
    <row r="43" spans="1:12" ht="15">
      <c r="A43" s="84" t="s">
        <v>710</v>
      </c>
      <c r="B43" s="87" t="s">
        <v>643</v>
      </c>
      <c r="C43" s="87">
        <v>2</v>
      </c>
      <c r="D43" s="131">
        <v>0.005003268625994147</v>
      </c>
      <c r="E43" s="131">
        <v>1.8388490907372552</v>
      </c>
      <c r="F43" s="87" t="s">
        <v>722</v>
      </c>
      <c r="G43" s="87" t="b">
        <v>0</v>
      </c>
      <c r="H43" s="87" t="b">
        <v>0</v>
      </c>
      <c r="I43" s="87" t="b">
        <v>0</v>
      </c>
      <c r="J43" s="87" t="b">
        <v>0</v>
      </c>
      <c r="K43" s="87" t="b">
        <v>0</v>
      </c>
      <c r="L43" s="87" t="b">
        <v>0</v>
      </c>
    </row>
    <row r="44" spans="1:12" ht="15">
      <c r="A44" s="84" t="s">
        <v>673</v>
      </c>
      <c r="B44" s="87" t="s">
        <v>675</v>
      </c>
      <c r="C44" s="87">
        <v>2</v>
      </c>
      <c r="D44" s="131">
        <v>0.005003268625994147</v>
      </c>
      <c r="E44" s="131">
        <v>2.2367890994092927</v>
      </c>
      <c r="F44" s="87" t="s">
        <v>722</v>
      </c>
      <c r="G44" s="87" t="b">
        <v>0</v>
      </c>
      <c r="H44" s="87" t="b">
        <v>0</v>
      </c>
      <c r="I44" s="87" t="b">
        <v>0</v>
      </c>
      <c r="J44" s="87" t="b">
        <v>0</v>
      </c>
      <c r="K44" s="87" t="b">
        <v>0</v>
      </c>
      <c r="L44" s="87" t="b">
        <v>0</v>
      </c>
    </row>
    <row r="45" spans="1:12" ht="15">
      <c r="A45" s="84" t="s">
        <v>694</v>
      </c>
      <c r="B45" s="87" t="s">
        <v>710</v>
      </c>
      <c r="C45" s="87">
        <v>2</v>
      </c>
      <c r="D45" s="131">
        <v>0.005003268625994147</v>
      </c>
      <c r="E45" s="131">
        <v>2.2367890994092927</v>
      </c>
      <c r="F45" s="87" t="s">
        <v>722</v>
      </c>
      <c r="G45" s="87" t="b">
        <v>0</v>
      </c>
      <c r="H45" s="87" t="b">
        <v>0</v>
      </c>
      <c r="I45" s="87" t="b">
        <v>0</v>
      </c>
      <c r="J45" s="87" t="b">
        <v>0</v>
      </c>
      <c r="K45" s="87" t="b">
        <v>0</v>
      </c>
      <c r="L45" s="87" t="b">
        <v>0</v>
      </c>
    </row>
    <row r="46" spans="1:12" ht="15">
      <c r="A46" s="84" t="s">
        <v>696</v>
      </c>
      <c r="B46" s="87" t="s">
        <v>685</v>
      </c>
      <c r="C46" s="87">
        <v>2</v>
      </c>
      <c r="D46" s="131">
        <v>0.005003268625994147</v>
      </c>
      <c r="E46" s="131">
        <v>2.2367890994092927</v>
      </c>
      <c r="F46" s="87" t="s">
        <v>722</v>
      </c>
      <c r="G46" s="87" t="b">
        <v>0</v>
      </c>
      <c r="H46" s="87" t="b">
        <v>0</v>
      </c>
      <c r="I46" s="87" t="b">
        <v>0</v>
      </c>
      <c r="J46" s="87" t="b">
        <v>0</v>
      </c>
      <c r="K46" s="87" t="b">
        <v>0</v>
      </c>
      <c r="L46" s="87" t="b">
        <v>0</v>
      </c>
    </row>
    <row r="47" spans="1:12" ht="15">
      <c r="A47" s="84" t="s">
        <v>685</v>
      </c>
      <c r="B47" s="87" t="s">
        <v>665</v>
      </c>
      <c r="C47" s="87">
        <v>2</v>
      </c>
      <c r="D47" s="131">
        <v>0.005003268625994147</v>
      </c>
      <c r="E47" s="131">
        <v>2.060697840353612</v>
      </c>
      <c r="F47" s="87" t="s">
        <v>722</v>
      </c>
      <c r="G47" s="87" t="b">
        <v>0</v>
      </c>
      <c r="H47" s="87" t="b">
        <v>0</v>
      </c>
      <c r="I47" s="87" t="b">
        <v>0</v>
      </c>
      <c r="J47" s="87" t="b">
        <v>0</v>
      </c>
      <c r="K47" s="87" t="b">
        <v>0</v>
      </c>
      <c r="L47" s="87" t="b">
        <v>0</v>
      </c>
    </row>
    <row r="48" spans="1:12" ht="15">
      <c r="A48" s="84" t="s">
        <v>688</v>
      </c>
      <c r="B48" s="87" t="s">
        <v>651</v>
      </c>
      <c r="C48" s="87">
        <v>2</v>
      </c>
      <c r="D48" s="131">
        <v>0.005003268625994147</v>
      </c>
      <c r="E48" s="131">
        <v>1.9357591037453117</v>
      </c>
      <c r="F48" s="87" t="s">
        <v>722</v>
      </c>
      <c r="G48" s="87" t="b">
        <v>0</v>
      </c>
      <c r="H48" s="87" t="b">
        <v>0</v>
      </c>
      <c r="I48" s="87" t="b">
        <v>0</v>
      </c>
      <c r="J48" s="87" t="b">
        <v>1</v>
      </c>
      <c r="K48" s="87" t="b">
        <v>0</v>
      </c>
      <c r="L48" s="87" t="b">
        <v>0</v>
      </c>
    </row>
    <row r="49" spans="1:12" ht="15">
      <c r="A49" s="84" t="s">
        <v>700</v>
      </c>
      <c r="B49" s="87" t="s">
        <v>691</v>
      </c>
      <c r="C49" s="87">
        <v>2</v>
      </c>
      <c r="D49" s="131">
        <v>0.005003268625994147</v>
      </c>
      <c r="E49" s="131">
        <v>2.2367890994092927</v>
      </c>
      <c r="F49" s="87" t="s">
        <v>722</v>
      </c>
      <c r="G49" s="87" t="b">
        <v>1</v>
      </c>
      <c r="H49" s="87" t="b">
        <v>0</v>
      </c>
      <c r="I49" s="87" t="b">
        <v>0</v>
      </c>
      <c r="J49" s="87" t="b">
        <v>0</v>
      </c>
      <c r="K49" s="87" t="b">
        <v>0</v>
      </c>
      <c r="L49" s="87" t="b">
        <v>0</v>
      </c>
    </row>
    <row r="50" spans="1:12" ht="15">
      <c r="A50" s="84" t="s">
        <v>679</v>
      </c>
      <c r="B50" s="87" t="s">
        <v>648</v>
      </c>
      <c r="C50" s="87">
        <v>2</v>
      </c>
      <c r="D50" s="131">
        <v>0.005003268625994147</v>
      </c>
      <c r="E50" s="131">
        <v>1.9357591037453117</v>
      </c>
      <c r="F50" s="87" t="s">
        <v>722</v>
      </c>
      <c r="G50" s="87" t="b">
        <v>0</v>
      </c>
      <c r="H50" s="87" t="b">
        <v>0</v>
      </c>
      <c r="I50" s="87" t="b">
        <v>0</v>
      </c>
      <c r="J50" s="87" t="b">
        <v>0</v>
      </c>
      <c r="K50" s="87" t="b">
        <v>0</v>
      </c>
      <c r="L50" s="87" t="b">
        <v>0</v>
      </c>
    </row>
    <row r="51" spans="1:12" ht="15">
      <c r="A51" s="84" t="s">
        <v>637</v>
      </c>
      <c r="B51" s="87" t="s">
        <v>696</v>
      </c>
      <c r="C51" s="87">
        <v>2</v>
      </c>
      <c r="D51" s="131">
        <v>0.005003268625994147</v>
      </c>
      <c r="E51" s="131">
        <v>1.5378190950732742</v>
      </c>
      <c r="F51" s="87" t="s">
        <v>722</v>
      </c>
      <c r="G51" s="87" t="b">
        <v>0</v>
      </c>
      <c r="H51" s="87" t="b">
        <v>0</v>
      </c>
      <c r="I51" s="87" t="b">
        <v>0</v>
      </c>
      <c r="J51" s="87" t="b">
        <v>0</v>
      </c>
      <c r="K51" s="87" t="b">
        <v>0</v>
      </c>
      <c r="L51" s="87" t="b">
        <v>0</v>
      </c>
    </row>
    <row r="52" spans="1:12" ht="15">
      <c r="A52" s="84" t="s">
        <v>638</v>
      </c>
      <c r="B52" s="87" t="s">
        <v>690</v>
      </c>
      <c r="C52" s="87">
        <v>2</v>
      </c>
      <c r="D52" s="131">
        <v>0.005003268625994147</v>
      </c>
      <c r="E52" s="131">
        <v>1.7596678446896306</v>
      </c>
      <c r="F52" s="87" t="s">
        <v>722</v>
      </c>
      <c r="G52" s="87" t="b">
        <v>0</v>
      </c>
      <c r="H52" s="87" t="b">
        <v>0</v>
      </c>
      <c r="I52" s="87" t="b">
        <v>0</v>
      </c>
      <c r="J52" s="87" t="b">
        <v>0</v>
      </c>
      <c r="K52" s="87" t="b">
        <v>0</v>
      </c>
      <c r="L52" s="87" t="b">
        <v>0</v>
      </c>
    </row>
    <row r="53" spans="1:12" ht="15">
      <c r="A53" s="84" t="s">
        <v>636</v>
      </c>
      <c r="B53" s="87" t="s">
        <v>683</v>
      </c>
      <c r="C53" s="87">
        <v>2</v>
      </c>
      <c r="D53" s="131">
        <v>0.005003268625994147</v>
      </c>
      <c r="E53" s="131">
        <v>1.496426409915049</v>
      </c>
      <c r="F53" s="87" t="s">
        <v>722</v>
      </c>
      <c r="G53" s="87" t="b">
        <v>0</v>
      </c>
      <c r="H53" s="87" t="b">
        <v>0</v>
      </c>
      <c r="I53" s="87" t="b">
        <v>0</v>
      </c>
      <c r="J53" s="87" t="b">
        <v>0</v>
      </c>
      <c r="K53" s="87" t="b">
        <v>0</v>
      </c>
      <c r="L53" s="87" t="b">
        <v>0</v>
      </c>
    </row>
    <row r="54" spans="1:12" ht="15">
      <c r="A54" s="84" t="s">
        <v>674</v>
      </c>
      <c r="B54" s="87" t="s">
        <v>651</v>
      </c>
      <c r="C54" s="87">
        <v>2</v>
      </c>
      <c r="D54" s="131">
        <v>0.005003268625994147</v>
      </c>
      <c r="E54" s="131">
        <v>1.9357591037453117</v>
      </c>
      <c r="F54" s="87" t="s">
        <v>722</v>
      </c>
      <c r="G54" s="87" t="b">
        <v>0</v>
      </c>
      <c r="H54" s="87" t="b">
        <v>0</v>
      </c>
      <c r="I54" s="87" t="b">
        <v>0</v>
      </c>
      <c r="J54" s="87" t="b">
        <v>1</v>
      </c>
      <c r="K54" s="87" t="b">
        <v>0</v>
      </c>
      <c r="L54" s="87" t="b">
        <v>0</v>
      </c>
    </row>
    <row r="55" spans="1:12" ht="15">
      <c r="A55" s="84" t="s">
        <v>671</v>
      </c>
      <c r="B55" s="87" t="s">
        <v>636</v>
      </c>
      <c r="C55" s="87">
        <v>2</v>
      </c>
      <c r="D55" s="131">
        <v>0.005003268625994147</v>
      </c>
      <c r="E55" s="131">
        <v>1.5378190950732742</v>
      </c>
      <c r="F55" s="87" t="s">
        <v>722</v>
      </c>
      <c r="G55" s="87" t="b">
        <v>0</v>
      </c>
      <c r="H55" s="87" t="b">
        <v>0</v>
      </c>
      <c r="I55" s="87" t="b">
        <v>0</v>
      </c>
      <c r="J55" s="87" t="b">
        <v>0</v>
      </c>
      <c r="K55" s="87" t="b">
        <v>0</v>
      </c>
      <c r="L55" s="87" t="b">
        <v>0</v>
      </c>
    </row>
    <row r="56" spans="1:12" ht="15">
      <c r="A56" s="84" t="s">
        <v>686</v>
      </c>
      <c r="B56" s="87" t="s">
        <v>663</v>
      </c>
      <c r="C56" s="87">
        <v>2</v>
      </c>
      <c r="D56" s="131">
        <v>0.005003268625994147</v>
      </c>
      <c r="E56" s="131">
        <v>2.060697840353612</v>
      </c>
      <c r="F56" s="87" t="s">
        <v>722</v>
      </c>
      <c r="G56" s="87" t="b">
        <v>0</v>
      </c>
      <c r="H56" s="87" t="b">
        <v>0</v>
      </c>
      <c r="I56" s="87" t="b">
        <v>0</v>
      </c>
      <c r="J56" s="87" t="b">
        <v>0</v>
      </c>
      <c r="K56" s="87" t="b">
        <v>0</v>
      </c>
      <c r="L56" s="87" t="b">
        <v>0</v>
      </c>
    </row>
    <row r="57" spans="1:12" ht="15">
      <c r="A57" s="84" t="s">
        <v>665</v>
      </c>
      <c r="B57" s="87" t="s">
        <v>674</v>
      </c>
      <c r="C57" s="87">
        <v>2</v>
      </c>
      <c r="D57" s="131">
        <v>0.005003268625994147</v>
      </c>
      <c r="E57" s="131">
        <v>2.060697840353612</v>
      </c>
      <c r="F57" s="87" t="s">
        <v>722</v>
      </c>
      <c r="G57" s="87" t="b">
        <v>0</v>
      </c>
      <c r="H57" s="87" t="b">
        <v>0</v>
      </c>
      <c r="I57" s="87" t="b">
        <v>0</v>
      </c>
      <c r="J57" s="87" t="b">
        <v>0</v>
      </c>
      <c r="K57" s="87" t="b">
        <v>0</v>
      </c>
      <c r="L57" s="87" t="b">
        <v>0</v>
      </c>
    </row>
    <row r="58" spans="1:12" ht="15">
      <c r="A58" s="84" t="s">
        <v>656</v>
      </c>
      <c r="B58" s="87" t="s">
        <v>709</v>
      </c>
      <c r="C58" s="87">
        <v>2</v>
      </c>
      <c r="D58" s="131">
        <v>0.005003268625994147</v>
      </c>
      <c r="E58" s="131">
        <v>1.9357591037453117</v>
      </c>
      <c r="F58" s="87" t="s">
        <v>722</v>
      </c>
      <c r="G58" s="87" t="b">
        <v>0</v>
      </c>
      <c r="H58" s="87" t="b">
        <v>0</v>
      </c>
      <c r="I58" s="87" t="b">
        <v>0</v>
      </c>
      <c r="J58" s="87" t="b">
        <v>0</v>
      </c>
      <c r="K58" s="87" t="b">
        <v>0</v>
      </c>
      <c r="L58" s="87" t="b">
        <v>0</v>
      </c>
    </row>
    <row r="59" spans="1:12" ht="15">
      <c r="A59" s="84" t="s">
        <v>715</v>
      </c>
      <c r="B59" s="87" t="s">
        <v>699</v>
      </c>
      <c r="C59" s="87">
        <v>2</v>
      </c>
      <c r="D59" s="131">
        <v>0.005003268625994147</v>
      </c>
      <c r="E59" s="131">
        <v>2.2367890994092927</v>
      </c>
      <c r="F59" s="87" t="s">
        <v>722</v>
      </c>
      <c r="G59" s="87" t="b">
        <v>0</v>
      </c>
      <c r="H59" s="87" t="b">
        <v>0</v>
      </c>
      <c r="I59" s="87" t="b">
        <v>0</v>
      </c>
      <c r="J59" s="87" t="b">
        <v>0</v>
      </c>
      <c r="K59" s="87" t="b">
        <v>0</v>
      </c>
      <c r="L59" s="87" t="b">
        <v>0</v>
      </c>
    </row>
    <row r="60" spans="1:12" ht="15">
      <c r="A60" s="84" t="s">
        <v>699</v>
      </c>
      <c r="B60" s="87" t="s">
        <v>646</v>
      </c>
      <c r="C60" s="87">
        <v>2</v>
      </c>
      <c r="D60" s="131">
        <v>0.005003268625994147</v>
      </c>
      <c r="E60" s="131">
        <v>2.060697840353612</v>
      </c>
      <c r="F60" s="87" t="s">
        <v>722</v>
      </c>
      <c r="G60" s="87" t="b">
        <v>0</v>
      </c>
      <c r="H60" s="87" t="b">
        <v>0</v>
      </c>
      <c r="I60" s="87" t="b">
        <v>0</v>
      </c>
      <c r="J60" s="87" t="b">
        <v>0</v>
      </c>
      <c r="K60" s="87" t="b">
        <v>0</v>
      </c>
      <c r="L60" s="87" t="b">
        <v>0</v>
      </c>
    </row>
    <row r="61" spans="1:12" ht="15">
      <c r="A61" s="84" t="s">
        <v>714</v>
      </c>
      <c r="B61" s="87" t="s">
        <v>680</v>
      </c>
      <c r="C61" s="87">
        <v>2</v>
      </c>
      <c r="D61" s="131">
        <v>0.005003268625994147</v>
      </c>
      <c r="E61" s="131">
        <v>2.2367890994092927</v>
      </c>
      <c r="F61" s="87" t="s">
        <v>722</v>
      </c>
      <c r="G61" s="87" t="b">
        <v>0</v>
      </c>
      <c r="H61" s="87" t="b">
        <v>0</v>
      </c>
      <c r="I61" s="87" t="b">
        <v>0</v>
      </c>
      <c r="J61" s="87" t="b">
        <v>0</v>
      </c>
      <c r="K61" s="87" t="b">
        <v>0</v>
      </c>
      <c r="L61" s="87" t="b">
        <v>0</v>
      </c>
    </row>
    <row r="62" spans="1:12" ht="15">
      <c r="A62" s="84" t="s">
        <v>702</v>
      </c>
      <c r="B62" s="87" t="s">
        <v>643</v>
      </c>
      <c r="C62" s="87">
        <v>2</v>
      </c>
      <c r="D62" s="131">
        <v>0.005003268625994147</v>
      </c>
      <c r="E62" s="131">
        <v>1.8388490907372552</v>
      </c>
      <c r="F62" s="87" t="s">
        <v>722</v>
      </c>
      <c r="G62" s="87" t="b">
        <v>0</v>
      </c>
      <c r="H62" s="87" t="b">
        <v>0</v>
      </c>
      <c r="I62" s="87" t="b">
        <v>0</v>
      </c>
      <c r="J62" s="87" t="b">
        <v>0</v>
      </c>
      <c r="K62" s="87" t="b">
        <v>0</v>
      </c>
      <c r="L62" s="87" t="b">
        <v>0</v>
      </c>
    </row>
    <row r="63" spans="1:12" ht="15">
      <c r="A63" s="84" t="s">
        <v>716</v>
      </c>
      <c r="B63" s="87" t="s">
        <v>638</v>
      </c>
      <c r="C63" s="87">
        <v>2</v>
      </c>
      <c r="D63" s="131">
        <v>0.005003268625994147</v>
      </c>
      <c r="E63" s="131">
        <v>1.9357591037453117</v>
      </c>
      <c r="F63" s="87" t="s">
        <v>722</v>
      </c>
      <c r="G63" s="87" t="b">
        <v>0</v>
      </c>
      <c r="H63" s="87" t="b">
        <v>0</v>
      </c>
      <c r="I63" s="87" t="b">
        <v>0</v>
      </c>
      <c r="J63" s="87" t="b">
        <v>0</v>
      </c>
      <c r="K63" s="87" t="b">
        <v>0</v>
      </c>
      <c r="L63" s="87" t="b">
        <v>0</v>
      </c>
    </row>
    <row r="64" spans="1:12" ht="15">
      <c r="A64" s="84" t="s">
        <v>709</v>
      </c>
      <c r="B64" s="87" t="s">
        <v>251</v>
      </c>
      <c r="C64" s="87">
        <v>2</v>
      </c>
      <c r="D64" s="131">
        <v>0.005003268625994147</v>
      </c>
      <c r="E64" s="131">
        <v>2.2367890994092927</v>
      </c>
      <c r="F64" s="87" t="s">
        <v>722</v>
      </c>
      <c r="G64" s="87" t="b">
        <v>0</v>
      </c>
      <c r="H64" s="87" t="b">
        <v>0</v>
      </c>
      <c r="I64" s="87" t="b">
        <v>0</v>
      </c>
      <c r="J64" s="87" t="b">
        <v>0</v>
      </c>
      <c r="K64" s="87" t="b">
        <v>0</v>
      </c>
      <c r="L64" s="87" t="b">
        <v>0</v>
      </c>
    </row>
    <row r="65" spans="1:12" ht="15">
      <c r="A65" s="84" t="s">
        <v>708</v>
      </c>
      <c r="B65" s="87" t="s">
        <v>714</v>
      </c>
      <c r="C65" s="87">
        <v>2</v>
      </c>
      <c r="D65" s="131">
        <v>0.005003268625994147</v>
      </c>
      <c r="E65" s="131">
        <v>2.2367890994092927</v>
      </c>
      <c r="F65" s="87" t="s">
        <v>722</v>
      </c>
      <c r="G65" s="87" t="b">
        <v>0</v>
      </c>
      <c r="H65" s="87" t="b">
        <v>0</v>
      </c>
      <c r="I65" s="87" t="b">
        <v>0</v>
      </c>
      <c r="J65" s="87" t="b">
        <v>0</v>
      </c>
      <c r="K65" s="87" t="b">
        <v>0</v>
      </c>
      <c r="L65" s="87" t="b">
        <v>0</v>
      </c>
    </row>
    <row r="66" spans="1:12" ht="15">
      <c r="A66" s="84" t="s">
        <v>678</v>
      </c>
      <c r="B66" s="87" t="s">
        <v>697</v>
      </c>
      <c r="C66" s="87">
        <v>2</v>
      </c>
      <c r="D66" s="131">
        <v>0.005003268625994147</v>
      </c>
      <c r="E66" s="131">
        <v>2.2367890994092927</v>
      </c>
      <c r="F66" s="87" t="s">
        <v>722</v>
      </c>
      <c r="G66" s="87" t="b">
        <v>0</v>
      </c>
      <c r="H66" s="87" t="b">
        <v>0</v>
      </c>
      <c r="I66" s="87" t="b">
        <v>0</v>
      </c>
      <c r="J66" s="87" t="b">
        <v>0</v>
      </c>
      <c r="K66" s="87" t="b">
        <v>0</v>
      </c>
      <c r="L66" s="87" t="b">
        <v>0</v>
      </c>
    </row>
    <row r="67" spans="1:12" ht="15">
      <c r="A67" s="84" t="s">
        <v>638</v>
      </c>
      <c r="B67" s="87" t="s">
        <v>672</v>
      </c>
      <c r="C67" s="87">
        <v>2</v>
      </c>
      <c r="D67" s="131">
        <v>0.005003268625994147</v>
      </c>
      <c r="E67" s="131">
        <v>1.7596678446896306</v>
      </c>
      <c r="F67" s="87" t="s">
        <v>722</v>
      </c>
      <c r="G67" s="87" t="b">
        <v>0</v>
      </c>
      <c r="H67" s="87" t="b">
        <v>0</v>
      </c>
      <c r="I67" s="87" t="b">
        <v>0</v>
      </c>
      <c r="J67" s="87" t="b">
        <v>0</v>
      </c>
      <c r="K67" s="87" t="b">
        <v>0</v>
      </c>
      <c r="L67" s="87" t="b">
        <v>0</v>
      </c>
    </row>
    <row r="68" spans="1:12" ht="15">
      <c r="A68" s="84" t="s">
        <v>656</v>
      </c>
      <c r="B68" s="87" t="s">
        <v>640</v>
      </c>
      <c r="C68" s="87">
        <v>2</v>
      </c>
      <c r="D68" s="131">
        <v>0.006671024834658863</v>
      </c>
      <c r="E68" s="131">
        <v>1.4586378490256493</v>
      </c>
      <c r="F68" s="87" t="s">
        <v>722</v>
      </c>
      <c r="G68" s="87" t="b">
        <v>0</v>
      </c>
      <c r="H68" s="87" t="b">
        <v>0</v>
      </c>
      <c r="I68" s="87" t="b">
        <v>0</v>
      </c>
      <c r="J68" s="87" t="b">
        <v>0</v>
      </c>
      <c r="K68" s="87" t="b">
        <v>0</v>
      </c>
      <c r="L68" s="87" t="b">
        <v>0</v>
      </c>
    </row>
    <row r="69" spans="1:12" ht="15">
      <c r="A69" s="84" t="s">
        <v>643</v>
      </c>
      <c r="B69" s="87" t="s">
        <v>689</v>
      </c>
      <c r="C69" s="87">
        <v>2</v>
      </c>
      <c r="D69" s="131">
        <v>0.005003268625994147</v>
      </c>
      <c r="E69" s="131">
        <v>1.8388490907372552</v>
      </c>
      <c r="F69" s="87" t="s">
        <v>722</v>
      </c>
      <c r="G69" s="87" t="b">
        <v>0</v>
      </c>
      <c r="H69" s="87" t="b">
        <v>0</v>
      </c>
      <c r="I69" s="87" t="b">
        <v>0</v>
      </c>
      <c r="J69" s="87" t="b">
        <v>0</v>
      </c>
      <c r="K69" s="87" t="b">
        <v>0</v>
      </c>
      <c r="L69" s="87" t="b">
        <v>0</v>
      </c>
    </row>
    <row r="70" spans="1:12" ht="15">
      <c r="A70" s="84" t="s">
        <v>676</v>
      </c>
      <c r="B70" s="87" t="s">
        <v>695</v>
      </c>
      <c r="C70" s="87">
        <v>2</v>
      </c>
      <c r="D70" s="131">
        <v>0.005003268625994147</v>
      </c>
      <c r="E70" s="131">
        <v>2.2367890994092927</v>
      </c>
      <c r="F70" s="87" t="s">
        <v>722</v>
      </c>
      <c r="G70" s="87" t="b">
        <v>0</v>
      </c>
      <c r="H70" s="87" t="b">
        <v>0</v>
      </c>
      <c r="I70" s="87" t="b">
        <v>0</v>
      </c>
      <c r="J70" s="87" t="b">
        <v>0</v>
      </c>
      <c r="K70" s="87" t="b">
        <v>0</v>
      </c>
      <c r="L70" s="87" t="b">
        <v>0</v>
      </c>
    </row>
    <row r="71" spans="1:12" ht="15">
      <c r="A71" s="84" t="s">
        <v>667</v>
      </c>
      <c r="B71" s="87" t="s">
        <v>687</v>
      </c>
      <c r="C71" s="87">
        <v>2</v>
      </c>
      <c r="D71" s="131">
        <v>0.005003268625994147</v>
      </c>
      <c r="E71" s="131">
        <v>2.060697840353612</v>
      </c>
      <c r="F71" s="87" t="s">
        <v>722</v>
      </c>
      <c r="G71" s="87" t="b">
        <v>0</v>
      </c>
      <c r="H71" s="87" t="b">
        <v>0</v>
      </c>
      <c r="I71" s="87" t="b">
        <v>0</v>
      </c>
      <c r="J71" s="87" t="b">
        <v>0</v>
      </c>
      <c r="K71" s="87" t="b">
        <v>0</v>
      </c>
      <c r="L71" s="87" t="b">
        <v>0</v>
      </c>
    </row>
    <row r="72" spans="1:12" ht="15">
      <c r="A72" s="84" t="s">
        <v>695</v>
      </c>
      <c r="B72" s="87" t="s">
        <v>638</v>
      </c>
      <c r="C72" s="87">
        <v>2</v>
      </c>
      <c r="D72" s="131">
        <v>0.005003268625994147</v>
      </c>
      <c r="E72" s="131">
        <v>1.9357591037453117</v>
      </c>
      <c r="F72" s="87" t="s">
        <v>722</v>
      </c>
      <c r="G72" s="87" t="b">
        <v>0</v>
      </c>
      <c r="H72" s="87" t="b">
        <v>0</v>
      </c>
      <c r="I72" s="87" t="b">
        <v>0</v>
      </c>
      <c r="J72" s="87" t="b">
        <v>0</v>
      </c>
      <c r="K72" s="87" t="b">
        <v>0</v>
      </c>
      <c r="L72" s="87" t="b">
        <v>0</v>
      </c>
    </row>
    <row r="73" spans="1:12" ht="15">
      <c r="A73" s="84" t="s">
        <v>672</v>
      </c>
      <c r="B73" s="87" t="s">
        <v>637</v>
      </c>
      <c r="C73" s="87">
        <v>2</v>
      </c>
      <c r="D73" s="131">
        <v>0.005003268625994147</v>
      </c>
      <c r="E73" s="131">
        <v>1.5835765856339492</v>
      </c>
      <c r="F73" s="87" t="s">
        <v>722</v>
      </c>
      <c r="G73" s="87" t="b">
        <v>0</v>
      </c>
      <c r="H73" s="87" t="b">
        <v>0</v>
      </c>
      <c r="I73" s="87" t="b">
        <v>0</v>
      </c>
      <c r="J73" s="87" t="b">
        <v>0</v>
      </c>
      <c r="K73" s="87" t="b">
        <v>0</v>
      </c>
      <c r="L73" s="87" t="b">
        <v>0</v>
      </c>
    </row>
    <row r="74" spans="1:12" ht="15">
      <c r="A74" s="84" t="s">
        <v>648</v>
      </c>
      <c r="B74" s="87" t="s">
        <v>671</v>
      </c>
      <c r="C74" s="87">
        <v>2</v>
      </c>
      <c r="D74" s="131">
        <v>0.005003268625994147</v>
      </c>
      <c r="E74" s="131">
        <v>1.9357591037453117</v>
      </c>
      <c r="F74" s="87" t="s">
        <v>722</v>
      </c>
      <c r="G74" s="87" t="b">
        <v>0</v>
      </c>
      <c r="H74" s="87" t="b">
        <v>0</v>
      </c>
      <c r="I74" s="87" t="b">
        <v>0</v>
      </c>
      <c r="J74" s="87" t="b">
        <v>0</v>
      </c>
      <c r="K74" s="87" t="b">
        <v>0</v>
      </c>
      <c r="L74" s="87" t="b">
        <v>0</v>
      </c>
    </row>
    <row r="75" spans="1:12" ht="15">
      <c r="A75" s="84" t="s">
        <v>637</v>
      </c>
      <c r="B75" s="87" t="s">
        <v>668</v>
      </c>
      <c r="C75" s="87">
        <v>2</v>
      </c>
      <c r="D75" s="131">
        <v>0.005003268625994147</v>
      </c>
      <c r="E75" s="131">
        <v>1.3617278360175928</v>
      </c>
      <c r="F75" s="87" t="s">
        <v>722</v>
      </c>
      <c r="G75" s="87" t="b">
        <v>0</v>
      </c>
      <c r="H75" s="87" t="b">
        <v>0</v>
      </c>
      <c r="I75" s="87" t="b">
        <v>0</v>
      </c>
      <c r="J75" s="87" t="b">
        <v>0</v>
      </c>
      <c r="K75" s="87" t="b">
        <v>0</v>
      </c>
      <c r="L75" s="87" t="b">
        <v>0</v>
      </c>
    </row>
    <row r="76" spans="1:12" ht="15">
      <c r="A76" s="84" t="s">
        <v>680</v>
      </c>
      <c r="B76" s="87" t="s">
        <v>700</v>
      </c>
      <c r="C76" s="87">
        <v>2</v>
      </c>
      <c r="D76" s="131">
        <v>0.005003268625994147</v>
      </c>
      <c r="E76" s="131">
        <v>2.2367890994092927</v>
      </c>
      <c r="F76" s="87" t="s">
        <v>722</v>
      </c>
      <c r="G76" s="87" t="b">
        <v>0</v>
      </c>
      <c r="H76" s="87" t="b">
        <v>0</v>
      </c>
      <c r="I76" s="87" t="b">
        <v>0</v>
      </c>
      <c r="J76" s="87" t="b">
        <v>1</v>
      </c>
      <c r="K76" s="87" t="b">
        <v>0</v>
      </c>
      <c r="L76" s="87" t="b">
        <v>0</v>
      </c>
    </row>
    <row r="77" spans="1:12" ht="15">
      <c r="A77" s="84" t="s">
        <v>704</v>
      </c>
      <c r="B77" s="87" t="s">
        <v>708</v>
      </c>
      <c r="C77" s="87">
        <v>2</v>
      </c>
      <c r="D77" s="131">
        <v>0.005003268625994147</v>
      </c>
      <c r="E77" s="131">
        <v>2.2367890994092927</v>
      </c>
      <c r="F77" s="87" t="s">
        <v>722</v>
      </c>
      <c r="G77" s="87" t="b">
        <v>0</v>
      </c>
      <c r="H77" s="87" t="b">
        <v>0</v>
      </c>
      <c r="I77" s="87" t="b">
        <v>0</v>
      </c>
      <c r="J77" s="87" t="b">
        <v>0</v>
      </c>
      <c r="K77" s="87" t="b">
        <v>0</v>
      </c>
      <c r="L77" s="87" t="b">
        <v>0</v>
      </c>
    </row>
    <row r="78" spans="1:12" ht="15">
      <c r="A78" s="84" t="s">
        <v>681</v>
      </c>
      <c r="B78" s="87" t="s">
        <v>664</v>
      </c>
      <c r="C78" s="87">
        <v>2</v>
      </c>
      <c r="D78" s="131">
        <v>0.005003268625994147</v>
      </c>
      <c r="E78" s="131">
        <v>2.060697840353612</v>
      </c>
      <c r="F78" s="87" t="s">
        <v>722</v>
      </c>
      <c r="G78" s="87" t="b">
        <v>0</v>
      </c>
      <c r="H78" s="87" t="b">
        <v>0</v>
      </c>
      <c r="I78" s="87" t="b">
        <v>0</v>
      </c>
      <c r="J78" s="87" t="b">
        <v>0</v>
      </c>
      <c r="K78" s="87" t="b">
        <v>0</v>
      </c>
      <c r="L78" s="87" t="b">
        <v>0</v>
      </c>
    </row>
    <row r="79" spans="1:12" ht="15">
      <c r="A79" s="84" t="s">
        <v>643</v>
      </c>
      <c r="B79" s="87" t="s">
        <v>716</v>
      </c>
      <c r="C79" s="87">
        <v>2</v>
      </c>
      <c r="D79" s="131">
        <v>0.005003268625994147</v>
      </c>
      <c r="E79" s="131">
        <v>1.8388490907372552</v>
      </c>
      <c r="F79" s="87" t="s">
        <v>722</v>
      </c>
      <c r="G79" s="87" t="b">
        <v>0</v>
      </c>
      <c r="H79" s="87" t="b">
        <v>0</v>
      </c>
      <c r="I79" s="87" t="b">
        <v>0</v>
      </c>
      <c r="J79" s="87" t="b">
        <v>0</v>
      </c>
      <c r="K79" s="87" t="b">
        <v>0</v>
      </c>
      <c r="L79" s="87" t="b">
        <v>0</v>
      </c>
    </row>
    <row r="80" spans="1:12" ht="15">
      <c r="A80" s="84" t="s">
        <v>711</v>
      </c>
      <c r="B80" s="87" t="s">
        <v>677</v>
      </c>
      <c r="C80" s="87">
        <v>2</v>
      </c>
      <c r="D80" s="131">
        <v>0.005003268625994147</v>
      </c>
      <c r="E80" s="131">
        <v>2.2367890994092927</v>
      </c>
      <c r="F80" s="87" t="s">
        <v>722</v>
      </c>
      <c r="G80" s="87" t="b">
        <v>0</v>
      </c>
      <c r="H80" s="87" t="b">
        <v>0</v>
      </c>
      <c r="I80" s="87" t="b">
        <v>0</v>
      </c>
      <c r="J80" s="87" t="b">
        <v>0</v>
      </c>
      <c r="K80" s="87" t="b">
        <v>0</v>
      </c>
      <c r="L80" s="87" t="b">
        <v>0</v>
      </c>
    </row>
    <row r="81" spans="1:12" ht="15">
      <c r="A81" s="84" t="s">
        <v>687</v>
      </c>
      <c r="B81" s="87" t="s">
        <v>676</v>
      </c>
      <c r="C81" s="87">
        <v>2</v>
      </c>
      <c r="D81" s="131">
        <v>0.005003268625994147</v>
      </c>
      <c r="E81" s="131">
        <v>2.2367890994092927</v>
      </c>
      <c r="F81" s="87" t="s">
        <v>722</v>
      </c>
      <c r="G81" s="87" t="b">
        <v>0</v>
      </c>
      <c r="H81" s="87" t="b">
        <v>0</v>
      </c>
      <c r="I81" s="87" t="b">
        <v>0</v>
      </c>
      <c r="J81" s="87" t="b">
        <v>0</v>
      </c>
      <c r="K81" s="87" t="b">
        <v>0</v>
      </c>
      <c r="L81" s="87" t="b">
        <v>0</v>
      </c>
    </row>
    <row r="82" spans="1:12" ht="15">
      <c r="A82" s="84" t="s">
        <v>689</v>
      </c>
      <c r="B82" s="87" t="s">
        <v>670</v>
      </c>
      <c r="C82" s="87">
        <v>2</v>
      </c>
      <c r="D82" s="131">
        <v>0.005003268625994147</v>
      </c>
      <c r="E82" s="131">
        <v>2.2367890994092927</v>
      </c>
      <c r="F82" s="87" t="s">
        <v>722</v>
      </c>
      <c r="G82" s="87" t="b">
        <v>0</v>
      </c>
      <c r="H82" s="87" t="b">
        <v>0</v>
      </c>
      <c r="I82" s="87" t="b">
        <v>0</v>
      </c>
      <c r="J82" s="87" t="b">
        <v>0</v>
      </c>
      <c r="K82" s="87" t="b">
        <v>0</v>
      </c>
      <c r="L82" s="87" t="b">
        <v>0</v>
      </c>
    </row>
    <row r="83" spans="1:12" ht="15">
      <c r="A83" s="84" t="s">
        <v>698</v>
      </c>
      <c r="B83" s="87" t="s">
        <v>705</v>
      </c>
      <c r="C83" s="87">
        <v>2</v>
      </c>
      <c r="D83" s="131">
        <v>0.005003268625994147</v>
      </c>
      <c r="E83" s="131">
        <v>2.2367890994092927</v>
      </c>
      <c r="F83" s="87" t="s">
        <v>722</v>
      </c>
      <c r="G83" s="87" t="b">
        <v>0</v>
      </c>
      <c r="H83" s="87" t="b">
        <v>0</v>
      </c>
      <c r="I83" s="87" t="b">
        <v>0</v>
      </c>
      <c r="J83" s="87" t="b">
        <v>0</v>
      </c>
      <c r="K83" s="87" t="b">
        <v>0</v>
      </c>
      <c r="L83" s="87" t="b">
        <v>0</v>
      </c>
    </row>
    <row r="84" spans="1:12" ht="15">
      <c r="A84" s="84" t="s">
        <v>677</v>
      </c>
      <c r="B84" s="87" t="s">
        <v>703</v>
      </c>
      <c r="C84" s="87">
        <v>2</v>
      </c>
      <c r="D84" s="131">
        <v>0.005003268625994147</v>
      </c>
      <c r="E84" s="131">
        <v>2.2367890994092927</v>
      </c>
      <c r="F84" s="87" t="s">
        <v>722</v>
      </c>
      <c r="G84" s="87" t="b">
        <v>0</v>
      </c>
      <c r="H84" s="87" t="b">
        <v>0</v>
      </c>
      <c r="I84" s="87" t="b">
        <v>0</v>
      </c>
      <c r="J84" s="87" t="b">
        <v>0</v>
      </c>
      <c r="K84" s="87" t="b">
        <v>0</v>
      </c>
      <c r="L84" s="87" t="b">
        <v>0</v>
      </c>
    </row>
    <row r="85" spans="1:12" ht="15">
      <c r="A85" s="84" t="s">
        <v>675</v>
      </c>
      <c r="B85" s="87" t="s">
        <v>692</v>
      </c>
      <c r="C85" s="87">
        <v>2</v>
      </c>
      <c r="D85" s="131">
        <v>0.005003268625994147</v>
      </c>
      <c r="E85" s="131">
        <v>2.2367890994092927</v>
      </c>
      <c r="F85" s="87" t="s">
        <v>722</v>
      </c>
      <c r="G85" s="87" t="b">
        <v>0</v>
      </c>
      <c r="H85" s="87" t="b">
        <v>0</v>
      </c>
      <c r="I85" s="87" t="b">
        <v>0</v>
      </c>
      <c r="J85" s="87" t="b">
        <v>0</v>
      </c>
      <c r="K85" s="87" t="b">
        <v>0</v>
      </c>
      <c r="L85" s="87" t="b">
        <v>0</v>
      </c>
    </row>
    <row r="86" spans="1:12" ht="15">
      <c r="A86" s="84" t="s">
        <v>664</v>
      </c>
      <c r="B86" s="87" t="s">
        <v>636</v>
      </c>
      <c r="C86" s="87">
        <v>2</v>
      </c>
      <c r="D86" s="131">
        <v>0.005003268625994147</v>
      </c>
      <c r="E86" s="131">
        <v>1.3617278360175928</v>
      </c>
      <c r="F86" s="87" t="s">
        <v>722</v>
      </c>
      <c r="G86" s="87" t="b">
        <v>0</v>
      </c>
      <c r="H86" s="87" t="b">
        <v>0</v>
      </c>
      <c r="I86" s="87" t="b">
        <v>0</v>
      </c>
      <c r="J86" s="87" t="b">
        <v>0</v>
      </c>
      <c r="K86" s="87" t="b">
        <v>0</v>
      </c>
      <c r="L86" s="87" t="b">
        <v>0</v>
      </c>
    </row>
    <row r="87" spans="1:12" ht="15">
      <c r="A87" s="84" t="s">
        <v>635</v>
      </c>
      <c r="B87" s="87" t="s">
        <v>637</v>
      </c>
      <c r="C87" s="87">
        <v>2</v>
      </c>
      <c r="D87" s="131">
        <v>0.005003268625994147</v>
      </c>
      <c r="E87" s="131">
        <v>0.8432138961397054</v>
      </c>
      <c r="F87" s="87" t="s">
        <v>722</v>
      </c>
      <c r="G87" s="87" t="b">
        <v>0</v>
      </c>
      <c r="H87" s="87" t="b">
        <v>0</v>
      </c>
      <c r="I87" s="87" t="b">
        <v>0</v>
      </c>
      <c r="J87" s="87" t="b">
        <v>0</v>
      </c>
      <c r="K87" s="87" t="b">
        <v>0</v>
      </c>
      <c r="L87" s="87" t="b">
        <v>0</v>
      </c>
    </row>
    <row r="88" spans="1:12" ht="15">
      <c r="A88" s="84" t="s">
        <v>645</v>
      </c>
      <c r="B88" s="87" t="s">
        <v>642</v>
      </c>
      <c r="C88" s="87">
        <v>5</v>
      </c>
      <c r="D88" s="131">
        <v>0</v>
      </c>
      <c r="E88" s="131">
        <v>1.3424226808222062</v>
      </c>
      <c r="F88" s="87" t="s">
        <v>429</v>
      </c>
      <c r="G88" s="87" t="b">
        <v>0</v>
      </c>
      <c r="H88" s="87" t="b">
        <v>0</v>
      </c>
      <c r="I88" s="87" t="b">
        <v>0</v>
      </c>
      <c r="J88" s="87" t="b">
        <v>0</v>
      </c>
      <c r="K88" s="87" t="b">
        <v>0</v>
      </c>
      <c r="L88" s="87" t="b">
        <v>0</v>
      </c>
    </row>
    <row r="89" spans="1:12" ht="15">
      <c r="A89" s="84" t="s">
        <v>644</v>
      </c>
      <c r="B89" s="87" t="s">
        <v>641</v>
      </c>
      <c r="C89" s="87">
        <v>5</v>
      </c>
      <c r="D89" s="131">
        <v>0</v>
      </c>
      <c r="E89" s="131">
        <v>1.2632414347745813</v>
      </c>
      <c r="F89" s="87" t="s">
        <v>429</v>
      </c>
      <c r="G89" s="87" t="b">
        <v>0</v>
      </c>
      <c r="H89" s="87" t="b">
        <v>0</v>
      </c>
      <c r="I89" s="87" t="b">
        <v>0</v>
      </c>
      <c r="J89" s="87" t="b">
        <v>0</v>
      </c>
      <c r="K89" s="87" t="b">
        <v>0</v>
      </c>
      <c r="L89" s="87" t="b">
        <v>0</v>
      </c>
    </row>
    <row r="90" spans="1:12" ht="15">
      <c r="A90" s="84" t="s">
        <v>640</v>
      </c>
      <c r="B90" s="87" t="s">
        <v>658</v>
      </c>
      <c r="C90" s="87">
        <v>4</v>
      </c>
      <c r="D90" s="131">
        <v>0.0033707830611497884</v>
      </c>
      <c r="E90" s="131">
        <v>1.2632414347745815</v>
      </c>
      <c r="F90" s="87" t="s">
        <v>429</v>
      </c>
      <c r="G90" s="87" t="b">
        <v>0</v>
      </c>
      <c r="H90" s="87" t="b">
        <v>0</v>
      </c>
      <c r="I90" s="87" t="b">
        <v>0</v>
      </c>
      <c r="J90" s="87" t="b">
        <v>0</v>
      </c>
      <c r="K90" s="87" t="b">
        <v>0</v>
      </c>
      <c r="L90" s="87" t="b">
        <v>0</v>
      </c>
    </row>
    <row r="91" spans="1:12" ht="15">
      <c r="A91" s="84" t="s">
        <v>249</v>
      </c>
      <c r="B91" s="87" t="s">
        <v>250</v>
      </c>
      <c r="C91" s="87">
        <v>4</v>
      </c>
      <c r="D91" s="131">
        <v>0.0033707830611497884</v>
      </c>
      <c r="E91" s="131">
        <v>1.4393326938302626</v>
      </c>
      <c r="F91" s="87" t="s">
        <v>429</v>
      </c>
      <c r="G91" s="87" t="b">
        <v>0</v>
      </c>
      <c r="H91" s="87" t="b">
        <v>0</v>
      </c>
      <c r="I91" s="87" t="b">
        <v>0</v>
      </c>
      <c r="J91" s="87" t="b">
        <v>0</v>
      </c>
      <c r="K91" s="87" t="b">
        <v>0</v>
      </c>
      <c r="L91" s="87" t="b">
        <v>0</v>
      </c>
    </row>
    <row r="92" spans="1:12" ht="15">
      <c r="A92" s="84" t="s">
        <v>657</v>
      </c>
      <c r="B92" s="87" t="s">
        <v>249</v>
      </c>
      <c r="C92" s="87">
        <v>4</v>
      </c>
      <c r="D92" s="131">
        <v>0.0033707830611497884</v>
      </c>
      <c r="E92" s="131">
        <v>1.4393326938302626</v>
      </c>
      <c r="F92" s="87" t="s">
        <v>429</v>
      </c>
      <c r="G92" s="87" t="b">
        <v>0</v>
      </c>
      <c r="H92" s="87" t="b">
        <v>0</v>
      </c>
      <c r="I92" s="87" t="b">
        <v>0</v>
      </c>
      <c r="J92" s="87" t="b">
        <v>0</v>
      </c>
      <c r="K92" s="87" t="b">
        <v>0</v>
      </c>
      <c r="L92" s="87" t="b">
        <v>0</v>
      </c>
    </row>
    <row r="93" spans="1:12" ht="15">
      <c r="A93" s="84" t="s">
        <v>635</v>
      </c>
      <c r="B93" s="87" t="s">
        <v>652</v>
      </c>
      <c r="C93" s="87">
        <v>4</v>
      </c>
      <c r="D93" s="131">
        <v>0.0033707830611497884</v>
      </c>
      <c r="E93" s="131">
        <v>1.4393326938302626</v>
      </c>
      <c r="F93" s="87" t="s">
        <v>429</v>
      </c>
      <c r="G93" s="87" t="b">
        <v>0</v>
      </c>
      <c r="H93" s="87" t="b">
        <v>0</v>
      </c>
      <c r="I93" s="87" t="b">
        <v>0</v>
      </c>
      <c r="J93" s="87" t="b">
        <v>0</v>
      </c>
      <c r="K93" s="87" t="b">
        <v>0</v>
      </c>
      <c r="L93" s="87" t="b">
        <v>0</v>
      </c>
    </row>
    <row r="94" spans="1:12" ht="15">
      <c r="A94" s="84" t="s">
        <v>650</v>
      </c>
      <c r="B94" s="87" t="s">
        <v>654</v>
      </c>
      <c r="C94" s="87">
        <v>4</v>
      </c>
      <c r="D94" s="131">
        <v>0.0033707830611497884</v>
      </c>
      <c r="E94" s="131">
        <v>1.4393326938302626</v>
      </c>
      <c r="F94" s="87" t="s">
        <v>429</v>
      </c>
      <c r="G94" s="87" t="b">
        <v>0</v>
      </c>
      <c r="H94" s="87" t="b">
        <v>0</v>
      </c>
      <c r="I94" s="87" t="b">
        <v>0</v>
      </c>
      <c r="J94" s="87" t="b">
        <v>0</v>
      </c>
      <c r="K94" s="87" t="b">
        <v>0</v>
      </c>
      <c r="L94" s="87" t="b">
        <v>0</v>
      </c>
    </row>
    <row r="95" spans="1:12" ht="15">
      <c r="A95" s="84" t="s">
        <v>636</v>
      </c>
      <c r="B95" s="87" t="s">
        <v>635</v>
      </c>
      <c r="C95" s="87">
        <v>4</v>
      </c>
      <c r="D95" s="131">
        <v>0.0033707830611497884</v>
      </c>
      <c r="E95" s="131">
        <v>1.3424226808222062</v>
      </c>
      <c r="F95" s="87" t="s">
        <v>429</v>
      </c>
      <c r="G95" s="87" t="b">
        <v>0</v>
      </c>
      <c r="H95" s="87" t="b">
        <v>0</v>
      </c>
      <c r="I95" s="87" t="b">
        <v>0</v>
      </c>
      <c r="J95" s="87" t="b">
        <v>0</v>
      </c>
      <c r="K95" s="87" t="b">
        <v>0</v>
      </c>
      <c r="L95" s="87" t="b">
        <v>0</v>
      </c>
    </row>
    <row r="96" spans="1:12" ht="15">
      <c r="A96" s="84" t="s">
        <v>653</v>
      </c>
      <c r="B96" s="87" t="s">
        <v>657</v>
      </c>
      <c r="C96" s="87">
        <v>4</v>
      </c>
      <c r="D96" s="131">
        <v>0.0033707830611497884</v>
      </c>
      <c r="E96" s="131">
        <v>1.4393326938302626</v>
      </c>
      <c r="F96" s="87" t="s">
        <v>429</v>
      </c>
      <c r="G96" s="87" t="b">
        <v>0</v>
      </c>
      <c r="H96" s="87" t="b">
        <v>0</v>
      </c>
      <c r="I96" s="87" t="b">
        <v>0</v>
      </c>
      <c r="J96" s="87" t="b">
        <v>0</v>
      </c>
      <c r="K96" s="87" t="b">
        <v>0</v>
      </c>
      <c r="L96" s="87" t="b">
        <v>0</v>
      </c>
    </row>
    <row r="97" spans="1:12" ht="15">
      <c r="A97" s="84" t="s">
        <v>662</v>
      </c>
      <c r="B97" s="87" t="s">
        <v>636</v>
      </c>
      <c r="C97" s="87">
        <v>4</v>
      </c>
      <c r="D97" s="131">
        <v>0.0033707830611497884</v>
      </c>
      <c r="E97" s="131">
        <v>1.3424226808222062</v>
      </c>
      <c r="F97" s="87" t="s">
        <v>429</v>
      </c>
      <c r="G97" s="87" t="b">
        <v>0</v>
      </c>
      <c r="H97" s="87" t="b">
        <v>0</v>
      </c>
      <c r="I97" s="87" t="b">
        <v>0</v>
      </c>
      <c r="J97" s="87" t="b">
        <v>0</v>
      </c>
      <c r="K97" s="87" t="b">
        <v>0</v>
      </c>
      <c r="L97" s="87" t="b">
        <v>0</v>
      </c>
    </row>
    <row r="98" spans="1:12" ht="15">
      <c r="A98" s="84" t="s">
        <v>652</v>
      </c>
      <c r="B98" s="87" t="s">
        <v>644</v>
      </c>
      <c r="C98" s="87">
        <v>4</v>
      </c>
      <c r="D98" s="131">
        <v>0.0033707830611497884</v>
      </c>
      <c r="E98" s="131">
        <v>1.3424226808222062</v>
      </c>
      <c r="F98" s="87" t="s">
        <v>429</v>
      </c>
      <c r="G98" s="87" t="b">
        <v>0</v>
      </c>
      <c r="H98" s="87" t="b">
        <v>0</v>
      </c>
      <c r="I98" s="87" t="b">
        <v>0</v>
      </c>
      <c r="J98" s="87" t="b">
        <v>0</v>
      </c>
      <c r="K98" s="87" t="b">
        <v>0</v>
      </c>
      <c r="L98" s="87" t="b">
        <v>0</v>
      </c>
    </row>
    <row r="99" spans="1:12" ht="15">
      <c r="A99" s="84" t="s">
        <v>647</v>
      </c>
      <c r="B99" s="87" t="s">
        <v>649</v>
      </c>
      <c r="C99" s="87">
        <v>4</v>
      </c>
      <c r="D99" s="131">
        <v>0.0033707830611497884</v>
      </c>
      <c r="E99" s="131">
        <v>1.4393326938302626</v>
      </c>
      <c r="F99" s="87" t="s">
        <v>429</v>
      </c>
      <c r="G99" s="87" t="b">
        <v>0</v>
      </c>
      <c r="H99" s="87" t="b">
        <v>0</v>
      </c>
      <c r="I99" s="87" t="b">
        <v>0</v>
      </c>
      <c r="J99" s="87" t="b">
        <v>0</v>
      </c>
      <c r="K99" s="87" t="b">
        <v>0</v>
      </c>
      <c r="L99" s="87" t="b">
        <v>0</v>
      </c>
    </row>
    <row r="100" spans="1:12" ht="15">
      <c r="A100" s="84" t="s">
        <v>660</v>
      </c>
      <c r="B100" s="87" t="s">
        <v>662</v>
      </c>
      <c r="C100" s="87">
        <v>4</v>
      </c>
      <c r="D100" s="131">
        <v>0.0033707830611497884</v>
      </c>
      <c r="E100" s="131">
        <v>1.4393326938302626</v>
      </c>
      <c r="F100" s="87" t="s">
        <v>429</v>
      </c>
      <c r="G100" s="87" t="b">
        <v>0</v>
      </c>
      <c r="H100" s="87" t="b">
        <v>0</v>
      </c>
      <c r="I100" s="87" t="b">
        <v>0</v>
      </c>
      <c r="J100" s="87" t="b">
        <v>0</v>
      </c>
      <c r="K100" s="87" t="b">
        <v>0</v>
      </c>
      <c r="L100" s="87" t="b">
        <v>0</v>
      </c>
    </row>
    <row r="101" spans="1:12" ht="15">
      <c r="A101" s="84" t="s">
        <v>639</v>
      </c>
      <c r="B101" s="87" t="s">
        <v>659</v>
      </c>
      <c r="C101" s="87">
        <v>4</v>
      </c>
      <c r="D101" s="131">
        <v>0.0033707830611497884</v>
      </c>
      <c r="E101" s="131">
        <v>1.3424226808222062</v>
      </c>
      <c r="F101" s="87" t="s">
        <v>429</v>
      </c>
      <c r="G101" s="87" t="b">
        <v>0</v>
      </c>
      <c r="H101" s="87" t="b">
        <v>0</v>
      </c>
      <c r="I101" s="87" t="b">
        <v>0</v>
      </c>
      <c r="J101" s="87" t="b">
        <v>0</v>
      </c>
      <c r="K101" s="87" t="b">
        <v>0</v>
      </c>
      <c r="L101" s="87" t="b">
        <v>0</v>
      </c>
    </row>
    <row r="102" spans="1:12" ht="15">
      <c r="A102" s="84" t="s">
        <v>658</v>
      </c>
      <c r="B102" s="87" t="s">
        <v>661</v>
      </c>
      <c r="C102" s="87">
        <v>4</v>
      </c>
      <c r="D102" s="131">
        <v>0.0033707830611497884</v>
      </c>
      <c r="E102" s="131">
        <v>1.4393326938302626</v>
      </c>
      <c r="F102" s="87" t="s">
        <v>429</v>
      </c>
      <c r="G102" s="87" t="b">
        <v>0</v>
      </c>
      <c r="H102" s="87" t="b">
        <v>0</v>
      </c>
      <c r="I102" s="87" t="b">
        <v>0</v>
      </c>
      <c r="J102" s="87" t="b">
        <v>0</v>
      </c>
      <c r="K102" s="87" t="b">
        <v>0</v>
      </c>
      <c r="L102" s="87" t="b">
        <v>0</v>
      </c>
    </row>
    <row r="103" spans="1:12" ht="15">
      <c r="A103" s="84" t="s">
        <v>655</v>
      </c>
      <c r="B103" s="87" t="s">
        <v>650</v>
      </c>
      <c r="C103" s="87">
        <v>4</v>
      </c>
      <c r="D103" s="131">
        <v>0.0033707830611497884</v>
      </c>
      <c r="E103" s="131">
        <v>1.4393326938302626</v>
      </c>
      <c r="F103" s="87" t="s">
        <v>429</v>
      </c>
      <c r="G103" s="87" t="b">
        <v>0</v>
      </c>
      <c r="H103" s="87" t="b">
        <v>0</v>
      </c>
      <c r="I103" s="87" t="b">
        <v>0</v>
      </c>
      <c r="J103" s="87" t="b">
        <v>0</v>
      </c>
      <c r="K103" s="87" t="b">
        <v>0</v>
      </c>
      <c r="L103" s="87" t="b">
        <v>0</v>
      </c>
    </row>
    <row r="104" spans="1:12" ht="15">
      <c r="A104" s="84" t="s">
        <v>659</v>
      </c>
      <c r="B104" s="87" t="s">
        <v>660</v>
      </c>
      <c r="C104" s="87">
        <v>4</v>
      </c>
      <c r="D104" s="131">
        <v>0.0033707830611497884</v>
      </c>
      <c r="E104" s="131">
        <v>1.4393326938302626</v>
      </c>
      <c r="F104" s="87" t="s">
        <v>429</v>
      </c>
      <c r="G104" s="87" t="b">
        <v>0</v>
      </c>
      <c r="H104" s="87" t="b">
        <v>0</v>
      </c>
      <c r="I104" s="87" t="b">
        <v>0</v>
      </c>
      <c r="J104" s="87" t="b">
        <v>0</v>
      </c>
      <c r="K104" s="87" t="b">
        <v>0</v>
      </c>
      <c r="L104" s="87" t="b">
        <v>0</v>
      </c>
    </row>
    <row r="105" spans="1:12" ht="15">
      <c r="A105" s="84" t="s">
        <v>641</v>
      </c>
      <c r="B105" s="87" t="s">
        <v>653</v>
      </c>
      <c r="C105" s="87">
        <v>4</v>
      </c>
      <c r="D105" s="131">
        <v>0.0033707830611497884</v>
      </c>
      <c r="E105" s="131">
        <v>1.2632414347745815</v>
      </c>
      <c r="F105" s="87" t="s">
        <v>429</v>
      </c>
      <c r="G105" s="87" t="b">
        <v>0</v>
      </c>
      <c r="H105" s="87" t="b">
        <v>0</v>
      </c>
      <c r="I105" s="87" t="b">
        <v>0</v>
      </c>
      <c r="J105" s="87" t="b">
        <v>0</v>
      </c>
      <c r="K105" s="87" t="b">
        <v>0</v>
      </c>
      <c r="L105" s="87" t="b">
        <v>0</v>
      </c>
    </row>
    <row r="106" spans="1:12" ht="15">
      <c r="A106" s="84" t="s">
        <v>649</v>
      </c>
      <c r="B106" s="87" t="s">
        <v>655</v>
      </c>
      <c r="C106" s="87">
        <v>4</v>
      </c>
      <c r="D106" s="131">
        <v>0.0033707830611497884</v>
      </c>
      <c r="E106" s="131">
        <v>1.4393326938302626</v>
      </c>
      <c r="F106" s="87" t="s">
        <v>429</v>
      </c>
      <c r="G106" s="87" t="b">
        <v>0</v>
      </c>
      <c r="H106" s="87" t="b">
        <v>0</v>
      </c>
      <c r="I106" s="87" t="b">
        <v>0</v>
      </c>
      <c r="J106" s="87" t="b">
        <v>0</v>
      </c>
      <c r="K106" s="87" t="b">
        <v>0</v>
      </c>
      <c r="L106" s="87" t="b">
        <v>0</v>
      </c>
    </row>
    <row r="107" spans="1:12" ht="15">
      <c r="A107" s="84" t="s">
        <v>654</v>
      </c>
      <c r="B107" s="87" t="s">
        <v>639</v>
      </c>
      <c r="C107" s="87">
        <v>4</v>
      </c>
      <c r="D107" s="131">
        <v>0.0033707830611497884</v>
      </c>
      <c r="E107" s="131">
        <v>1.3424226808222062</v>
      </c>
      <c r="F107" s="87" t="s">
        <v>429</v>
      </c>
      <c r="G107" s="87" t="b">
        <v>0</v>
      </c>
      <c r="H107" s="87" t="b">
        <v>0</v>
      </c>
      <c r="I107" s="87" t="b">
        <v>0</v>
      </c>
      <c r="J107" s="87" t="b">
        <v>0</v>
      </c>
      <c r="K107" s="87" t="b">
        <v>0</v>
      </c>
      <c r="L107" s="87" t="b">
        <v>0</v>
      </c>
    </row>
    <row r="108" spans="1:12" ht="15">
      <c r="A108" s="84" t="s">
        <v>642</v>
      </c>
      <c r="B108" s="87" t="s">
        <v>640</v>
      </c>
      <c r="C108" s="87">
        <v>4</v>
      </c>
      <c r="D108" s="131">
        <v>0.0033707830611497884</v>
      </c>
      <c r="E108" s="131">
        <v>1.1663314217665248</v>
      </c>
      <c r="F108" s="87" t="s">
        <v>429</v>
      </c>
      <c r="G108" s="87" t="b">
        <v>0</v>
      </c>
      <c r="H108" s="87" t="b">
        <v>0</v>
      </c>
      <c r="I108" s="87" t="b">
        <v>0</v>
      </c>
      <c r="J108" s="87" t="b">
        <v>0</v>
      </c>
      <c r="K108" s="87" t="b">
        <v>0</v>
      </c>
      <c r="L108" s="87" t="b">
        <v>0</v>
      </c>
    </row>
    <row r="109" spans="1:12" ht="15">
      <c r="A109" s="84" t="s">
        <v>661</v>
      </c>
      <c r="B109" s="87" t="s">
        <v>647</v>
      </c>
      <c r="C109" s="87">
        <v>4</v>
      </c>
      <c r="D109" s="131">
        <v>0.0033707830611497884</v>
      </c>
      <c r="E109" s="131">
        <v>1.4393326938302626</v>
      </c>
      <c r="F109" s="87" t="s">
        <v>429</v>
      </c>
      <c r="G109" s="87" t="b">
        <v>0</v>
      </c>
      <c r="H109" s="87" t="b">
        <v>0</v>
      </c>
      <c r="I109" s="87" t="b">
        <v>0</v>
      </c>
      <c r="J109" s="87" t="b">
        <v>0</v>
      </c>
      <c r="K109" s="87" t="b">
        <v>0</v>
      </c>
      <c r="L109" s="87" t="b">
        <v>0</v>
      </c>
    </row>
    <row r="110" spans="1:12" ht="15">
      <c r="A110" s="84" t="s">
        <v>656</v>
      </c>
      <c r="B110" s="87" t="s">
        <v>640</v>
      </c>
      <c r="C110" s="87">
        <v>2</v>
      </c>
      <c r="D110" s="131">
        <v>0.012156000075409023</v>
      </c>
      <c r="E110" s="131">
        <v>1.2632414347745815</v>
      </c>
      <c r="F110" s="87" t="s">
        <v>429</v>
      </c>
      <c r="G110" s="87" t="b">
        <v>0</v>
      </c>
      <c r="H110" s="87" t="b">
        <v>0</v>
      </c>
      <c r="I110" s="87" t="b">
        <v>0</v>
      </c>
      <c r="J110" s="87" t="b">
        <v>0</v>
      </c>
      <c r="K110" s="87" t="b">
        <v>0</v>
      </c>
      <c r="L110" s="87" t="b">
        <v>0</v>
      </c>
    </row>
    <row r="111" spans="1:12" ht="15">
      <c r="A111" s="84" t="s">
        <v>715</v>
      </c>
      <c r="B111" s="87" t="s">
        <v>699</v>
      </c>
      <c r="C111" s="87">
        <v>2</v>
      </c>
      <c r="D111" s="131">
        <v>0</v>
      </c>
      <c r="E111" s="131">
        <v>1.0791812460476249</v>
      </c>
      <c r="F111" s="87" t="s">
        <v>430</v>
      </c>
      <c r="G111" s="87" t="b">
        <v>0</v>
      </c>
      <c r="H111" s="87" t="b">
        <v>0</v>
      </c>
      <c r="I111" s="87" t="b">
        <v>0</v>
      </c>
      <c r="J111" s="87" t="b">
        <v>0</v>
      </c>
      <c r="K111" s="87" t="b">
        <v>0</v>
      </c>
      <c r="L111" s="87" t="b">
        <v>0</v>
      </c>
    </row>
    <row r="112" spans="1:12" ht="15">
      <c r="A112" s="84" t="s">
        <v>646</v>
      </c>
      <c r="B112" s="87" t="s">
        <v>637</v>
      </c>
      <c r="C112" s="87">
        <v>2</v>
      </c>
      <c r="D112" s="131">
        <v>0</v>
      </c>
      <c r="E112" s="131">
        <v>1.0791812460476249</v>
      </c>
      <c r="F112" s="87" t="s">
        <v>430</v>
      </c>
      <c r="G112" s="87" t="b">
        <v>0</v>
      </c>
      <c r="H112" s="87" t="b">
        <v>0</v>
      </c>
      <c r="I112" s="87" t="b">
        <v>0</v>
      </c>
      <c r="J112" s="87" t="b">
        <v>0</v>
      </c>
      <c r="K112" s="87" t="b">
        <v>0</v>
      </c>
      <c r="L112" s="87" t="b">
        <v>0</v>
      </c>
    </row>
    <row r="113" spans="1:12" ht="15">
      <c r="A113" s="84" t="s">
        <v>656</v>
      </c>
      <c r="B113" s="87" t="s">
        <v>709</v>
      </c>
      <c r="C113" s="87">
        <v>2</v>
      </c>
      <c r="D113" s="131">
        <v>0</v>
      </c>
      <c r="E113" s="131">
        <v>1.0791812460476249</v>
      </c>
      <c r="F113" s="87" t="s">
        <v>430</v>
      </c>
      <c r="G113" s="87" t="b">
        <v>0</v>
      </c>
      <c r="H113" s="87" t="b">
        <v>0</v>
      </c>
      <c r="I113" s="87" t="b">
        <v>0</v>
      </c>
      <c r="J113" s="87" t="b">
        <v>0</v>
      </c>
      <c r="K113" s="87" t="b">
        <v>0</v>
      </c>
      <c r="L113" s="87" t="b">
        <v>0</v>
      </c>
    </row>
    <row r="114" spans="1:12" ht="15">
      <c r="A114" s="84" t="s">
        <v>663</v>
      </c>
      <c r="B114" s="87" t="s">
        <v>707</v>
      </c>
      <c r="C114" s="87">
        <v>2</v>
      </c>
      <c r="D114" s="131">
        <v>0</v>
      </c>
      <c r="E114" s="131">
        <v>1.0791812460476249</v>
      </c>
      <c r="F114" s="87" t="s">
        <v>430</v>
      </c>
      <c r="G114" s="87" t="b">
        <v>0</v>
      </c>
      <c r="H114" s="87" t="b">
        <v>0</v>
      </c>
      <c r="I114" s="87" t="b">
        <v>0</v>
      </c>
      <c r="J114" s="87" t="b">
        <v>0</v>
      </c>
      <c r="K114" s="87" t="b">
        <v>0</v>
      </c>
      <c r="L114" s="87" t="b">
        <v>0</v>
      </c>
    </row>
    <row r="115" spans="1:12" ht="15">
      <c r="A115" s="84" t="s">
        <v>709</v>
      </c>
      <c r="B115" s="87" t="s">
        <v>251</v>
      </c>
      <c r="C115" s="87">
        <v>2</v>
      </c>
      <c r="D115" s="131">
        <v>0</v>
      </c>
      <c r="E115" s="131">
        <v>1.0791812460476249</v>
      </c>
      <c r="F115" s="87" t="s">
        <v>430</v>
      </c>
      <c r="G115" s="87" t="b">
        <v>0</v>
      </c>
      <c r="H115" s="87" t="b">
        <v>0</v>
      </c>
      <c r="I115" s="87" t="b">
        <v>0</v>
      </c>
      <c r="J115" s="87" t="b">
        <v>0</v>
      </c>
      <c r="K115" s="87" t="b">
        <v>0</v>
      </c>
      <c r="L115" s="87" t="b">
        <v>0</v>
      </c>
    </row>
    <row r="116" spans="1:12" ht="15">
      <c r="A116" s="84" t="s">
        <v>678</v>
      </c>
      <c r="B116" s="87" t="s">
        <v>697</v>
      </c>
      <c r="C116" s="87">
        <v>2</v>
      </c>
      <c r="D116" s="131">
        <v>0</v>
      </c>
      <c r="E116" s="131">
        <v>1.0791812460476249</v>
      </c>
      <c r="F116" s="87" t="s">
        <v>430</v>
      </c>
      <c r="G116" s="87" t="b">
        <v>0</v>
      </c>
      <c r="H116" s="87" t="b">
        <v>0</v>
      </c>
      <c r="I116" s="87" t="b">
        <v>0</v>
      </c>
      <c r="J116" s="87" t="b">
        <v>0</v>
      </c>
      <c r="K116" s="87" t="b">
        <v>0</v>
      </c>
      <c r="L116" s="87" t="b">
        <v>0</v>
      </c>
    </row>
    <row r="117" spans="1:12" ht="15">
      <c r="A117" s="84" t="s">
        <v>251</v>
      </c>
      <c r="B117" s="87" t="s">
        <v>686</v>
      </c>
      <c r="C117" s="87">
        <v>2</v>
      </c>
      <c r="D117" s="131">
        <v>0</v>
      </c>
      <c r="E117" s="131">
        <v>1.0791812460476249</v>
      </c>
      <c r="F117" s="87" t="s">
        <v>430</v>
      </c>
      <c r="G117" s="87" t="b">
        <v>0</v>
      </c>
      <c r="H117" s="87" t="b">
        <v>0</v>
      </c>
      <c r="I117" s="87" t="b">
        <v>0</v>
      </c>
      <c r="J117" s="87" t="b">
        <v>0</v>
      </c>
      <c r="K117" s="87" t="b">
        <v>0</v>
      </c>
      <c r="L117" s="87" t="b">
        <v>0</v>
      </c>
    </row>
    <row r="118" spans="1:12" ht="15">
      <c r="A118" s="84" t="s">
        <v>697</v>
      </c>
      <c r="B118" s="87" t="s">
        <v>656</v>
      </c>
      <c r="C118" s="87">
        <v>2</v>
      </c>
      <c r="D118" s="131">
        <v>0</v>
      </c>
      <c r="E118" s="131">
        <v>1.0791812460476249</v>
      </c>
      <c r="F118" s="87" t="s">
        <v>430</v>
      </c>
      <c r="G118" s="87" t="b">
        <v>0</v>
      </c>
      <c r="H118" s="87" t="b">
        <v>0</v>
      </c>
      <c r="I118" s="87" t="b">
        <v>0</v>
      </c>
      <c r="J118" s="87" t="b">
        <v>0</v>
      </c>
      <c r="K118" s="87" t="b">
        <v>0</v>
      </c>
      <c r="L118" s="87" t="b">
        <v>0</v>
      </c>
    </row>
    <row r="119" spans="1:12" ht="15">
      <c r="A119" s="84" t="s">
        <v>686</v>
      </c>
      <c r="B119" s="87" t="s">
        <v>663</v>
      </c>
      <c r="C119" s="87">
        <v>2</v>
      </c>
      <c r="D119" s="131">
        <v>0</v>
      </c>
      <c r="E119" s="131">
        <v>1.0791812460476249</v>
      </c>
      <c r="F119" s="87" t="s">
        <v>430</v>
      </c>
      <c r="G119" s="87" t="b">
        <v>0</v>
      </c>
      <c r="H119" s="87" t="b">
        <v>0</v>
      </c>
      <c r="I119" s="87" t="b">
        <v>0</v>
      </c>
      <c r="J119" s="87" t="b">
        <v>0</v>
      </c>
      <c r="K119" s="87" t="b">
        <v>0</v>
      </c>
      <c r="L119" s="87" t="b">
        <v>0</v>
      </c>
    </row>
    <row r="120" spans="1:12" ht="15">
      <c r="A120" s="84" t="s">
        <v>637</v>
      </c>
      <c r="B120" s="87" t="s">
        <v>635</v>
      </c>
      <c r="C120" s="87">
        <v>2</v>
      </c>
      <c r="D120" s="131">
        <v>0</v>
      </c>
      <c r="E120" s="131">
        <v>1.0791812460476249</v>
      </c>
      <c r="F120" s="87" t="s">
        <v>430</v>
      </c>
      <c r="G120" s="87" t="b">
        <v>0</v>
      </c>
      <c r="H120" s="87" t="b">
        <v>0</v>
      </c>
      <c r="I120" s="87" t="b">
        <v>0</v>
      </c>
      <c r="J120" s="87" t="b">
        <v>0</v>
      </c>
      <c r="K120" s="87" t="b">
        <v>0</v>
      </c>
      <c r="L120" s="87" t="b">
        <v>0</v>
      </c>
    </row>
    <row r="121" spans="1:12" ht="15">
      <c r="A121" s="84" t="s">
        <v>699</v>
      </c>
      <c r="B121" s="87" t="s">
        <v>646</v>
      </c>
      <c r="C121" s="87">
        <v>2</v>
      </c>
      <c r="D121" s="131">
        <v>0</v>
      </c>
      <c r="E121" s="131">
        <v>1.0791812460476249</v>
      </c>
      <c r="F121" s="87" t="s">
        <v>430</v>
      </c>
      <c r="G121" s="87" t="b">
        <v>0</v>
      </c>
      <c r="H121" s="87" t="b">
        <v>0</v>
      </c>
      <c r="I121" s="87" t="b">
        <v>0</v>
      </c>
      <c r="J121" s="87" t="b">
        <v>0</v>
      </c>
      <c r="K121" s="87" t="b">
        <v>0</v>
      </c>
      <c r="L121" s="87" t="b">
        <v>0</v>
      </c>
    </row>
    <row r="122" spans="1:12" ht="15">
      <c r="A122" s="84" t="s">
        <v>707</v>
      </c>
      <c r="B122" s="87" t="s">
        <v>715</v>
      </c>
      <c r="C122" s="87">
        <v>2</v>
      </c>
      <c r="D122" s="131">
        <v>0</v>
      </c>
      <c r="E122" s="131">
        <v>1.0791812460476249</v>
      </c>
      <c r="F122" s="87" t="s">
        <v>430</v>
      </c>
      <c r="G122" s="87" t="b">
        <v>0</v>
      </c>
      <c r="H122" s="87" t="b">
        <v>0</v>
      </c>
      <c r="I122" s="87" t="b">
        <v>0</v>
      </c>
      <c r="J122" s="87" t="b">
        <v>0</v>
      </c>
      <c r="K122" s="87" t="b">
        <v>0</v>
      </c>
      <c r="L122" s="87" t="b">
        <v>0</v>
      </c>
    </row>
    <row r="123" spans="1:12" ht="15">
      <c r="A123" s="84" t="s">
        <v>637</v>
      </c>
      <c r="B123" s="87" t="s">
        <v>635</v>
      </c>
      <c r="C123" s="87">
        <v>2</v>
      </c>
      <c r="D123" s="131">
        <v>0.0045737989365112015</v>
      </c>
      <c r="E123" s="131">
        <v>0.9941704563392761</v>
      </c>
      <c r="F123" s="87" t="s">
        <v>431</v>
      </c>
      <c r="G123" s="87" t="b">
        <v>0</v>
      </c>
      <c r="H123" s="87" t="b">
        <v>0</v>
      </c>
      <c r="I123" s="87" t="b">
        <v>0</v>
      </c>
      <c r="J123" s="87" t="b">
        <v>0</v>
      </c>
      <c r="K123" s="87" t="b">
        <v>0</v>
      </c>
      <c r="L123" s="87" t="b">
        <v>0</v>
      </c>
    </row>
    <row r="124" spans="1:12" ht="15">
      <c r="A124" s="84" t="s">
        <v>638</v>
      </c>
      <c r="B124" s="87" t="s">
        <v>690</v>
      </c>
      <c r="C124" s="87">
        <v>2</v>
      </c>
      <c r="D124" s="131">
        <v>0</v>
      </c>
      <c r="E124" s="131">
        <v>0.9700367766225568</v>
      </c>
      <c r="F124" s="87" t="s">
        <v>432</v>
      </c>
      <c r="G124" s="87" t="b">
        <v>0</v>
      </c>
      <c r="H124" s="87" t="b">
        <v>0</v>
      </c>
      <c r="I124" s="87" t="b">
        <v>0</v>
      </c>
      <c r="J124" s="87" t="b">
        <v>0</v>
      </c>
      <c r="K124" s="87" t="b">
        <v>0</v>
      </c>
      <c r="L124" s="87" t="b">
        <v>0</v>
      </c>
    </row>
    <row r="125" spans="1:12" ht="15">
      <c r="A125" s="84" t="s">
        <v>687</v>
      </c>
      <c r="B125" s="87" t="s">
        <v>676</v>
      </c>
      <c r="C125" s="87">
        <v>2</v>
      </c>
      <c r="D125" s="131">
        <v>0</v>
      </c>
      <c r="E125" s="131">
        <v>1.4471580313422192</v>
      </c>
      <c r="F125" s="87" t="s">
        <v>432</v>
      </c>
      <c r="G125" s="87" t="b">
        <v>0</v>
      </c>
      <c r="H125" s="87" t="b">
        <v>0</v>
      </c>
      <c r="I125" s="87" t="b">
        <v>0</v>
      </c>
      <c r="J125" s="87" t="b">
        <v>0</v>
      </c>
      <c r="K125" s="87" t="b">
        <v>0</v>
      </c>
      <c r="L125" s="87" t="b">
        <v>0</v>
      </c>
    </row>
    <row r="126" spans="1:12" ht="15">
      <c r="A126" s="84" t="s">
        <v>695</v>
      </c>
      <c r="B126" s="87" t="s">
        <v>638</v>
      </c>
      <c r="C126" s="87">
        <v>2</v>
      </c>
      <c r="D126" s="131">
        <v>0</v>
      </c>
      <c r="E126" s="131">
        <v>1.146128035678238</v>
      </c>
      <c r="F126" s="87" t="s">
        <v>432</v>
      </c>
      <c r="G126" s="87" t="b">
        <v>0</v>
      </c>
      <c r="H126" s="87" t="b">
        <v>0</v>
      </c>
      <c r="I126" s="87" t="b">
        <v>0</v>
      </c>
      <c r="J126" s="87" t="b">
        <v>0</v>
      </c>
      <c r="K126" s="87" t="b">
        <v>0</v>
      </c>
      <c r="L126" s="87" t="b">
        <v>0</v>
      </c>
    </row>
    <row r="127" spans="1:12" ht="15">
      <c r="A127" s="84" t="s">
        <v>643</v>
      </c>
      <c r="B127" s="87" t="s">
        <v>716</v>
      </c>
      <c r="C127" s="87">
        <v>2</v>
      </c>
      <c r="D127" s="131">
        <v>0</v>
      </c>
      <c r="E127" s="131">
        <v>1.146128035678238</v>
      </c>
      <c r="F127" s="87" t="s">
        <v>432</v>
      </c>
      <c r="G127" s="87" t="b">
        <v>0</v>
      </c>
      <c r="H127" s="87" t="b">
        <v>0</v>
      </c>
      <c r="I127" s="87" t="b">
        <v>0</v>
      </c>
      <c r="J127" s="87" t="b">
        <v>0</v>
      </c>
      <c r="K127" s="87" t="b">
        <v>0</v>
      </c>
      <c r="L127" s="87" t="b">
        <v>0</v>
      </c>
    </row>
    <row r="128" spans="1:12" ht="15">
      <c r="A128" s="84" t="s">
        <v>689</v>
      </c>
      <c r="B128" s="87" t="s">
        <v>670</v>
      </c>
      <c r="C128" s="87">
        <v>2</v>
      </c>
      <c r="D128" s="131">
        <v>0</v>
      </c>
      <c r="E128" s="131">
        <v>1.4471580313422192</v>
      </c>
      <c r="F128" s="87" t="s">
        <v>432</v>
      </c>
      <c r="G128" s="87" t="b">
        <v>0</v>
      </c>
      <c r="H128" s="87" t="b">
        <v>0</v>
      </c>
      <c r="I128" s="87" t="b">
        <v>0</v>
      </c>
      <c r="J128" s="87" t="b">
        <v>0</v>
      </c>
      <c r="K128" s="87" t="b">
        <v>0</v>
      </c>
      <c r="L128" s="87" t="b">
        <v>0</v>
      </c>
    </row>
    <row r="129" spans="1:12" ht="15">
      <c r="A129" s="84" t="s">
        <v>690</v>
      </c>
      <c r="B129" s="87" t="s">
        <v>673</v>
      </c>
      <c r="C129" s="87">
        <v>2</v>
      </c>
      <c r="D129" s="131">
        <v>0</v>
      </c>
      <c r="E129" s="131">
        <v>1.4471580313422192</v>
      </c>
      <c r="F129" s="87" t="s">
        <v>432</v>
      </c>
      <c r="G129" s="87" t="b">
        <v>0</v>
      </c>
      <c r="H129" s="87" t="b">
        <v>0</v>
      </c>
      <c r="I129" s="87" t="b">
        <v>0</v>
      </c>
      <c r="J129" s="87" t="b">
        <v>0</v>
      </c>
      <c r="K129" s="87" t="b">
        <v>0</v>
      </c>
      <c r="L129" s="87" t="b">
        <v>0</v>
      </c>
    </row>
    <row r="130" spans="1:12" ht="15">
      <c r="A130" s="84" t="s">
        <v>671</v>
      </c>
      <c r="B130" s="87" t="s">
        <v>636</v>
      </c>
      <c r="C130" s="87">
        <v>2</v>
      </c>
      <c r="D130" s="131">
        <v>0</v>
      </c>
      <c r="E130" s="131">
        <v>1.4471580313422192</v>
      </c>
      <c r="F130" s="87" t="s">
        <v>432</v>
      </c>
      <c r="G130" s="87" t="b">
        <v>0</v>
      </c>
      <c r="H130" s="87" t="b">
        <v>0</v>
      </c>
      <c r="I130" s="87" t="b">
        <v>0</v>
      </c>
      <c r="J130" s="87" t="b">
        <v>0</v>
      </c>
      <c r="K130" s="87" t="b">
        <v>0</v>
      </c>
      <c r="L130" s="87" t="b">
        <v>0</v>
      </c>
    </row>
    <row r="131" spans="1:12" ht="15">
      <c r="A131" s="84" t="s">
        <v>673</v>
      </c>
      <c r="B131" s="87" t="s">
        <v>675</v>
      </c>
      <c r="C131" s="87">
        <v>2</v>
      </c>
      <c r="D131" s="131">
        <v>0</v>
      </c>
      <c r="E131" s="131">
        <v>1.4471580313422192</v>
      </c>
      <c r="F131" s="87" t="s">
        <v>432</v>
      </c>
      <c r="G131" s="87" t="b">
        <v>0</v>
      </c>
      <c r="H131" s="87" t="b">
        <v>0</v>
      </c>
      <c r="I131" s="87" t="b">
        <v>0</v>
      </c>
      <c r="J131" s="87" t="b">
        <v>0</v>
      </c>
      <c r="K131" s="87" t="b">
        <v>0</v>
      </c>
      <c r="L131" s="87" t="b">
        <v>0</v>
      </c>
    </row>
    <row r="132" spans="1:12" ht="15">
      <c r="A132" s="84" t="s">
        <v>683</v>
      </c>
      <c r="B132" s="87" t="s">
        <v>679</v>
      </c>
      <c r="C132" s="87">
        <v>2</v>
      </c>
      <c r="D132" s="131">
        <v>0</v>
      </c>
      <c r="E132" s="131">
        <v>1.4471580313422192</v>
      </c>
      <c r="F132" s="87" t="s">
        <v>432</v>
      </c>
      <c r="G132" s="87" t="b">
        <v>0</v>
      </c>
      <c r="H132" s="87" t="b">
        <v>0</v>
      </c>
      <c r="I132" s="87" t="b">
        <v>0</v>
      </c>
      <c r="J132" s="87" t="b">
        <v>0</v>
      </c>
      <c r="K132" s="87" t="b">
        <v>0</v>
      </c>
      <c r="L132" s="87" t="b">
        <v>0</v>
      </c>
    </row>
    <row r="133" spans="1:12" ht="15">
      <c r="A133" s="84" t="s">
        <v>637</v>
      </c>
      <c r="B133" s="87" t="s">
        <v>668</v>
      </c>
      <c r="C133" s="87">
        <v>2</v>
      </c>
      <c r="D133" s="131">
        <v>0</v>
      </c>
      <c r="E133" s="131">
        <v>1.4471580313422192</v>
      </c>
      <c r="F133" s="87" t="s">
        <v>432</v>
      </c>
      <c r="G133" s="87" t="b">
        <v>0</v>
      </c>
      <c r="H133" s="87" t="b">
        <v>0</v>
      </c>
      <c r="I133" s="87" t="b">
        <v>0</v>
      </c>
      <c r="J133" s="87" t="b">
        <v>0</v>
      </c>
      <c r="K133" s="87" t="b">
        <v>0</v>
      </c>
      <c r="L133" s="87" t="b">
        <v>0</v>
      </c>
    </row>
    <row r="134" spans="1:12" ht="15">
      <c r="A134" s="84" t="s">
        <v>648</v>
      </c>
      <c r="B134" s="87" t="s">
        <v>702</v>
      </c>
      <c r="C134" s="87">
        <v>2</v>
      </c>
      <c r="D134" s="131">
        <v>0</v>
      </c>
      <c r="E134" s="131">
        <v>1.146128035678238</v>
      </c>
      <c r="F134" s="87" t="s">
        <v>432</v>
      </c>
      <c r="G134" s="87" t="b">
        <v>0</v>
      </c>
      <c r="H134" s="87" t="b">
        <v>0</v>
      </c>
      <c r="I134" s="87" t="b">
        <v>0</v>
      </c>
      <c r="J134" s="87" t="b">
        <v>0</v>
      </c>
      <c r="K134" s="87" t="b">
        <v>0</v>
      </c>
      <c r="L134" s="87" t="b">
        <v>0</v>
      </c>
    </row>
    <row r="135" spans="1:12" ht="15">
      <c r="A135" s="84" t="s">
        <v>676</v>
      </c>
      <c r="B135" s="87" t="s">
        <v>695</v>
      </c>
      <c r="C135" s="87">
        <v>2</v>
      </c>
      <c r="D135" s="131">
        <v>0</v>
      </c>
      <c r="E135" s="131">
        <v>1.4471580313422192</v>
      </c>
      <c r="F135" s="87" t="s">
        <v>432</v>
      </c>
      <c r="G135" s="87" t="b">
        <v>0</v>
      </c>
      <c r="H135" s="87" t="b">
        <v>0</v>
      </c>
      <c r="I135" s="87" t="b">
        <v>0</v>
      </c>
      <c r="J135" s="87" t="b">
        <v>0</v>
      </c>
      <c r="K135" s="87" t="b">
        <v>0</v>
      </c>
      <c r="L135" s="87" t="b">
        <v>0</v>
      </c>
    </row>
    <row r="136" spans="1:12" ht="15">
      <c r="A136" s="84" t="s">
        <v>648</v>
      </c>
      <c r="B136" s="87" t="s">
        <v>671</v>
      </c>
      <c r="C136" s="87">
        <v>2</v>
      </c>
      <c r="D136" s="131">
        <v>0</v>
      </c>
      <c r="E136" s="131">
        <v>1.146128035678238</v>
      </c>
      <c r="F136" s="87" t="s">
        <v>432</v>
      </c>
      <c r="G136" s="87" t="b">
        <v>0</v>
      </c>
      <c r="H136" s="87" t="b">
        <v>0</v>
      </c>
      <c r="I136" s="87" t="b">
        <v>0</v>
      </c>
      <c r="J136" s="87" t="b">
        <v>0</v>
      </c>
      <c r="K136" s="87" t="b">
        <v>0</v>
      </c>
      <c r="L136" s="87" t="b">
        <v>0</v>
      </c>
    </row>
    <row r="137" spans="1:12" ht="15">
      <c r="A137" s="84" t="s">
        <v>667</v>
      </c>
      <c r="B137" s="87" t="s">
        <v>687</v>
      </c>
      <c r="C137" s="87">
        <v>2</v>
      </c>
      <c r="D137" s="131">
        <v>0</v>
      </c>
      <c r="E137" s="131">
        <v>1.4471580313422192</v>
      </c>
      <c r="F137" s="87" t="s">
        <v>432</v>
      </c>
      <c r="G137" s="87" t="b">
        <v>0</v>
      </c>
      <c r="H137" s="87" t="b">
        <v>0</v>
      </c>
      <c r="I137" s="87" t="b">
        <v>0</v>
      </c>
      <c r="J137" s="87" t="b">
        <v>0</v>
      </c>
      <c r="K137" s="87" t="b">
        <v>0</v>
      </c>
      <c r="L137" s="87" t="b">
        <v>0</v>
      </c>
    </row>
    <row r="138" spans="1:12" ht="15">
      <c r="A138" s="84" t="s">
        <v>636</v>
      </c>
      <c r="B138" s="87" t="s">
        <v>683</v>
      </c>
      <c r="C138" s="87">
        <v>2</v>
      </c>
      <c r="D138" s="131">
        <v>0</v>
      </c>
      <c r="E138" s="131">
        <v>1.4471580313422192</v>
      </c>
      <c r="F138" s="87" t="s">
        <v>432</v>
      </c>
      <c r="G138" s="87" t="b">
        <v>0</v>
      </c>
      <c r="H138" s="87" t="b">
        <v>0</v>
      </c>
      <c r="I138" s="87" t="b">
        <v>0</v>
      </c>
      <c r="J138" s="87" t="b">
        <v>0</v>
      </c>
      <c r="K138" s="87" t="b">
        <v>0</v>
      </c>
      <c r="L138" s="87" t="b">
        <v>0</v>
      </c>
    </row>
    <row r="139" spans="1:12" ht="15">
      <c r="A139" s="84" t="s">
        <v>638</v>
      </c>
      <c r="B139" s="87" t="s">
        <v>694</v>
      </c>
      <c r="C139" s="87">
        <v>2</v>
      </c>
      <c r="D139" s="131">
        <v>0</v>
      </c>
      <c r="E139" s="131">
        <v>0.9700367766225568</v>
      </c>
      <c r="F139" s="87" t="s">
        <v>432</v>
      </c>
      <c r="G139" s="87" t="b">
        <v>0</v>
      </c>
      <c r="H139" s="87" t="b">
        <v>0</v>
      </c>
      <c r="I139" s="87" t="b">
        <v>0</v>
      </c>
      <c r="J139" s="87" t="b">
        <v>0</v>
      </c>
      <c r="K139" s="87" t="b">
        <v>0</v>
      </c>
      <c r="L139" s="87" t="b">
        <v>0</v>
      </c>
    </row>
    <row r="140" spans="1:12" ht="15">
      <c r="A140" s="84" t="s">
        <v>666</v>
      </c>
      <c r="B140" s="87" t="s">
        <v>648</v>
      </c>
      <c r="C140" s="87">
        <v>2</v>
      </c>
      <c r="D140" s="131">
        <v>0</v>
      </c>
      <c r="E140" s="131">
        <v>1.146128035678238</v>
      </c>
      <c r="F140" s="87" t="s">
        <v>432</v>
      </c>
      <c r="G140" s="87" t="b">
        <v>0</v>
      </c>
      <c r="H140" s="87" t="b">
        <v>0</v>
      </c>
      <c r="I140" s="87" t="b">
        <v>0</v>
      </c>
      <c r="J140" s="87" t="b">
        <v>0</v>
      </c>
      <c r="K140" s="87" t="b">
        <v>0</v>
      </c>
      <c r="L140" s="87" t="b">
        <v>0</v>
      </c>
    </row>
    <row r="141" spans="1:12" ht="15">
      <c r="A141" s="84" t="s">
        <v>679</v>
      </c>
      <c r="B141" s="87" t="s">
        <v>648</v>
      </c>
      <c r="C141" s="87">
        <v>2</v>
      </c>
      <c r="D141" s="131">
        <v>0</v>
      </c>
      <c r="E141" s="131">
        <v>1.146128035678238</v>
      </c>
      <c r="F141" s="87" t="s">
        <v>432</v>
      </c>
      <c r="G141" s="87" t="b">
        <v>0</v>
      </c>
      <c r="H141" s="87" t="b">
        <v>0</v>
      </c>
      <c r="I141" s="87" t="b">
        <v>0</v>
      </c>
      <c r="J141" s="87" t="b">
        <v>0</v>
      </c>
      <c r="K141" s="87" t="b">
        <v>0</v>
      </c>
      <c r="L141" s="87" t="b">
        <v>0</v>
      </c>
    </row>
    <row r="142" spans="1:12" ht="15">
      <c r="A142" s="84" t="s">
        <v>694</v>
      </c>
      <c r="B142" s="87" t="s">
        <v>710</v>
      </c>
      <c r="C142" s="87">
        <v>2</v>
      </c>
      <c r="D142" s="131">
        <v>0</v>
      </c>
      <c r="E142" s="131">
        <v>1.4471580313422192</v>
      </c>
      <c r="F142" s="87" t="s">
        <v>432</v>
      </c>
      <c r="G142" s="87" t="b">
        <v>0</v>
      </c>
      <c r="H142" s="87" t="b">
        <v>0</v>
      </c>
      <c r="I142" s="87" t="b">
        <v>0</v>
      </c>
      <c r="J142" s="87" t="b">
        <v>0</v>
      </c>
      <c r="K142" s="87" t="b">
        <v>0</v>
      </c>
      <c r="L142" s="87" t="b">
        <v>0</v>
      </c>
    </row>
    <row r="143" spans="1:12" ht="15">
      <c r="A143" s="84" t="s">
        <v>702</v>
      </c>
      <c r="B143" s="87" t="s">
        <v>643</v>
      </c>
      <c r="C143" s="87">
        <v>2</v>
      </c>
      <c r="D143" s="131">
        <v>0</v>
      </c>
      <c r="E143" s="131">
        <v>1.146128035678238</v>
      </c>
      <c r="F143" s="87" t="s">
        <v>432</v>
      </c>
      <c r="G143" s="87" t="b">
        <v>0</v>
      </c>
      <c r="H143" s="87" t="b">
        <v>0</v>
      </c>
      <c r="I143" s="87" t="b">
        <v>0</v>
      </c>
      <c r="J143" s="87" t="b">
        <v>0</v>
      </c>
      <c r="K143" s="87" t="b">
        <v>0</v>
      </c>
      <c r="L143" s="87" t="b">
        <v>0</v>
      </c>
    </row>
    <row r="144" spans="1:12" ht="15">
      <c r="A144" s="84" t="s">
        <v>692</v>
      </c>
      <c r="B144" s="87" t="s">
        <v>667</v>
      </c>
      <c r="C144" s="87">
        <v>2</v>
      </c>
      <c r="D144" s="131">
        <v>0</v>
      </c>
      <c r="E144" s="131">
        <v>1.4471580313422192</v>
      </c>
      <c r="F144" s="87" t="s">
        <v>432</v>
      </c>
      <c r="G144" s="87" t="b">
        <v>0</v>
      </c>
      <c r="H144" s="87" t="b">
        <v>0</v>
      </c>
      <c r="I144" s="87" t="b">
        <v>0</v>
      </c>
      <c r="J144" s="87" t="b">
        <v>0</v>
      </c>
      <c r="K144" s="87" t="b">
        <v>0</v>
      </c>
      <c r="L144" s="87" t="b">
        <v>0</v>
      </c>
    </row>
    <row r="145" spans="1:12" ht="15">
      <c r="A145" s="84" t="s">
        <v>710</v>
      </c>
      <c r="B145" s="87" t="s">
        <v>643</v>
      </c>
      <c r="C145" s="87">
        <v>2</v>
      </c>
      <c r="D145" s="131">
        <v>0</v>
      </c>
      <c r="E145" s="131">
        <v>1.146128035678238</v>
      </c>
      <c r="F145" s="87" t="s">
        <v>432</v>
      </c>
      <c r="G145" s="87" t="b">
        <v>0</v>
      </c>
      <c r="H145" s="87" t="b">
        <v>0</v>
      </c>
      <c r="I145" s="87" t="b">
        <v>0</v>
      </c>
      <c r="J145" s="87" t="b">
        <v>0</v>
      </c>
      <c r="K145" s="87" t="b">
        <v>0</v>
      </c>
      <c r="L145" s="87" t="b">
        <v>0</v>
      </c>
    </row>
    <row r="146" spans="1:12" ht="15">
      <c r="A146" s="84" t="s">
        <v>638</v>
      </c>
      <c r="B146" s="87" t="s">
        <v>672</v>
      </c>
      <c r="C146" s="87">
        <v>2</v>
      </c>
      <c r="D146" s="131">
        <v>0</v>
      </c>
      <c r="E146" s="131">
        <v>0.9700367766225568</v>
      </c>
      <c r="F146" s="87" t="s">
        <v>432</v>
      </c>
      <c r="G146" s="87" t="b">
        <v>0</v>
      </c>
      <c r="H146" s="87" t="b">
        <v>0</v>
      </c>
      <c r="I146" s="87" t="b">
        <v>0</v>
      </c>
      <c r="J146" s="87" t="b">
        <v>0</v>
      </c>
      <c r="K146" s="87" t="b">
        <v>0</v>
      </c>
      <c r="L146" s="87" t="b">
        <v>0</v>
      </c>
    </row>
    <row r="147" spans="1:12" ht="15">
      <c r="A147" s="84" t="s">
        <v>643</v>
      </c>
      <c r="B147" s="87" t="s">
        <v>689</v>
      </c>
      <c r="C147" s="87">
        <v>2</v>
      </c>
      <c r="D147" s="131">
        <v>0</v>
      </c>
      <c r="E147" s="131">
        <v>1.146128035678238</v>
      </c>
      <c r="F147" s="87" t="s">
        <v>432</v>
      </c>
      <c r="G147" s="87" t="b">
        <v>0</v>
      </c>
      <c r="H147" s="87" t="b">
        <v>0</v>
      </c>
      <c r="I147" s="87" t="b">
        <v>0</v>
      </c>
      <c r="J147" s="87" t="b">
        <v>0</v>
      </c>
      <c r="K147" s="87" t="b">
        <v>0</v>
      </c>
      <c r="L147" s="87" t="b">
        <v>0</v>
      </c>
    </row>
    <row r="148" spans="1:12" ht="15">
      <c r="A148" s="84" t="s">
        <v>672</v>
      </c>
      <c r="B148" s="87" t="s">
        <v>637</v>
      </c>
      <c r="C148" s="87">
        <v>2</v>
      </c>
      <c r="D148" s="131">
        <v>0</v>
      </c>
      <c r="E148" s="131">
        <v>1.4471580313422192</v>
      </c>
      <c r="F148" s="87" t="s">
        <v>432</v>
      </c>
      <c r="G148" s="87" t="b">
        <v>0</v>
      </c>
      <c r="H148" s="87" t="b">
        <v>0</v>
      </c>
      <c r="I148" s="87" t="b">
        <v>0</v>
      </c>
      <c r="J148" s="87" t="b">
        <v>0</v>
      </c>
      <c r="K148" s="87" t="b">
        <v>0</v>
      </c>
      <c r="L148" s="87" t="b">
        <v>0</v>
      </c>
    </row>
    <row r="149" spans="1:12" ht="15">
      <c r="A149" s="84" t="s">
        <v>716</v>
      </c>
      <c r="B149" s="87" t="s">
        <v>638</v>
      </c>
      <c r="C149" s="87">
        <v>2</v>
      </c>
      <c r="D149" s="131">
        <v>0</v>
      </c>
      <c r="E149" s="131">
        <v>1.146128035678238</v>
      </c>
      <c r="F149" s="87" t="s">
        <v>432</v>
      </c>
      <c r="G149" s="87" t="b">
        <v>0</v>
      </c>
      <c r="H149" s="87" t="b">
        <v>0</v>
      </c>
      <c r="I149" s="87" t="b">
        <v>0</v>
      </c>
      <c r="J149" s="87" t="b">
        <v>0</v>
      </c>
      <c r="K149" s="87" t="b">
        <v>0</v>
      </c>
      <c r="L149" s="87" t="b">
        <v>0</v>
      </c>
    </row>
    <row r="150" spans="1:12" ht="15">
      <c r="A150" s="84" t="s">
        <v>668</v>
      </c>
      <c r="B150" s="87" t="s">
        <v>666</v>
      </c>
      <c r="C150" s="87">
        <v>2</v>
      </c>
      <c r="D150" s="131">
        <v>0</v>
      </c>
      <c r="E150" s="131">
        <v>1.4471580313422192</v>
      </c>
      <c r="F150" s="87" t="s">
        <v>432</v>
      </c>
      <c r="G150" s="87" t="b">
        <v>0</v>
      </c>
      <c r="H150" s="87" t="b">
        <v>0</v>
      </c>
      <c r="I150" s="87" t="b">
        <v>0</v>
      </c>
      <c r="J150" s="87" t="b">
        <v>0</v>
      </c>
      <c r="K150" s="87" t="b">
        <v>0</v>
      </c>
      <c r="L150" s="87" t="b">
        <v>0</v>
      </c>
    </row>
    <row r="151" spans="1:12" ht="15">
      <c r="A151" s="84" t="s">
        <v>675</v>
      </c>
      <c r="B151" s="87" t="s">
        <v>692</v>
      </c>
      <c r="C151" s="87">
        <v>2</v>
      </c>
      <c r="D151" s="131">
        <v>0</v>
      </c>
      <c r="E151" s="131">
        <v>1.4471580313422192</v>
      </c>
      <c r="F151" s="87" t="s">
        <v>432</v>
      </c>
      <c r="G151" s="87" t="b">
        <v>0</v>
      </c>
      <c r="H151" s="87" t="b">
        <v>0</v>
      </c>
      <c r="I151" s="87" t="b">
        <v>0</v>
      </c>
      <c r="J151" s="87" t="b">
        <v>0</v>
      </c>
      <c r="K151" s="87" t="b">
        <v>0</v>
      </c>
      <c r="L151" s="87" t="b">
        <v>0</v>
      </c>
    </row>
    <row r="152" spans="1:12" ht="15">
      <c r="A152" s="84" t="s">
        <v>636</v>
      </c>
      <c r="B152" s="87" t="s">
        <v>635</v>
      </c>
      <c r="C152" s="87">
        <v>3</v>
      </c>
      <c r="D152" s="131">
        <v>0</v>
      </c>
      <c r="E152" s="131">
        <v>1.2937307569224816</v>
      </c>
      <c r="F152" s="87" t="s">
        <v>434</v>
      </c>
      <c r="G152" s="87" t="b">
        <v>0</v>
      </c>
      <c r="H152" s="87" t="b">
        <v>0</v>
      </c>
      <c r="I152" s="87" t="b">
        <v>0</v>
      </c>
      <c r="J152" s="87" t="b">
        <v>0</v>
      </c>
      <c r="K152" s="87" t="b">
        <v>0</v>
      </c>
      <c r="L152" s="87" t="b">
        <v>0</v>
      </c>
    </row>
    <row r="153" spans="1:12" ht="15">
      <c r="A153" s="84" t="s">
        <v>664</v>
      </c>
      <c r="B153" s="87" t="s">
        <v>636</v>
      </c>
      <c r="C153" s="87">
        <v>2</v>
      </c>
      <c r="D153" s="131">
        <v>0.0056803631953445555</v>
      </c>
      <c r="E153" s="131">
        <v>1.2937307569224816</v>
      </c>
      <c r="F153" s="87" t="s">
        <v>434</v>
      </c>
      <c r="G153" s="87" t="b">
        <v>0</v>
      </c>
      <c r="H153" s="87" t="b">
        <v>0</v>
      </c>
      <c r="I153" s="87" t="b">
        <v>0</v>
      </c>
      <c r="J153" s="87" t="b">
        <v>0</v>
      </c>
      <c r="K153" s="87" t="b">
        <v>0</v>
      </c>
      <c r="L153" s="87" t="b">
        <v>0</v>
      </c>
    </row>
    <row r="154" spans="1:12" ht="15">
      <c r="A154" s="84" t="s">
        <v>693</v>
      </c>
      <c r="B154" s="87" t="s">
        <v>681</v>
      </c>
      <c r="C154" s="87">
        <v>2</v>
      </c>
      <c r="D154" s="131">
        <v>0.0056803631953445555</v>
      </c>
      <c r="E154" s="131">
        <v>1.469822015978163</v>
      </c>
      <c r="F154" s="87" t="s">
        <v>434</v>
      </c>
      <c r="G154" s="87" t="b">
        <v>1</v>
      </c>
      <c r="H154" s="87" t="b">
        <v>0</v>
      </c>
      <c r="I154" s="87" t="b">
        <v>0</v>
      </c>
      <c r="J154" s="87" t="b">
        <v>0</v>
      </c>
      <c r="K154" s="87" t="b">
        <v>0</v>
      </c>
      <c r="L154" s="87" t="b">
        <v>0</v>
      </c>
    </row>
    <row r="155" spans="1:12" ht="15">
      <c r="A155" s="84" t="s">
        <v>696</v>
      </c>
      <c r="B155" s="87" t="s">
        <v>685</v>
      </c>
      <c r="C155" s="87">
        <v>2</v>
      </c>
      <c r="D155" s="131">
        <v>0.0056803631953445555</v>
      </c>
      <c r="E155" s="131">
        <v>1.469822015978163</v>
      </c>
      <c r="F155" s="87" t="s">
        <v>434</v>
      </c>
      <c r="G155" s="87" t="b">
        <v>0</v>
      </c>
      <c r="H155" s="87" t="b">
        <v>0</v>
      </c>
      <c r="I155" s="87" t="b">
        <v>0</v>
      </c>
      <c r="J155" s="87" t="b">
        <v>0</v>
      </c>
      <c r="K155" s="87" t="b">
        <v>0</v>
      </c>
      <c r="L155" s="87" t="b">
        <v>0</v>
      </c>
    </row>
    <row r="156" spans="1:12" ht="15">
      <c r="A156" s="84" t="s">
        <v>635</v>
      </c>
      <c r="B156" s="87" t="s">
        <v>637</v>
      </c>
      <c r="C156" s="87">
        <v>2</v>
      </c>
      <c r="D156" s="131">
        <v>0.0056803631953445555</v>
      </c>
      <c r="E156" s="131">
        <v>1.1176394978668005</v>
      </c>
      <c r="F156" s="87" t="s">
        <v>434</v>
      </c>
      <c r="G156" s="87" t="b">
        <v>0</v>
      </c>
      <c r="H156" s="87" t="b">
        <v>0</v>
      </c>
      <c r="I156" s="87" t="b">
        <v>0</v>
      </c>
      <c r="J156" s="87" t="b">
        <v>0</v>
      </c>
      <c r="K156" s="87" t="b">
        <v>0</v>
      </c>
      <c r="L156" s="87" t="b">
        <v>0</v>
      </c>
    </row>
    <row r="157" spans="1:12" ht="15">
      <c r="A157" s="84" t="s">
        <v>708</v>
      </c>
      <c r="B157" s="87" t="s">
        <v>714</v>
      </c>
      <c r="C157" s="87">
        <v>2</v>
      </c>
      <c r="D157" s="131">
        <v>0.0056803631953445555</v>
      </c>
      <c r="E157" s="131">
        <v>1.469822015978163</v>
      </c>
      <c r="F157" s="87" t="s">
        <v>434</v>
      </c>
      <c r="G157" s="87" t="b">
        <v>0</v>
      </c>
      <c r="H157" s="87" t="b">
        <v>0</v>
      </c>
      <c r="I157" s="87" t="b">
        <v>0</v>
      </c>
      <c r="J157" s="87" t="b">
        <v>0</v>
      </c>
      <c r="K157" s="87" t="b">
        <v>0</v>
      </c>
      <c r="L157" s="87" t="b">
        <v>0</v>
      </c>
    </row>
    <row r="158" spans="1:12" ht="15">
      <c r="A158" s="84" t="s">
        <v>681</v>
      </c>
      <c r="B158" s="87" t="s">
        <v>664</v>
      </c>
      <c r="C158" s="87">
        <v>2</v>
      </c>
      <c r="D158" s="131">
        <v>0.0056803631953445555</v>
      </c>
      <c r="E158" s="131">
        <v>1.469822015978163</v>
      </c>
      <c r="F158" s="87" t="s">
        <v>434</v>
      </c>
      <c r="G158" s="87" t="b">
        <v>0</v>
      </c>
      <c r="H158" s="87" t="b">
        <v>0</v>
      </c>
      <c r="I158" s="87" t="b">
        <v>0</v>
      </c>
      <c r="J158" s="87" t="b">
        <v>0</v>
      </c>
      <c r="K158" s="87" t="b">
        <v>0</v>
      </c>
      <c r="L158" s="87" t="b">
        <v>0</v>
      </c>
    </row>
    <row r="159" spans="1:12" ht="15">
      <c r="A159" s="84" t="s">
        <v>637</v>
      </c>
      <c r="B159" s="87" t="s">
        <v>696</v>
      </c>
      <c r="C159" s="87">
        <v>2</v>
      </c>
      <c r="D159" s="131">
        <v>0.0056803631953445555</v>
      </c>
      <c r="E159" s="131">
        <v>1.2937307569224816</v>
      </c>
      <c r="F159" s="87" t="s">
        <v>434</v>
      </c>
      <c r="G159" s="87" t="b">
        <v>0</v>
      </c>
      <c r="H159" s="87" t="b">
        <v>0</v>
      </c>
      <c r="I159" s="87" t="b">
        <v>0</v>
      </c>
      <c r="J159" s="87" t="b">
        <v>0</v>
      </c>
      <c r="K159" s="87" t="b">
        <v>0</v>
      </c>
      <c r="L159" s="87" t="b">
        <v>0</v>
      </c>
    </row>
    <row r="160" spans="1:12" ht="15">
      <c r="A160" s="84" t="s">
        <v>700</v>
      </c>
      <c r="B160" s="87" t="s">
        <v>691</v>
      </c>
      <c r="C160" s="87">
        <v>2</v>
      </c>
      <c r="D160" s="131">
        <v>0.0056803631953445555</v>
      </c>
      <c r="E160" s="131">
        <v>1.469822015978163</v>
      </c>
      <c r="F160" s="87" t="s">
        <v>434</v>
      </c>
      <c r="G160" s="87" t="b">
        <v>1</v>
      </c>
      <c r="H160" s="87" t="b">
        <v>0</v>
      </c>
      <c r="I160" s="87" t="b">
        <v>0</v>
      </c>
      <c r="J160" s="87" t="b">
        <v>0</v>
      </c>
      <c r="K160" s="87" t="b">
        <v>0</v>
      </c>
      <c r="L160" s="87" t="b">
        <v>0</v>
      </c>
    </row>
    <row r="161" spans="1:12" ht="15">
      <c r="A161" s="84" t="s">
        <v>714</v>
      </c>
      <c r="B161" s="87" t="s">
        <v>680</v>
      </c>
      <c r="C161" s="87">
        <v>2</v>
      </c>
      <c r="D161" s="131">
        <v>0.0056803631953445555</v>
      </c>
      <c r="E161" s="131">
        <v>1.469822015978163</v>
      </c>
      <c r="F161" s="87" t="s">
        <v>434</v>
      </c>
      <c r="G161" s="87" t="b">
        <v>0</v>
      </c>
      <c r="H161" s="87" t="b">
        <v>0</v>
      </c>
      <c r="I161" s="87" t="b">
        <v>0</v>
      </c>
      <c r="J161" s="87" t="b">
        <v>0</v>
      </c>
      <c r="K161" s="87" t="b">
        <v>0</v>
      </c>
      <c r="L161" s="87" t="b">
        <v>0</v>
      </c>
    </row>
    <row r="162" spans="1:12" ht="15">
      <c r="A162" s="84" t="s">
        <v>698</v>
      </c>
      <c r="B162" s="87" t="s">
        <v>705</v>
      </c>
      <c r="C162" s="87">
        <v>2</v>
      </c>
      <c r="D162" s="131">
        <v>0.0056803631953445555</v>
      </c>
      <c r="E162" s="131">
        <v>1.469822015978163</v>
      </c>
      <c r="F162" s="87" t="s">
        <v>434</v>
      </c>
      <c r="G162" s="87" t="b">
        <v>0</v>
      </c>
      <c r="H162" s="87" t="b">
        <v>0</v>
      </c>
      <c r="I162" s="87" t="b">
        <v>0</v>
      </c>
      <c r="J162" s="87" t="b">
        <v>0</v>
      </c>
      <c r="K162" s="87" t="b">
        <v>0</v>
      </c>
      <c r="L162" s="87" t="b">
        <v>0</v>
      </c>
    </row>
    <row r="163" spans="1:12" ht="15">
      <c r="A163" s="84" t="s">
        <v>665</v>
      </c>
      <c r="B163" s="87" t="s">
        <v>674</v>
      </c>
      <c r="C163" s="87">
        <v>2</v>
      </c>
      <c r="D163" s="131">
        <v>0.0056803631953445555</v>
      </c>
      <c r="E163" s="131">
        <v>1.469822015978163</v>
      </c>
      <c r="F163" s="87" t="s">
        <v>434</v>
      </c>
      <c r="G163" s="87" t="b">
        <v>0</v>
      </c>
      <c r="H163" s="87" t="b">
        <v>0</v>
      </c>
      <c r="I163" s="87" t="b">
        <v>0</v>
      </c>
      <c r="J163" s="87" t="b">
        <v>0</v>
      </c>
      <c r="K163" s="87" t="b">
        <v>0</v>
      </c>
      <c r="L163" s="87" t="b">
        <v>0</v>
      </c>
    </row>
    <row r="164" spans="1:12" ht="15">
      <c r="A164" s="84" t="s">
        <v>711</v>
      </c>
      <c r="B164" s="87" t="s">
        <v>677</v>
      </c>
      <c r="C164" s="87">
        <v>2</v>
      </c>
      <c r="D164" s="131">
        <v>0.0056803631953445555</v>
      </c>
      <c r="E164" s="131">
        <v>1.469822015978163</v>
      </c>
      <c r="F164" s="87" t="s">
        <v>434</v>
      </c>
      <c r="G164" s="87" t="b">
        <v>0</v>
      </c>
      <c r="H164" s="87" t="b">
        <v>0</v>
      </c>
      <c r="I164" s="87" t="b">
        <v>0</v>
      </c>
      <c r="J164" s="87" t="b">
        <v>0</v>
      </c>
      <c r="K164" s="87" t="b">
        <v>0</v>
      </c>
      <c r="L164" s="87" t="b">
        <v>0</v>
      </c>
    </row>
    <row r="165" spans="1:12" ht="15">
      <c r="A165" s="84" t="s">
        <v>651</v>
      </c>
      <c r="B165" s="87" t="s">
        <v>698</v>
      </c>
      <c r="C165" s="87">
        <v>2</v>
      </c>
      <c r="D165" s="131">
        <v>0.0056803631953445555</v>
      </c>
      <c r="E165" s="131">
        <v>1.469822015978163</v>
      </c>
      <c r="F165" s="87" t="s">
        <v>434</v>
      </c>
      <c r="G165" s="87" t="b">
        <v>1</v>
      </c>
      <c r="H165" s="87" t="b">
        <v>0</v>
      </c>
      <c r="I165" s="87" t="b">
        <v>0</v>
      </c>
      <c r="J165" s="87" t="b">
        <v>0</v>
      </c>
      <c r="K165" s="87" t="b">
        <v>0</v>
      </c>
      <c r="L165" s="87" t="b">
        <v>0</v>
      </c>
    </row>
    <row r="166" spans="1:12" ht="15">
      <c r="A166" s="84" t="s">
        <v>680</v>
      </c>
      <c r="B166" s="87" t="s">
        <v>700</v>
      </c>
      <c r="C166" s="87">
        <v>2</v>
      </c>
      <c r="D166" s="131">
        <v>0.0056803631953445555</v>
      </c>
      <c r="E166" s="131">
        <v>1.469822015978163</v>
      </c>
      <c r="F166" s="87" t="s">
        <v>434</v>
      </c>
      <c r="G166" s="87" t="b">
        <v>0</v>
      </c>
      <c r="H166" s="87" t="b">
        <v>0</v>
      </c>
      <c r="I166" s="87" t="b">
        <v>0</v>
      </c>
      <c r="J166" s="87" t="b">
        <v>1</v>
      </c>
      <c r="K166" s="87" t="b">
        <v>0</v>
      </c>
      <c r="L166" s="87" t="b">
        <v>0</v>
      </c>
    </row>
    <row r="167" spans="1:12" ht="15">
      <c r="A167" s="84" t="s">
        <v>677</v>
      </c>
      <c r="B167" s="87" t="s">
        <v>703</v>
      </c>
      <c r="C167" s="87">
        <v>2</v>
      </c>
      <c r="D167" s="131">
        <v>0.0056803631953445555</v>
      </c>
      <c r="E167" s="131">
        <v>1.469822015978163</v>
      </c>
      <c r="F167" s="87" t="s">
        <v>434</v>
      </c>
      <c r="G167" s="87" t="b">
        <v>0</v>
      </c>
      <c r="H167" s="87" t="b">
        <v>0</v>
      </c>
      <c r="I167" s="87" t="b">
        <v>0</v>
      </c>
      <c r="J167" s="87" t="b">
        <v>0</v>
      </c>
      <c r="K167" s="87" t="b">
        <v>0</v>
      </c>
      <c r="L167" s="87" t="b">
        <v>0</v>
      </c>
    </row>
    <row r="168" spans="1:12" ht="15">
      <c r="A168" s="84" t="s">
        <v>705</v>
      </c>
      <c r="B168" s="87" t="s">
        <v>693</v>
      </c>
      <c r="C168" s="87">
        <v>2</v>
      </c>
      <c r="D168" s="131">
        <v>0.0056803631953445555</v>
      </c>
      <c r="E168" s="131">
        <v>1.469822015978163</v>
      </c>
      <c r="F168" s="87" t="s">
        <v>434</v>
      </c>
      <c r="G168" s="87" t="b">
        <v>0</v>
      </c>
      <c r="H168" s="87" t="b">
        <v>0</v>
      </c>
      <c r="I168" s="87" t="b">
        <v>0</v>
      </c>
      <c r="J168" s="87" t="b">
        <v>1</v>
      </c>
      <c r="K168" s="87" t="b">
        <v>0</v>
      </c>
      <c r="L168" s="87" t="b">
        <v>0</v>
      </c>
    </row>
    <row r="169" spans="1:12" ht="15">
      <c r="A169" s="84" t="s">
        <v>706</v>
      </c>
      <c r="B169" s="87" t="s">
        <v>688</v>
      </c>
      <c r="C169" s="87">
        <v>2</v>
      </c>
      <c r="D169" s="131">
        <v>0.0056803631953445555</v>
      </c>
      <c r="E169" s="131">
        <v>1.469822015978163</v>
      </c>
      <c r="F169" s="87" t="s">
        <v>434</v>
      </c>
      <c r="G169" s="87" t="b">
        <v>0</v>
      </c>
      <c r="H169" s="87" t="b">
        <v>0</v>
      </c>
      <c r="I169" s="87" t="b">
        <v>0</v>
      </c>
      <c r="J169" s="87" t="b">
        <v>0</v>
      </c>
      <c r="K169" s="87" t="b">
        <v>0</v>
      </c>
      <c r="L169" s="87" t="b">
        <v>0</v>
      </c>
    </row>
    <row r="170" spans="1:12" ht="15">
      <c r="A170" s="84" t="s">
        <v>691</v>
      </c>
      <c r="B170" s="87" t="s">
        <v>706</v>
      </c>
      <c r="C170" s="87">
        <v>2</v>
      </c>
      <c r="D170" s="131">
        <v>0.0056803631953445555</v>
      </c>
      <c r="E170" s="131">
        <v>1.469822015978163</v>
      </c>
      <c r="F170" s="87" t="s">
        <v>434</v>
      </c>
      <c r="G170" s="87" t="b">
        <v>0</v>
      </c>
      <c r="H170" s="87" t="b">
        <v>0</v>
      </c>
      <c r="I170" s="87" t="b">
        <v>0</v>
      </c>
      <c r="J170" s="87" t="b">
        <v>0</v>
      </c>
      <c r="K170" s="87" t="b">
        <v>0</v>
      </c>
      <c r="L170" s="87" t="b">
        <v>0</v>
      </c>
    </row>
    <row r="171" spans="1:12" ht="15">
      <c r="A171" s="84" t="s">
        <v>703</v>
      </c>
      <c r="B171" s="87" t="s">
        <v>704</v>
      </c>
      <c r="C171" s="87">
        <v>2</v>
      </c>
      <c r="D171" s="131">
        <v>0.0056803631953445555</v>
      </c>
      <c r="E171" s="131">
        <v>1.469822015978163</v>
      </c>
      <c r="F171" s="87" t="s">
        <v>434</v>
      </c>
      <c r="G171" s="87" t="b">
        <v>0</v>
      </c>
      <c r="H171" s="87" t="b">
        <v>0</v>
      </c>
      <c r="I171" s="87" t="b">
        <v>0</v>
      </c>
      <c r="J171" s="87" t="b">
        <v>0</v>
      </c>
      <c r="K171" s="87" t="b">
        <v>0</v>
      </c>
      <c r="L171" s="87" t="b">
        <v>0</v>
      </c>
    </row>
    <row r="172" spans="1:12" ht="15">
      <c r="A172" s="84" t="s">
        <v>704</v>
      </c>
      <c r="B172" s="87" t="s">
        <v>708</v>
      </c>
      <c r="C172" s="87">
        <v>2</v>
      </c>
      <c r="D172" s="131">
        <v>0.0056803631953445555</v>
      </c>
      <c r="E172" s="131">
        <v>1.469822015978163</v>
      </c>
      <c r="F172" s="87" t="s">
        <v>434</v>
      </c>
      <c r="G172" s="87" t="b">
        <v>0</v>
      </c>
      <c r="H172" s="87" t="b">
        <v>0</v>
      </c>
      <c r="I172" s="87" t="b">
        <v>0</v>
      </c>
      <c r="J172" s="87" t="b">
        <v>0</v>
      </c>
      <c r="K172" s="87" t="b">
        <v>0</v>
      </c>
      <c r="L172" s="87" t="b">
        <v>0</v>
      </c>
    </row>
    <row r="173" spans="1:12" ht="15">
      <c r="A173" s="84" t="s">
        <v>688</v>
      </c>
      <c r="B173" s="87" t="s">
        <v>651</v>
      </c>
      <c r="C173" s="87">
        <v>2</v>
      </c>
      <c r="D173" s="131">
        <v>0.0056803631953445555</v>
      </c>
      <c r="E173" s="131">
        <v>1.1687920203141817</v>
      </c>
      <c r="F173" s="87" t="s">
        <v>434</v>
      </c>
      <c r="G173" s="87" t="b">
        <v>0</v>
      </c>
      <c r="H173" s="87" t="b">
        <v>0</v>
      </c>
      <c r="I173" s="87" t="b">
        <v>0</v>
      </c>
      <c r="J173" s="87" t="b">
        <v>1</v>
      </c>
      <c r="K173" s="87" t="b">
        <v>0</v>
      </c>
      <c r="L173" s="87" t="b">
        <v>0</v>
      </c>
    </row>
    <row r="174" spans="1:12" ht="15">
      <c r="A174" s="84" t="s">
        <v>674</v>
      </c>
      <c r="B174" s="87" t="s">
        <v>651</v>
      </c>
      <c r="C174" s="87">
        <v>2</v>
      </c>
      <c r="D174" s="131">
        <v>0.0056803631953445555</v>
      </c>
      <c r="E174" s="131">
        <v>1.1687920203141817</v>
      </c>
      <c r="F174" s="87" t="s">
        <v>434</v>
      </c>
      <c r="G174" s="87" t="b">
        <v>0</v>
      </c>
      <c r="H174" s="87" t="b">
        <v>0</v>
      </c>
      <c r="I174" s="87" t="b">
        <v>0</v>
      </c>
      <c r="J174" s="87" t="b">
        <v>1</v>
      </c>
      <c r="K174" s="87" t="b">
        <v>0</v>
      </c>
      <c r="L174" s="87" t="b">
        <v>0</v>
      </c>
    </row>
    <row r="175" spans="1:12" ht="15">
      <c r="A175" s="84" t="s">
        <v>685</v>
      </c>
      <c r="B175" s="87" t="s">
        <v>665</v>
      </c>
      <c r="C175" s="87">
        <v>2</v>
      </c>
      <c r="D175" s="131">
        <v>0.0056803631953445555</v>
      </c>
      <c r="E175" s="131">
        <v>1.469822015978163</v>
      </c>
      <c r="F175" s="87" t="s">
        <v>434</v>
      </c>
      <c r="G175" s="87" t="b">
        <v>0</v>
      </c>
      <c r="H175" s="87" t="b">
        <v>0</v>
      </c>
      <c r="I175" s="87" t="b">
        <v>0</v>
      </c>
      <c r="J175" s="87" t="b">
        <v>0</v>
      </c>
      <c r="K175" s="87" t="b">
        <v>0</v>
      </c>
      <c r="L175" s="87"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12E1E-6C56-4BD4-856A-A00E4BA6D123}">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1" t="s">
        <v>42</v>
      </c>
    </row>
    <row r="2" spans="1:3" ht="15" customHeight="1">
      <c r="A2" s="7" t="s">
        <v>746</v>
      </c>
      <c r="B2" s="134" t="s">
        <v>747</v>
      </c>
      <c r="C2" s="64" t="s">
        <v>748</v>
      </c>
    </row>
    <row r="3" spans="1:3" ht="15">
      <c r="A3" s="133" t="s">
        <v>429</v>
      </c>
      <c r="B3" s="133" t="s">
        <v>429</v>
      </c>
      <c r="C3" s="32">
        <v>12</v>
      </c>
    </row>
    <row r="4" spans="1:3" ht="15">
      <c r="A4" s="133" t="s">
        <v>430</v>
      </c>
      <c r="B4" s="133" t="s">
        <v>430</v>
      </c>
      <c r="C4" s="32">
        <v>3</v>
      </c>
    </row>
    <row r="5" spans="1:3" ht="15">
      <c r="A5" s="133" t="s">
        <v>431</v>
      </c>
      <c r="B5" s="133" t="s">
        <v>431</v>
      </c>
      <c r="C5" s="32">
        <v>3</v>
      </c>
    </row>
    <row r="6" spans="1:3" ht="15">
      <c r="A6" s="133" t="s">
        <v>432</v>
      </c>
      <c r="B6" s="133" t="s">
        <v>432</v>
      </c>
      <c r="C6" s="32">
        <v>2</v>
      </c>
    </row>
    <row r="7" spans="1:3" ht="15">
      <c r="A7" s="133" t="s">
        <v>433</v>
      </c>
      <c r="B7" s="133" t="s">
        <v>429</v>
      </c>
      <c r="C7" s="32">
        <v>1</v>
      </c>
    </row>
    <row r="8" spans="1:3" ht="15">
      <c r="A8" s="133" t="s">
        <v>433</v>
      </c>
      <c r="B8" s="133" t="s">
        <v>433</v>
      </c>
      <c r="C8" s="32">
        <v>1</v>
      </c>
    </row>
    <row r="9" spans="1:3" ht="15">
      <c r="A9" s="133" t="s">
        <v>434</v>
      </c>
      <c r="B9" s="133" t="s">
        <v>434</v>
      </c>
      <c r="C9" s="32">
        <v>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FE048-8C6F-49D4-9BC7-DDE604D283F9}">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768</v>
      </c>
      <c r="B1" s="7" t="s">
        <v>17</v>
      </c>
    </row>
    <row r="2" spans="1:2" ht="15">
      <c r="A2" s="78" t="s">
        <v>769</v>
      </c>
      <c r="B2" s="78" t="s">
        <v>775</v>
      </c>
    </row>
    <row r="3" spans="1:2" ht="15">
      <c r="A3" s="79" t="s">
        <v>770</v>
      </c>
      <c r="B3" s="78" t="s">
        <v>776</v>
      </c>
    </row>
    <row r="4" spans="1:2" ht="15">
      <c r="A4" s="79" t="s">
        <v>771</v>
      </c>
      <c r="B4" s="78" t="s">
        <v>777</v>
      </c>
    </row>
    <row r="5" spans="1:2" ht="15">
      <c r="A5" s="79" t="s">
        <v>772</v>
      </c>
      <c r="B5" s="78" t="s">
        <v>778</v>
      </c>
    </row>
    <row r="6" spans="1:2" ht="15">
      <c r="A6" s="79" t="s">
        <v>773</v>
      </c>
      <c r="B6" s="78" t="s">
        <v>779</v>
      </c>
    </row>
    <row r="7" spans="1:2" ht="15">
      <c r="A7" s="79" t="s">
        <v>774</v>
      </c>
      <c r="B7" s="78" t="s">
        <v>780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47BB3-1F25-4DB5-AF61-1424247EB09F}">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781</v>
      </c>
      <c r="B1" s="7" t="s">
        <v>34</v>
      </c>
    </row>
    <row r="2" spans="1:2" ht="15">
      <c r="A2" s="125" t="s">
        <v>249</v>
      </c>
      <c r="B2" s="78">
        <v>26</v>
      </c>
    </row>
    <row r="3" spans="1:2" ht="15">
      <c r="A3" s="127" t="s">
        <v>240</v>
      </c>
      <c r="B3" s="78">
        <v>17.5</v>
      </c>
    </row>
    <row r="4" spans="1:2" ht="15">
      <c r="A4" s="127" t="s">
        <v>237</v>
      </c>
      <c r="B4" s="78">
        <v>14</v>
      </c>
    </row>
    <row r="5" spans="1:2" ht="15">
      <c r="A5" s="127" t="s">
        <v>250</v>
      </c>
      <c r="B5" s="78">
        <v>2</v>
      </c>
    </row>
    <row r="6" spans="1:2" ht="15">
      <c r="A6" s="127" t="s">
        <v>239</v>
      </c>
      <c r="B6" s="78">
        <v>1.5</v>
      </c>
    </row>
    <row r="7" spans="1:2" ht="15">
      <c r="A7" s="127" t="s">
        <v>238</v>
      </c>
      <c r="B7" s="78">
        <v>1.5</v>
      </c>
    </row>
    <row r="8" spans="1:2" ht="15">
      <c r="A8" s="127" t="s">
        <v>241</v>
      </c>
      <c r="B8" s="78">
        <v>1.5</v>
      </c>
    </row>
    <row r="9" spans="1:2" ht="15">
      <c r="A9" s="127" t="s">
        <v>243</v>
      </c>
      <c r="B9" s="78">
        <v>0</v>
      </c>
    </row>
    <row r="10" spans="1:2" ht="15">
      <c r="A10" s="127" t="s">
        <v>244</v>
      </c>
      <c r="B10" s="78">
        <v>0</v>
      </c>
    </row>
    <row r="11" spans="1:2" ht="15">
      <c r="A11" s="127" t="s">
        <v>245</v>
      </c>
      <c r="B11" s="78">
        <v>0</v>
      </c>
    </row>
  </sheetData>
  <printOptions/>
  <pageMargins left="0.7" right="0.7" top="0.75" bottom="0.75" header="0.3" footer="0.3"/>
  <pageSetup orientation="portrait" paperSize="9"/>
  <tableParts>
    <tablePart r:id="rId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71E18-4559-4FE7-A423-FC3706A683AA}">
  <dimension ref="A1:BO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9.57421875" style="0" bestFit="1" customWidth="1"/>
    <col min="59" max="59" width="19.7109375" style="0" bestFit="1" customWidth="1"/>
    <col min="60" max="60" width="24.28125" style="0" bestFit="1" customWidth="1"/>
    <col min="61" max="61" width="19.7109375" style="0" bestFit="1" customWidth="1"/>
    <col min="62" max="62" width="24.28125" style="0" bestFit="1" customWidth="1"/>
    <col min="63" max="63" width="19.7109375" style="0" bestFit="1" customWidth="1"/>
    <col min="64" max="64" width="24.28125" style="0" bestFit="1" customWidth="1"/>
    <col min="65" max="65" width="18.57421875" style="0" bestFit="1" customWidth="1"/>
    <col min="66" max="66" width="22.28125" style="0" bestFit="1" customWidth="1"/>
    <col min="67" max="67" width="15.7109375" style="0" bestFit="1" customWidth="1"/>
  </cols>
  <sheetData>
    <row r="1" spans="3:14" ht="15">
      <c r="C1" s="15" t="s">
        <v>39</v>
      </c>
      <c r="D1" s="16"/>
      <c r="E1" s="16"/>
      <c r="F1" s="16"/>
      <c r="G1" s="15"/>
      <c r="H1" s="13" t="s">
        <v>43</v>
      </c>
      <c r="I1" s="61"/>
      <c r="J1" s="61"/>
      <c r="K1" s="31" t="s">
        <v>42</v>
      </c>
      <c r="L1" s="17" t="s">
        <v>40</v>
      </c>
      <c r="M1" s="17"/>
      <c r="N1" s="14" t="s">
        <v>41</v>
      </c>
    </row>
    <row r="2" spans="1:67"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t="s">
        <v>428</v>
      </c>
      <c r="BD2" s="7" t="s">
        <v>442</v>
      </c>
      <c r="BE2" s="7" t="s">
        <v>443</v>
      </c>
      <c r="BF2" s="7" t="s">
        <v>603</v>
      </c>
      <c r="BG2" s="64" t="s">
        <v>735</v>
      </c>
      <c r="BH2" s="64" t="s">
        <v>736</v>
      </c>
      <c r="BI2" s="64" t="s">
        <v>737</v>
      </c>
      <c r="BJ2" s="64" t="s">
        <v>738</v>
      </c>
      <c r="BK2" s="64" t="s">
        <v>739</v>
      </c>
      <c r="BL2" s="64" t="s">
        <v>740</v>
      </c>
      <c r="BM2" s="64" t="s">
        <v>741</v>
      </c>
      <c r="BN2" s="64" t="s">
        <v>742</v>
      </c>
      <c r="BO2" s="64" t="s">
        <v>743</v>
      </c>
    </row>
    <row r="3" spans="1:67" ht="15" customHeight="1">
      <c r="A3" s="77" t="s">
        <v>247</v>
      </c>
      <c r="B3" s="77" t="s">
        <v>247</v>
      </c>
      <c r="C3" s="49"/>
      <c r="D3" s="50"/>
      <c r="E3" s="62"/>
      <c r="F3" s="51"/>
      <c r="G3" s="49"/>
      <c r="H3" s="53"/>
      <c r="I3" s="52"/>
      <c r="J3" s="52"/>
      <c r="K3" s="32" t="s">
        <v>65</v>
      </c>
      <c r="L3" s="58">
        <v>3</v>
      </c>
      <c r="M3" s="58"/>
      <c r="N3" s="59"/>
      <c r="O3" s="78" t="s">
        <v>196</v>
      </c>
      <c r="P3" s="80">
        <v>44987.67550925926</v>
      </c>
      <c r="Q3" s="78" t="s">
        <v>263</v>
      </c>
      <c r="R3" s="82" t="str">
        <f>HYPERLINK("https://www.soci.org/events/hq-events/2023/cultivated-meat-from-the-field-via-cellular-agriculture-to-the-plate")</f>
        <v>https://www.soci.org/events/hq-events/2023/cultivated-meat-from-the-field-via-cellular-agriculture-to-the-plate</v>
      </c>
      <c r="S3" s="78" t="s">
        <v>273</v>
      </c>
      <c r="T3" s="78"/>
      <c r="U3" s="82" t="str">
        <f>HYPERLINK("https://pbs.twimg.com/media/FqOiPuSWcAArbXJ.jpg")</f>
        <v>https://pbs.twimg.com/media/FqOiPuSWcAArbXJ.jpg</v>
      </c>
      <c r="V3" s="82" t="str">
        <f>HYPERLINK("https://pbs.twimg.com/media/FqOiPuSWcAArbXJ.jpg")</f>
        <v>https://pbs.twimg.com/media/FqOiPuSWcAArbXJ.jpg</v>
      </c>
      <c r="W3" s="80">
        <v>44987.67550925926</v>
      </c>
      <c r="X3" s="85">
        <v>44987</v>
      </c>
      <c r="Y3" s="87" t="s">
        <v>291</v>
      </c>
      <c r="Z3" s="82" t="str">
        <f>HYPERLINK("https://twitter.com/sciupdate/status/1631326683398803457")</f>
        <v>https://twitter.com/sciupdate/status/1631326683398803457</v>
      </c>
      <c r="AA3" s="78"/>
      <c r="AB3" s="78"/>
      <c r="AC3" s="87" t="s">
        <v>306</v>
      </c>
      <c r="AD3" s="78"/>
      <c r="AE3" s="78" t="b">
        <v>0</v>
      </c>
      <c r="AF3" s="78">
        <v>0</v>
      </c>
      <c r="AG3" s="87" t="s">
        <v>308</v>
      </c>
      <c r="AH3" s="78" t="b">
        <v>0</v>
      </c>
      <c r="AI3" s="78" t="s">
        <v>310</v>
      </c>
      <c r="AJ3" s="78"/>
      <c r="AK3" s="87" t="s">
        <v>308</v>
      </c>
      <c r="AL3" s="78" t="b">
        <v>0</v>
      </c>
      <c r="AM3" s="78">
        <v>0</v>
      </c>
      <c r="AN3" s="87" t="s">
        <v>308</v>
      </c>
      <c r="AO3" s="87" t="s">
        <v>311</v>
      </c>
      <c r="AP3" s="78" t="b">
        <v>0</v>
      </c>
      <c r="AQ3" s="87" t="s">
        <v>306</v>
      </c>
      <c r="AR3" s="78" t="s">
        <v>196</v>
      </c>
      <c r="AS3" s="78">
        <v>0</v>
      </c>
      <c r="AT3" s="78">
        <v>0</v>
      </c>
      <c r="AU3" s="78"/>
      <c r="AV3" s="78"/>
      <c r="AW3" s="78"/>
      <c r="AX3" s="78"/>
      <c r="AY3" s="78"/>
      <c r="AZ3" s="78"/>
      <c r="BA3" s="78"/>
      <c r="BB3" s="78"/>
      <c r="BC3">
        <v>1</v>
      </c>
      <c r="BD3" s="78" t="str">
        <f>REPLACE(INDEX(GroupVertices[Group],MATCH(Edges28[[#This Row],[Vertex 1]],GroupVertices[Vertex],0)),1,1,"")</f>
        <v>3</v>
      </c>
      <c r="BE3" s="78" t="str">
        <f>REPLACE(INDEX(GroupVertices[Group],MATCH(Edges28[[#This Row],[Vertex 2]],GroupVertices[Vertex],0)),1,1,"")</f>
        <v>3</v>
      </c>
      <c r="BF3" s="78">
        <v>9</v>
      </c>
      <c r="BG3" s="47">
        <v>1</v>
      </c>
      <c r="BH3" s="48">
        <v>2.380952380952381</v>
      </c>
      <c r="BI3" s="47">
        <v>0</v>
      </c>
      <c r="BJ3" s="48">
        <v>0</v>
      </c>
      <c r="BK3" s="47">
        <v>0</v>
      </c>
      <c r="BL3" s="48">
        <v>0</v>
      </c>
      <c r="BM3" s="47">
        <v>27</v>
      </c>
      <c r="BN3" s="48">
        <v>64.28571428571429</v>
      </c>
      <c r="BO3" s="47">
        <v>42</v>
      </c>
    </row>
    <row r="4" spans="1:67" ht="15" customHeight="1">
      <c r="A4" s="77" t="s">
        <v>234</v>
      </c>
      <c r="B4" s="77" t="s">
        <v>234</v>
      </c>
      <c r="C4" s="49"/>
      <c r="D4" s="50"/>
      <c r="E4" s="49"/>
      <c r="F4" s="51"/>
      <c r="G4" s="49"/>
      <c r="H4" s="53"/>
      <c r="I4" s="52"/>
      <c r="J4" s="52"/>
      <c r="K4" s="32" t="s">
        <v>65</v>
      </c>
      <c r="L4" s="58">
        <v>4</v>
      </c>
      <c r="M4" s="58"/>
      <c r="N4" s="59"/>
      <c r="O4" s="79" t="s">
        <v>196</v>
      </c>
      <c r="P4" s="81">
        <v>44971.681550925925</v>
      </c>
      <c r="Q4" s="79" t="s">
        <v>255</v>
      </c>
      <c r="R4" s="83" t="str">
        <f>HYPERLINK("https://www.cellbasednews.com/")</f>
        <v>https://www.cellbasednews.com/</v>
      </c>
      <c r="S4" s="79" t="s">
        <v>265</v>
      </c>
      <c r="T4" s="79"/>
      <c r="U4" s="79"/>
      <c r="V4" s="83" t="str">
        <f>HYPERLINK("https://pbs.twimg.com/profile_images/1609275616767119365/z90gUKUY_normal.jpg")</f>
        <v>https://pbs.twimg.com/profile_images/1609275616767119365/z90gUKUY_normal.jpg</v>
      </c>
      <c r="W4" s="81">
        <v>44971.681550925925</v>
      </c>
      <c r="X4" s="86">
        <v>44971</v>
      </c>
      <c r="Y4" s="84" t="s">
        <v>277</v>
      </c>
      <c r="Z4" s="83" t="str">
        <f>HYPERLINK("https://twitter.com/cellbasednews/status/1625530667671994373")</f>
        <v>https://twitter.com/cellbasednews/status/1625530667671994373</v>
      </c>
      <c r="AA4" s="79"/>
      <c r="AB4" s="79"/>
      <c r="AC4" s="84" t="s">
        <v>292</v>
      </c>
      <c r="AD4" s="79"/>
      <c r="AE4" s="79" t="b">
        <v>0</v>
      </c>
      <c r="AF4" s="79">
        <v>2</v>
      </c>
      <c r="AG4" s="84" t="s">
        <v>308</v>
      </c>
      <c r="AH4" s="79" t="b">
        <v>0</v>
      </c>
      <c r="AI4" s="79" t="s">
        <v>310</v>
      </c>
      <c r="AJ4" s="79"/>
      <c r="AK4" s="84" t="s">
        <v>308</v>
      </c>
      <c r="AL4" s="79" t="b">
        <v>0</v>
      </c>
      <c r="AM4" s="79">
        <v>2</v>
      </c>
      <c r="AN4" s="84" t="s">
        <v>308</v>
      </c>
      <c r="AO4" s="84" t="s">
        <v>311</v>
      </c>
      <c r="AP4" s="79" t="b">
        <v>0</v>
      </c>
      <c r="AQ4" s="84" t="s">
        <v>292</v>
      </c>
      <c r="AR4" s="79" t="s">
        <v>252</v>
      </c>
      <c r="AS4" s="79">
        <v>0</v>
      </c>
      <c r="AT4" s="79">
        <v>0</v>
      </c>
      <c r="AU4" s="79"/>
      <c r="AV4" s="79"/>
      <c r="AW4" s="79"/>
      <c r="AX4" s="79"/>
      <c r="AY4" s="79"/>
      <c r="AZ4" s="79"/>
      <c r="BA4" s="79"/>
      <c r="BB4" s="79"/>
      <c r="BC4">
        <v>1</v>
      </c>
      <c r="BD4" s="78" t="str">
        <f>REPLACE(INDEX(GroupVertices[Group],MATCH(Edges28[[#This Row],[Vertex 1]],GroupVertices[Vertex],0)),1,1,"")</f>
        <v>6</v>
      </c>
      <c r="BE4" s="78" t="str">
        <f>REPLACE(INDEX(GroupVertices[Group],MATCH(Edges28[[#This Row],[Vertex 2]],GroupVertices[Vertex],0)),1,1,"")</f>
        <v>6</v>
      </c>
      <c r="BF4" s="78">
        <v>8</v>
      </c>
      <c r="BG4" s="47">
        <v>4</v>
      </c>
      <c r="BH4" s="48">
        <v>10.81081081081081</v>
      </c>
      <c r="BI4" s="47">
        <v>0</v>
      </c>
      <c r="BJ4" s="48">
        <v>0</v>
      </c>
      <c r="BK4" s="47">
        <v>0</v>
      </c>
      <c r="BL4" s="48">
        <v>0</v>
      </c>
      <c r="BM4" s="47">
        <v>21</v>
      </c>
      <c r="BN4" s="48">
        <v>56.75675675675676</v>
      </c>
      <c r="BO4" s="47">
        <v>37</v>
      </c>
    </row>
    <row r="5" spans="1:67" ht="15">
      <c r="A5" s="77" t="s">
        <v>235</v>
      </c>
      <c r="B5" s="77" t="s">
        <v>234</v>
      </c>
      <c r="C5" s="49"/>
      <c r="D5" s="50"/>
      <c r="E5" s="49"/>
      <c r="F5" s="51"/>
      <c r="G5" s="49"/>
      <c r="H5" s="53"/>
      <c r="I5" s="52"/>
      <c r="J5" s="52"/>
      <c r="K5" s="32" t="s">
        <v>65</v>
      </c>
      <c r="L5" s="58">
        <v>5</v>
      </c>
      <c r="M5" s="58"/>
      <c r="N5" s="59"/>
      <c r="O5" s="79" t="s">
        <v>252</v>
      </c>
      <c r="P5" s="81">
        <v>44988.782476851855</v>
      </c>
      <c r="Q5" s="79" t="s">
        <v>255</v>
      </c>
      <c r="R5" s="83" t="str">
        <f>HYPERLINK("https://www.cellbasednews.com/")</f>
        <v>https://www.cellbasednews.com/</v>
      </c>
      <c r="S5" s="79" t="s">
        <v>265</v>
      </c>
      <c r="T5" s="79"/>
      <c r="U5" s="79"/>
      <c r="V5" s="83" t="str">
        <f>HYPERLINK("https://pbs.twimg.com/profile_images/1354282597380222976/jb9ii-Ga_normal.jpg")</f>
        <v>https://pbs.twimg.com/profile_images/1354282597380222976/jb9ii-Ga_normal.jpg</v>
      </c>
      <c r="W5" s="81">
        <v>44988.782476851855</v>
      </c>
      <c r="X5" s="86">
        <v>44988</v>
      </c>
      <c r="Y5" s="84" t="s">
        <v>278</v>
      </c>
      <c r="Z5" s="83" t="str">
        <f>HYPERLINK("https://twitter.com/fundtrading/status/1631727836431097863")</f>
        <v>https://twitter.com/fundtrading/status/1631727836431097863</v>
      </c>
      <c r="AA5" s="79"/>
      <c r="AB5" s="79"/>
      <c r="AC5" s="84" t="s">
        <v>293</v>
      </c>
      <c r="AD5" s="79"/>
      <c r="AE5" s="79" t="b">
        <v>0</v>
      </c>
      <c r="AF5" s="79">
        <v>0</v>
      </c>
      <c r="AG5" s="84" t="s">
        <v>308</v>
      </c>
      <c r="AH5" s="79" t="b">
        <v>0</v>
      </c>
      <c r="AI5" s="79" t="s">
        <v>310</v>
      </c>
      <c r="AJ5" s="79"/>
      <c r="AK5" s="84" t="s">
        <v>308</v>
      </c>
      <c r="AL5" s="79" t="b">
        <v>0</v>
      </c>
      <c r="AM5" s="79">
        <v>2</v>
      </c>
      <c r="AN5" s="84" t="s">
        <v>292</v>
      </c>
      <c r="AO5" s="84" t="s">
        <v>312</v>
      </c>
      <c r="AP5" s="79" t="b">
        <v>0</v>
      </c>
      <c r="AQ5" s="84" t="s">
        <v>292</v>
      </c>
      <c r="AR5" s="79" t="s">
        <v>196</v>
      </c>
      <c r="AS5" s="79">
        <v>0</v>
      </c>
      <c r="AT5" s="79">
        <v>0</v>
      </c>
      <c r="AU5" s="79"/>
      <c r="AV5" s="79"/>
      <c r="AW5" s="79"/>
      <c r="AX5" s="79"/>
      <c r="AY5" s="79"/>
      <c r="AZ5" s="79"/>
      <c r="BA5" s="79"/>
      <c r="BB5" s="79"/>
      <c r="BC5">
        <v>1</v>
      </c>
      <c r="BD5" s="78" t="str">
        <f>REPLACE(INDEX(GroupVertices[Group],MATCH(Edges28[[#This Row],[Vertex 1]],GroupVertices[Vertex],0)),1,1,"")</f>
        <v>6</v>
      </c>
      <c r="BE5" s="78" t="str">
        <f>REPLACE(INDEX(GroupVertices[Group],MATCH(Edges28[[#This Row],[Vertex 2]],GroupVertices[Vertex],0)),1,1,"")</f>
        <v>6</v>
      </c>
      <c r="BF5" s="78">
        <v>8</v>
      </c>
      <c r="BG5" s="47">
        <v>4</v>
      </c>
      <c r="BH5" s="48">
        <v>10.81081081081081</v>
      </c>
      <c r="BI5" s="47">
        <v>0</v>
      </c>
      <c r="BJ5" s="48">
        <v>0</v>
      </c>
      <c r="BK5" s="47">
        <v>0</v>
      </c>
      <c r="BL5" s="48">
        <v>0</v>
      </c>
      <c r="BM5" s="47">
        <v>21</v>
      </c>
      <c r="BN5" s="48">
        <v>56.75675675675676</v>
      </c>
      <c r="BO5" s="47">
        <v>37</v>
      </c>
    </row>
    <row r="6" spans="1:67" ht="15">
      <c r="A6" s="77" t="s">
        <v>235</v>
      </c>
      <c r="B6" s="77" t="s">
        <v>235</v>
      </c>
      <c r="C6" s="49"/>
      <c r="D6" s="50"/>
      <c r="E6" s="49"/>
      <c r="F6" s="51"/>
      <c r="G6" s="49"/>
      <c r="H6" s="53"/>
      <c r="I6" s="52"/>
      <c r="J6" s="52"/>
      <c r="K6" s="32" t="s">
        <v>65</v>
      </c>
      <c r="L6" s="58">
        <v>6</v>
      </c>
      <c r="M6" s="58"/>
      <c r="N6" s="59"/>
      <c r="O6" s="79" t="s">
        <v>196</v>
      </c>
      <c r="P6" s="81">
        <v>44986.63266203704</v>
      </c>
      <c r="Q6" s="79" t="s">
        <v>256</v>
      </c>
      <c r="R6" s="83" t="str">
        <f>HYPERLINK("https://foodinstitute.com/focus/cell-cultured-snapshot-how-to-make-meat/")</f>
        <v>https://foodinstitute.com/focus/cell-cultured-snapshot-how-to-make-meat/</v>
      </c>
      <c r="S6" s="79" t="s">
        <v>266</v>
      </c>
      <c r="T6" s="79"/>
      <c r="U6" s="83" t="str">
        <f>HYPERLINK("https://pbs.twimg.com/media/FqJLDbXXgAEFmbh.jpg")</f>
        <v>https://pbs.twimg.com/media/FqJLDbXXgAEFmbh.jpg</v>
      </c>
      <c r="V6" s="83" t="str">
        <f>HYPERLINK("https://pbs.twimg.com/media/FqJLDbXXgAEFmbh.jpg")</f>
        <v>https://pbs.twimg.com/media/FqJLDbXXgAEFmbh.jpg</v>
      </c>
      <c r="W6" s="81">
        <v>44986.63266203704</v>
      </c>
      <c r="X6" s="86">
        <v>44986</v>
      </c>
      <c r="Y6" s="84" t="s">
        <v>279</v>
      </c>
      <c r="Z6" s="83" t="str">
        <f>HYPERLINK("https://twitter.com/fundtrading/status/1630948768446021633")</f>
        <v>https://twitter.com/fundtrading/status/1630948768446021633</v>
      </c>
      <c r="AA6" s="79"/>
      <c r="AB6" s="79"/>
      <c r="AC6" s="84" t="s">
        <v>294</v>
      </c>
      <c r="AD6" s="79"/>
      <c r="AE6" s="79" t="b">
        <v>0</v>
      </c>
      <c r="AF6" s="79">
        <v>1</v>
      </c>
      <c r="AG6" s="84" t="s">
        <v>308</v>
      </c>
      <c r="AH6" s="79" t="b">
        <v>0</v>
      </c>
      <c r="AI6" s="79" t="s">
        <v>310</v>
      </c>
      <c r="AJ6" s="79"/>
      <c r="AK6" s="84" t="s">
        <v>308</v>
      </c>
      <c r="AL6" s="79" t="b">
        <v>0</v>
      </c>
      <c r="AM6" s="79">
        <v>0</v>
      </c>
      <c r="AN6" s="84" t="s">
        <v>308</v>
      </c>
      <c r="AO6" s="84" t="s">
        <v>311</v>
      </c>
      <c r="AP6" s="79" t="b">
        <v>0</v>
      </c>
      <c r="AQ6" s="84" t="s">
        <v>294</v>
      </c>
      <c r="AR6" s="79" t="s">
        <v>196</v>
      </c>
      <c r="AS6" s="79">
        <v>0</v>
      </c>
      <c r="AT6" s="79">
        <v>0</v>
      </c>
      <c r="AU6" s="79"/>
      <c r="AV6" s="79"/>
      <c r="AW6" s="79"/>
      <c r="AX6" s="79"/>
      <c r="AY6" s="79"/>
      <c r="AZ6" s="79"/>
      <c r="BA6" s="79"/>
      <c r="BB6" s="79"/>
      <c r="BC6">
        <v>1</v>
      </c>
      <c r="BD6" s="78" t="str">
        <f>REPLACE(INDEX(GroupVertices[Group],MATCH(Edges28[[#This Row],[Vertex 1]],GroupVertices[Vertex],0)),1,1,"")</f>
        <v>6</v>
      </c>
      <c r="BE6" s="78" t="str">
        <f>REPLACE(INDEX(GroupVertices[Group],MATCH(Edges28[[#This Row],[Vertex 2]],GroupVertices[Vertex],0)),1,1,"")</f>
        <v>6</v>
      </c>
      <c r="BF6" s="78">
        <v>7</v>
      </c>
      <c r="BG6" s="47">
        <v>0</v>
      </c>
      <c r="BH6" s="48">
        <v>0</v>
      </c>
      <c r="BI6" s="47">
        <v>0</v>
      </c>
      <c r="BJ6" s="48">
        <v>0</v>
      </c>
      <c r="BK6" s="47">
        <v>0</v>
      </c>
      <c r="BL6" s="48">
        <v>0</v>
      </c>
      <c r="BM6" s="47">
        <v>12</v>
      </c>
      <c r="BN6" s="48">
        <v>63.1578947368421</v>
      </c>
      <c r="BO6" s="47">
        <v>19</v>
      </c>
    </row>
    <row r="7" spans="1:67" ht="15">
      <c r="A7" s="77" t="s">
        <v>236</v>
      </c>
      <c r="B7" s="77" t="s">
        <v>236</v>
      </c>
      <c r="C7" s="49"/>
      <c r="D7" s="50"/>
      <c r="E7" s="49"/>
      <c r="F7" s="51"/>
      <c r="G7" s="49"/>
      <c r="H7" s="53"/>
      <c r="I7" s="52"/>
      <c r="J7" s="52"/>
      <c r="K7" s="32" t="s">
        <v>65</v>
      </c>
      <c r="L7" s="58">
        <v>7</v>
      </c>
      <c r="M7" s="58"/>
      <c r="N7" s="59"/>
      <c r="O7" s="79" t="s">
        <v>196</v>
      </c>
      <c r="P7" s="81">
        <v>44989.46487268519</v>
      </c>
      <c r="Q7" s="79" t="s">
        <v>257</v>
      </c>
      <c r="R7" s="79" t="s">
        <v>264</v>
      </c>
      <c r="S7" s="79" t="s">
        <v>267</v>
      </c>
      <c r="T7" s="79"/>
      <c r="U7" s="79"/>
      <c r="V7" s="83" t="str">
        <f>HYPERLINK("https://pbs.twimg.com/profile_images/1611413212670345233/I-uez6tQ_normal.jpg")</f>
        <v>https://pbs.twimg.com/profile_images/1611413212670345233/I-uez6tQ_normal.jpg</v>
      </c>
      <c r="W7" s="81">
        <v>44989.46487268519</v>
      </c>
      <c r="X7" s="86">
        <v>44989</v>
      </c>
      <c r="Y7" s="84" t="s">
        <v>280</v>
      </c>
      <c r="Z7" s="83" t="str">
        <f>HYPERLINK("https://twitter.com/theashiwani/status/1631975126269845511")</f>
        <v>https://twitter.com/theashiwani/status/1631975126269845511</v>
      </c>
      <c r="AA7" s="79"/>
      <c r="AB7" s="79"/>
      <c r="AC7" s="84" t="s">
        <v>295</v>
      </c>
      <c r="AD7" s="79"/>
      <c r="AE7" s="79" t="b">
        <v>0</v>
      </c>
      <c r="AF7" s="79">
        <v>1</v>
      </c>
      <c r="AG7" s="84" t="s">
        <v>308</v>
      </c>
      <c r="AH7" s="79" t="b">
        <v>0</v>
      </c>
      <c r="AI7" s="79" t="s">
        <v>310</v>
      </c>
      <c r="AJ7" s="79"/>
      <c r="AK7" s="84" t="s">
        <v>308</v>
      </c>
      <c r="AL7" s="79" t="b">
        <v>0</v>
      </c>
      <c r="AM7" s="79">
        <v>0</v>
      </c>
      <c r="AN7" s="84" t="s">
        <v>308</v>
      </c>
      <c r="AO7" s="84" t="s">
        <v>313</v>
      </c>
      <c r="AP7" s="79" t="b">
        <v>0</v>
      </c>
      <c r="AQ7" s="84" t="s">
        <v>295</v>
      </c>
      <c r="AR7" s="79" t="s">
        <v>196</v>
      </c>
      <c r="AS7" s="79">
        <v>0</v>
      </c>
      <c r="AT7" s="79">
        <v>0</v>
      </c>
      <c r="AU7" s="79"/>
      <c r="AV7" s="79"/>
      <c r="AW7" s="79"/>
      <c r="AX7" s="79"/>
      <c r="AY7" s="79"/>
      <c r="AZ7" s="79"/>
      <c r="BA7" s="79"/>
      <c r="BB7" s="79"/>
      <c r="BC7">
        <v>1</v>
      </c>
      <c r="BD7" s="78" t="str">
        <f>REPLACE(INDEX(GroupVertices[Group],MATCH(Edges28[[#This Row],[Vertex 1]],GroupVertices[Vertex],0)),1,1,"")</f>
        <v>3</v>
      </c>
      <c r="BE7" s="78" t="str">
        <f>REPLACE(INDEX(GroupVertices[Group],MATCH(Edges28[[#This Row],[Vertex 2]],GroupVertices[Vertex],0)),1,1,"")</f>
        <v>3</v>
      </c>
      <c r="BF7" s="78">
        <v>6</v>
      </c>
      <c r="BG7" s="47">
        <v>2</v>
      </c>
      <c r="BH7" s="48">
        <v>4.545454545454546</v>
      </c>
      <c r="BI7" s="47">
        <v>0</v>
      </c>
      <c r="BJ7" s="48">
        <v>0</v>
      </c>
      <c r="BK7" s="47">
        <v>0</v>
      </c>
      <c r="BL7" s="48">
        <v>0</v>
      </c>
      <c r="BM7" s="47">
        <v>27</v>
      </c>
      <c r="BN7" s="48">
        <v>61.36363636363637</v>
      </c>
      <c r="BO7" s="47">
        <v>44</v>
      </c>
    </row>
    <row r="8" spans="1:67" ht="15">
      <c r="A8" s="77" t="s">
        <v>237</v>
      </c>
      <c r="B8" s="77" t="s">
        <v>248</v>
      </c>
      <c r="C8" s="49"/>
      <c r="D8" s="50"/>
      <c r="E8" s="49"/>
      <c r="F8" s="51"/>
      <c r="G8" s="49"/>
      <c r="H8" s="53"/>
      <c r="I8" s="52"/>
      <c r="J8" s="52"/>
      <c r="K8" s="32" t="s">
        <v>65</v>
      </c>
      <c r="L8" s="58">
        <v>8</v>
      </c>
      <c r="M8" s="58"/>
      <c r="N8" s="59"/>
      <c r="O8" s="79" t="s">
        <v>253</v>
      </c>
      <c r="P8" s="81">
        <v>44991.75209490741</v>
      </c>
      <c r="Q8" s="79" t="s">
        <v>258</v>
      </c>
      <c r="R8" s="83" t="str">
        <f>HYPERLINK("https://vegconomist.com/cultivated-cell-cultured-biotechnology/mosa-meat-and-nutreco-low-cost-cell-feed/")</f>
        <v>https://vegconomist.com/cultivated-cell-cultured-biotechnology/mosa-meat-and-nutreco-low-cost-cell-feed/</v>
      </c>
      <c r="S8" s="79" t="s">
        <v>268</v>
      </c>
      <c r="T8" s="84" t="s">
        <v>274</v>
      </c>
      <c r="U8" s="79"/>
      <c r="V8" s="83" t="str">
        <f>HYPERLINK("https://pbs.twimg.com/profile_images/1314159878710075392/-McujwWI_normal.jpg")</f>
        <v>https://pbs.twimg.com/profile_images/1314159878710075392/-McujwWI_normal.jpg</v>
      </c>
      <c r="W8" s="81">
        <v>44991.75209490741</v>
      </c>
      <c r="X8" s="86">
        <v>44991</v>
      </c>
      <c r="Y8" s="84" t="s">
        <v>281</v>
      </c>
      <c r="Z8" s="83" t="str">
        <f>HYPERLINK("https://twitter.com/mercuryglobal/status/1632803989371625476")</f>
        <v>https://twitter.com/mercuryglobal/status/1632803989371625476</v>
      </c>
      <c r="AA8" s="79"/>
      <c r="AB8" s="79"/>
      <c r="AC8" s="84" t="s">
        <v>296</v>
      </c>
      <c r="AD8" s="79"/>
      <c r="AE8" s="79" t="b">
        <v>0</v>
      </c>
      <c r="AF8" s="79">
        <v>1</v>
      </c>
      <c r="AG8" s="84" t="s">
        <v>308</v>
      </c>
      <c r="AH8" s="79" t="b">
        <v>0</v>
      </c>
      <c r="AI8" s="79" t="s">
        <v>310</v>
      </c>
      <c r="AJ8" s="79"/>
      <c r="AK8" s="84" t="s">
        <v>308</v>
      </c>
      <c r="AL8" s="79" t="b">
        <v>0</v>
      </c>
      <c r="AM8" s="79">
        <v>0</v>
      </c>
      <c r="AN8" s="84" t="s">
        <v>308</v>
      </c>
      <c r="AO8" s="84" t="s">
        <v>314</v>
      </c>
      <c r="AP8" s="79" t="b">
        <v>0</v>
      </c>
      <c r="AQ8" s="84" t="s">
        <v>296</v>
      </c>
      <c r="AR8" s="79" t="s">
        <v>196</v>
      </c>
      <c r="AS8" s="79">
        <v>0</v>
      </c>
      <c r="AT8" s="79">
        <v>0</v>
      </c>
      <c r="AU8" s="79"/>
      <c r="AV8" s="79"/>
      <c r="AW8" s="79"/>
      <c r="AX8" s="79"/>
      <c r="AY8" s="79"/>
      <c r="AZ8" s="79"/>
      <c r="BA8" s="79"/>
      <c r="BB8" s="79"/>
      <c r="BC8">
        <v>1</v>
      </c>
      <c r="BD8" s="78" t="str">
        <f>REPLACE(INDEX(GroupVertices[Group],MATCH(Edges28[[#This Row],[Vertex 1]],GroupVertices[Vertex],0)),1,1,"")</f>
        <v>5</v>
      </c>
      <c r="BE8" s="78" t="str">
        <f>REPLACE(INDEX(GroupVertices[Group],MATCH(Edges28[[#This Row],[Vertex 2]],GroupVertices[Vertex],0)),1,1,"")</f>
        <v>5</v>
      </c>
      <c r="BF8" s="78">
        <v>5</v>
      </c>
      <c r="BG8" s="47"/>
      <c r="BH8" s="48"/>
      <c r="BI8" s="47"/>
      <c r="BJ8" s="48"/>
      <c r="BK8" s="47"/>
      <c r="BL8" s="48"/>
      <c r="BM8" s="47"/>
      <c r="BN8" s="48"/>
      <c r="BO8" s="47"/>
    </row>
    <row r="9" spans="1:67" ht="15">
      <c r="A9" s="77" t="s">
        <v>238</v>
      </c>
      <c r="B9" s="77" t="s">
        <v>250</v>
      </c>
      <c r="C9" s="49"/>
      <c r="D9" s="50"/>
      <c r="E9" s="49"/>
      <c r="F9" s="51"/>
      <c r="G9" s="49"/>
      <c r="H9" s="53"/>
      <c r="I9" s="52"/>
      <c r="J9" s="52"/>
      <c r="K9" s="32" t="s">
        <v>65</v>
      </c>
      <c r="L9" s="58">
        <v>10</v>
      </c>
      <c r="M9" s="58"/>
      <c r="N9" s="59"/>
      <c r="O9" s="79" t="s">
        <v>254</v>
      </c>
      <c r="P9" s="81">
        <v>44992.159224537034</v>
      </c>
      <c r="Q9" s="79" t="s">
        <v>259</v>
      </c>
      <c r="R9" s="83" t="str">
        <f>HYPERLINK("https://www.straitstimes.com/singapore/cell-cultured-meat-industry-set-for-another-leap-forward-with-new-changi-plant")</f>
        <v>https://www.straitstimes.com/singapore/cell-cultured-meat-industry-set-for-another-leap-forward-with-new-changi-plant</v>
      </c>
      <c r="S9" s="79" t="s">
        <v>269</v>
      </c>
      <c r="T9" s="79"/>
      <c r="U9" s="79"/>
      <c r="V9" s="83" t="str">
        <f>HYPERLINK("https://pbs.twimg.com/profile_images/1207023594204741634/oNEPNuoG_normal.jpg")</f>
        <v>https://pbs.twimg.com/profile_images/1207023594204741634/oNEPNuoG_normal.jpg</v>
      </c>
      <c r="W9" s="81">
        <v>44992.159224537034</v>
      </c>
      <c r="X9" s="86">
        <v>44992</v>
      </c>
      <c r="Y9" s="84" t="s">
        <v>282</v>
      </c>
      <c r="Z9" s="83" t="str">
        <f>HYPERLINK("https://twitter.com/craftmeati/status/1632951525898088448")</f>
        <v>https://twitter.com/craftmeati/status/1632951525898088448</v>
      </c>
      <c r="AA9" s="79"/>
      <c r="AB9" s="79"/>
      <c r="AC9" s="84" t="s">
        <v>297</v>
      </c>
      <c r="AD9" s="79"/>
      <c r="AE9" s="79" t="b">
        <v>0</v>
      </c>
      <c r="AF9" s="79">
        <v>0</v>
      </c>
      <c r="AG9" s="84" t="s">
        <v>308</v>
      </c>
      <c r="AH9" s="79" t="b">
        <v>0</v>
      </c>
      <c r="AI9" s="79" t="s">
        <v>310</v>
      </c>
      <c r="AJ9" s="79"/>
      <c r="AK9" s="84" t="s">
        <v>308</v>
      </c>
      <c r="AL9" s="79" t="b">
        <v>0</v>
      </c>
      <c r="AM9" s="79">
        <v>3</v>
      </c>
      <c r="AN9" s="84" t="s">
        <v>299</v>
      </c>
      <c r="AO9" s="84" t="s">
        <v>315</v>
      </c>
      <c r="AP9" s="79" t="b">
        <v>0</v>
      </c>
      <c r="AQ9" s="84" t="s">
        <v>299</v>
      </c>
      <c r="AR9" s="79" t="s">
        <v>196</v>
      </c>
      <c r="AS9" s="79">
        <v>0</v>
      </c>
      <c r="AT9" s="79">
        <v>0</v>
      </c>
      <c r="AU9" s="79"/>
      <c r="AV9" s="79"/>
      <c r="AW9" s="79"/>
      <c r="AX9" s="79"/>
      <c r="AY9" s="79"/>
      <c r="AZ9" s="79"/>
      <c r="BA9" s="79"/>
      <c r="BB9" s="79"/>
      <c r="BC9">
        <v>1</v>
      </c>
      <c r="BD9" s="78" t="str">
        <f>REPLACE(INDEX(GroupVertices[Group],MATCH(Edges28[[#This Row],[Vertex 1]],GroupVertices[Vertex],0)),1,1,"")</f>
        <v>1</v>
      </c>
      <c r="BE9" s="78" t="str">
        <f>REPLACE(INDEX(GroupVertices[Group],MATCH(Edges28[[#This Row],[Vertex 2]],GroupVertices[Vertex],0)),1,1,"")</f>
        <v>1</v>
      </c>
      <c r="BF9" s="78">
        <v>1</v>
      </c>
      <c r="BG9" s="47"/>
      <c r="BH9" s="48"/>
      <c r="BI9" s="47"/>
      <c r="BJ9" s="48"/>
      <c r="BK9" s="47"/>
      <c r="BL9" s="48"/>
      <c r="BM9" s="47"/>
      <c r="BN9" s="48"/>
      <c r="BO9" s="47"/>
    </row>
    <row r="10" spans="1:67" ht="15">
      <c r="A10" s="77" t="s">
        <v>239</v>
      </c>
      <c r="B10" s="77" t="s">
        <v>250</v>
      </c>
      <c r="C10" s="49"/>
      <c r="D10" s="50"/>
      <c r="E10" s="49"/>
      <c r="F10" s="51"/>
      <c r="G10" s="49"/>
      <c r="H10" s="53"/>
      <c r="I10" s="52"/>
      <c r="J10" s="52"/>
      <c r="K10" s="32" t="s">
        <v>65</v>
      </c>
      <c r="L10" s="58">
        <v>13</v>
      </c>
      <c r="M10" s="58"/>
      <c r="N10" s="59"/>
      <c r="O10" s="79" t="s">
        <v>254</v>
      </c>
      <c r="P10" s="81">
        <v>44992.195</v>
      </c>
      <c r="Q10" s="79" t="s">
        <v>259</v>
      </c>
      <c r="R10" s="83" t="str">
        <f>HYPERLINK("https://www.straitstimes.com/singapore/cell-cultured-meat-industry-set-for-another-leap-forward-with-new-changi-plant")</f>
        <v>https://www.straitstimes.com/singapore/cell-cultured-meat-industry-set-for-another-leap-forward-with-new-changi-plant</v>
      </c>
      <c r="S10" s="79" t="s">
        <v>269</v>
      </c>
      <c r="T10" s="79"/>
      <c r="U10" s="79"/>
      <c r="V10" s="83" t="str">
        <f>HYPERLINK("https://pbs.twimg.com/profile_images/1479437477593108485/CmmGWpoI_normal.png")</f>
        <v>https://pbs.twimg.com/profile_images/1479437477593108485/CmmGWpoI_normal.png</v>
      </c>
      <c r="W10" s="81">
        <v>44992.195</v>
      </c>
      <c r="X10" s="86">
        <v>44992</v>
      </c>
      <c r="Y10" s="84" t="s">
        <v>283</v>
      </c>
      <c r="Z10" s="83" t="str">
        <f>HYPERLINK("https://twitter.com/goalsecom/status/1632964492140199936")</f>
        <v>https://twitter.com/goalsecom/status/1632964492140199936</v>
      </c>
      <c r="AA10" s="79"/>
      <c r="AB10" s="79"/>
      <c r="AC10" s="84" t="s">
        <v>298</v>
      </c>
      <c r="AD10" s="79"/>
      <c r="AE10" s="79" t="b">
        <v>0</v>
      </c>
      <c r="AF10" s="79">
        <v>0</v>
      </c>
      <c r="AG10" s="84" t="s">
        <v>308</v>
      </c>
      <c r="AH10" s="79" t="b">
        <v>0</v>
      </c>
      <c r="AI10" s="79" t="s">
        <v>310</v>
      </c>
      <c r="AJ10" s="79"/>
      <c r="AK10" s="84" t="s">
        <v>308</v>
      </c>
      <c r="AL10" s="79" t="b">
        <v>0</v>
      </c>
      <c r="AM10" s="79">
        <v>3</v>
      </c>
      <c r="AN10" s="84" t="s">
        <v>299</v>
      </c>
      <c r="AO10" s="84" t="s">
        <v>316</v>
      </c>
      <c r="AP10" s="79" t="b">
        <v>0</v>
      </c>
      <c r="AQ10" s="84" t="s">
        <v>299</v>
      </c>
      <c r="AR10" s="79" t="s">
        <v>196</v>
      </c>
      <c r="AS10" s="79">
        <v>0</v>
      </c>
      <c r="AT10" s="79">
        <v>0</v>
      </c>
      <c r="AU10" s="79"/>
      <c r="AV10" s="79"/>
      <c r="AW10" s="79"/>
      <c r="AX10" s="79"/>
      <c r="AY10" s="79"/>
      <c r="AZ10" s="79"/>
      <c r="BA10" s="79"/>
      <c r="BB10" s="79"/>
      <c r="BC10">
        <v>1</v>
      </c>
      <c r="BD10" s="78" t="str">
        <f>REPLACE(INDEX(GroupVertices[Group],MATCH(Edges28[[#This Row],[Vertex 1]],GroupVertices[Vertex],0)),1,1,"")</f>
        <v>1</v>
      </c>
      <c r="BE10" s="78" t="str">
        <f>REPLACE(INDEX(GroupVertices[Group],MATCH(Edges28[[#This Row],[Vertex 2]],GroupVertices[Vertex],0)),1,1,"")</f>
        <v>1</v>
      </c>
      <c r="BF10" s="78">
        <v>1</v>
      </c>
      <c r="BG10" s="47"/>
      <c r="BH10" s="48"/>
      <c r="BI10" s="47"/>
      <c r="BJ10" s="48"/>
      <c r="BK10" s="47"/>
      <c r="BL10" s="48"/>
      <c r="BM10" s="47"/>
      <c r="BN10" s="48"/>
      <c r="BO10" s="47"/>
    </row>
    <row r="11" spans="1:67" ht="15">
      <c r="A11" s="77" t="s">
        <v>240</v>
      </c>
      <c r="B11" s="77" t="s">
        <v>250</v>
      </c>
      <c r="C11" s="49"/>
      <c r="D11" s="50"/>
      <c r="E11" s="49"/>
      <c r="F11" s="51"/>
      <c r="G11" s="49"/>
      <c r="H11" s="53"/>
      <c r="I11" s="52"/>
      <c r="J11" s="52"/>
      <c r="K11" s="32" t="s">
        <v>65</v>
      </c>
      <c r="L11" s="58">
        <v>16</v>
      </c>
      <c r="M11" s="58"/>
      <c r="N11" s="59"/>
      <c r="O11" s="79" t="s">
        <v>253</v>
      </c>
      <c r="P11" s="81">
        <v>44992.08576388889</v>
      </c>
      <c r="Q11" s="79" t="s">
        <v>259</v>
      </c>
      <c r="R11" s="83" t="str">
        <f>HYPERLINK("https://www.straitstimes.com/singapore/cell-cultured-meat-industry-set-for-another-leap-forward-with-new-changi-plant")</f>
        <v>https://www.straitstimes.com/singapore/cell-cultured-meat-industry-set-for-another-leap-forward-with-new-changi-plant</v>
      </c>
      <c r="S11" s="79" t="s">
        <v>269</v>
      </c>
      <c r="T11" s="79"/>
      <c r="U11" s="79"/>
      <c r="V11" s="83" t="str">
        <f>HYPERLINK("https://pbs.twimg.com/profile_images/1244683441599373314/AFkHERkJ_normal.jpg")</f>
        <v>https://pbs.twimg.com/profile_images/1244683441599373314/AFkHERkJ_normal.jpg</v>
      </c>
      <c r="W11" s="81">
        <v>44992.08576388889</v>
      </c>
      <c r="X11" s="86">
        <v>44992</v>
      </c>
      <c r="Y11" s="84" t="s">
        <v>284</v>
      </c>
      <c r="Z11" s="83" t="str">
        <f>HYPERLINK("https://twitter.com/elliotswartz/status/1632924905410027521")</f>
        <v>https://twitter.com/elliotswartz/status/1632924905410027521</v>
      </c>
      <c r="AA11" s="79"/>
      <c r="AB11" s="79"/>
      <c r="AC11" s="84" t="s">
        <v>299</v>
      </c>
      <c r="AD11" s="84" t="s">
        <v>307</v>
      </c>
      <c r="AE11" s="79" t="b">
        <v>0</v>
      </c>
      <c r="AF11" s="79">
        <v>8</v>
      </c>
      <c r="AG11" s="84" t="s">
        <v>309</v>
      </c>
      <c r="AH11" s="79" t="b">
        <v>0</v>
      </c>
      <c r="AI11" s="79" t="s">
        <v>310</v>
      </c>
      <c r="AJ11" s="79"/>
      <c r="AK11" s="84" t="s">
        <v>308</v>
      </c>
      <c r="AL11" s="79" t="b">
        <v>0</v>
      </c>
      <c r="AM11" s="79">
        <v>3</v>
      </c>
      <c r="AN11" s="84" t="s">
        <v>308</v>
      </c>
      <c r="AO11" s="84" t="s">
        <v>311</v>
      </c>
      <c r="AP11" s="79" t="b">
        <v>0</v>
      </c>
      <c r="AQ11" s="84" t="s">
        <v>307</v>
      </c>
      <c r="AR11" s="79" t="s">
        <v>196</v>
      </c>
      <c r="AS11" s="79">
        <v>0</v>
      </c>
      <c r="AT11" s="79">
        <v>0</v>
      </c>
      <c r="AU11" s="79"/>
      <c r="AV11" s="79"/>
      <c r="AW11" s="79"/>
      <c r="AX11" s="79"/>
      <c r="AY11" s="79"/>
      <c r="AZ11" s="79"/>
      <c r="BA11" s="79"/>
      <c r="BB11" s="79"/>
      <c r="BC11">
        <v>1</v>
      </c>
      <c r="BD11" s="78" t="str">
        <f>REPLACE(INDEX(GroupVertices[Group],MATCH(Edges28[[#This Row],[Vertex 1]],GroupVertices[Vertex],0)),1,1,"")</f>
        <v>1</v>
      </c>
      <c r="BE11" s="78" t="str">
        <f>REPLACE(INDEX(GroupVertices[Group],MATCH(Edges28[[#This Row],[Vertex 2]],GroupVertices[Vertex],0)),1,1,"")</f>
        <v>1</v>
      </c>
      <c r="BF11" s="78">
        <v>1</v>
      </c>
      <c r="BG11" s="47"/>
      <c r="BH11" s="48"/>
      <c r="BI11" s="47"/>
      <c r="BJ11" s="48"/>
      <c r="BK11" s="47"/>
      <c r="BL11" s="48"/>
      <c r="BM11" s="47"/>
      <c r="BN11" s="48"/>
      <c r="BO11" s="47"/>
    </row>
    <row r="12" spans="1:67" ht="15">
      <c r="A12" s="77" t="s">
        <v>241</v>
      </c>
      <c r="B12" s="77" t="s">
        <v>250</v>
      </c>
      <c r="C12" s="49"/>
      <c r="D12" s="50"/>
      <c r="E12" s="49"/>
      <c r="F12" s="51"/>
      <c r="G12" s="49"/>
      <c r="H12" s="53"/>
      <c r="I12" s="52"/>
      <c r="J12" s="52"/>
      <c r="K12" s="32" t="s">
        <v>65</v>
      </c>
      <c r="L12" s="58">
        <v>17</v>
      </c>
      <c r="M12" s="58"/>
      <c r="N12" s="59"/>
      <c r="O12" s="79" t="s">
        <v>254</v>
      </c>
      <c r="P12" s="81">
        <v>44992.26972222222</v>
      </c>
      <c r="Q12" s="79" t="s">
        <v>259</v>
      </c>
      <c r="R12" s="83" t="str">
        <f>HYPERLINK("https://www.straitstimes.com/singapore/cell-cultured-meat-industry-set-for-another-leap-forward-with-new-changi-plant")</f>
        <v>https://www.straitstimes.com/singapore/cell-cultured-meat-industry-set-for-another-leap-forward-with-new-changi-plant</v>
      </c>
      <c r="S12" s="79" t="s">
        <v>269</v>
      </c>
      <c r="T12" s="79"/>
      <c r="U12" s="79"/>
      <c r="V12" s="83" t="str">
        <f>HYPERLINK("https://pbs.twimg.com/profile_images/1623675266097717248/wf2uvNt__normal.jpg")</f>
        <v>https://pbs.twimg.com/profile_images/1623675266097717248/wf2uvNt__normal.jpg</v>
      </c>
      <c r="W12" s="81">
        <v>44992.26972222222</v>
      </c>
      <c r="X12" s="86">
        <v>44992</v>
      </c>
      <c r="Y12" s="84" t="s">
        <v>285</v>
      </c>
      <c r="Z12" s="83" t="str">
        <f>HYPERLINK("https://twitter.com/biftekco/status/1632991569471995907")</f>
        <v>https://twitter.com/biftekco/status/1632991569471995907</v>
      </c>
      <c r="AA12" s="79"/>
      <c r="AB12" s="79"/>
      <c r="AC12" s="84" t="s">
        <v>300</v>
      </c>
      <c r="AD12" s="79"/>
      <c r="AE12" s="79" t="b">
        <v>0</v>
      </c>
      <c r="AF12" s="79">
        <v>0</v>
      </c>
      <c r="AG12" s="84" t="s">
        <v>308</v>
      </c>
      <c r="AH12" s="79" t="b">
        <v>0</v>
      </c>
      <c r="AI12" s="79" t="s">
        <v>310</v>
      </c>
      <c r="AJ12" s="79"/>
      <c r="AK12" s="84" t="s">
        <v>308</v>
      </c>
      <c r="AL12" s="79" t="b">
        <v>0</v>
      </c>
      <c r="AM12" s="79">
        <v>3</v>
      </c>
      <c r="AN12" s="84" t="s">
        <v>299</v>
      </c>
      <c r="AO12" s="84" t="s">
        <v>315</v>
      </c>
      <c r="AP12" s="79" t="b">
        <v>0</v>
      </c>
      <c r="AQ12" s="84" t="s">
        <v>299</v>
      </c>
      <c r="AR12" s="79" t="s">
        <v>196</v>
      </c>
      <c r="AS12" s="79">
        <v>0</v>
      </c>
      <c r="AT12" s="79">
        <v>0</v>
      </c>
      <c r="AU12" s="79"/>
      <c r="AV12" s="79"/>
      <c r="AW12" s="79"/>
      <c r="AX12" s="79"/>
      <c r="AY12" s="79"/>
      <c r="AZ12" s="79"/>
      <c r="BA12" s="79"/>
      <c r="BB12" s="79"/>
      <c r="BC12">
        <v>1</v>
      </c>
      <c r="BD12" s="78" t="str">
        <f>REPLACE(INDEX(GroupVertices[Group],MATCH(Edges28[[#This Row],[Vertex 1]],GroupVertices[Vertex],0)),1,1,"")</f>
        <v>1</v>
      </c>
      <c r="BE12" s="78" t="str">
        <f>REPLACE(INDEX(GroupVertices[Group],MATCH(Edges28[[#This Row],[Vertex 2]],GroupVertices[Vertex],0)),1,1,"")</f>
        <v>1</v>
      </c>
      <c r="BF12" s="78">
        <v>1</v>
      </c>
      <c r="BG12" s="47"/>
      <c r="BH12" s="48"/>
      <c r="BI12" s="47"/>
      <c r="BJ12" s="48"/>
      <c r="BK12" s="47"/>
      <c r="BL12" s="48"/>
      <c r="BM12" s="47"/>
      <c r="BN12" s="48"/>
      <c r="BO12" s="47"/>
    </row>
    <row r="13" spans="1:67" ht="15">
      <c r="A13" s="77" t="s">
        <v>242</v>
      </c>
      <c r="B13" s="77" t="s">
        <v>242</v>
      </c>
      <c r="C13" s="49"/>
      <c r="D13" s="50"/>
      <c r="E13" s="49"/>
      <c r="F13" s="51"/>
      <c r="G13" s="49"/>
      <c r="H13" s="53"/>
      <c r="I13" s="52"/>
      <c r="J13" s="52"/>
      <c r="K13" s="32" t="s">
        <v>65</v>
      </c>
      <c r="L13" s="58">
        <v>21</v>
      </c>
      <c r="M13" s="58"/>
      <c r="N13" s="59"/>
      <c r="O13" s="79" t="s">
        <v>196</v>
      </c>
      <c r="P13" s="81">
        <v>44992.66726851852</v>
      </c>
      <c r="Q13" s="79" t="s">
        <v>260</v>
      </c>
      <c r="R13" s="83" t="str">
        <f>HYPERLINK("https://marqmetrix.com/cultivated-meat-raman-seven-benefits/")</f>
        <v>https://marqmetrix.com/cultivated-meat-raman-seven-benefits/</v>
      </c>
      <c r="S13" s="79" t="s">
        <v>270</v>
      </c>
      <c r="T13" s="84" t="s">
        <v>275</v>
      </c>
      <c r="U13" s="83" t="str">
        <f>HYPERLINK("https://pbs.twimg.com/media/FqoQNJFWAAIgdDT.jpg")</f>
        <v>https://pbs.twimg.com/media/FqoQNJFWAAIgdDT.jpg</v>
      </c>
      <c r="V13" s="83" t="str">
        <f>HYPERLINK("https://pbs.twimg.com/media/FqoQNJFWAAIgdDT.jpg")</f>
        <v>https://pbs.twimg.com/media/FqoQNJFWAAIgdDT.jpg</v>
      </c>
      <c r="W13" s="81">
        <v>44992.66726851852</v>
      </c>
      <c r="X13" s="86">
        <v>44992</v>
      </c>
      <c r="Y13" s="84" t="s">
        <v>286</v>
      </c>
      <c r="Z13" s="83" t="str">
        <f>HYPERLINK("https://twitter.com/marqmetrix_inc/status/1633135636054982660")</f>
        <v>https://twitter.com/marqmetrix_inc/status/1633135636054982660</v>
      </c>
      <c r="AA13" s="79"/>
      <c r="AB13" s="79"/>
      <c r="AC13" s="84" t="s">
        <v>301</v>
      </c>
      <c r="AD13" s="79"/>
      <c r="AE13" s="79" t="b">
        <v>0</v>
      </c>
      <c r="AF13" s="79">
        <v>0</v>
      </c>
      <c r="AG13" s="84" t="s">
        <v>308</v>
      </c>
      <c r="AH13" s="79" t="b">
        <v>0</v>
      </c>
      <c r="AI13" s="79" t="s">
        <v>310</v>
      </c>
      <c r="AJ13" s="79"/>
      <c r="AK13" s="84" t="s">
        <v>308</v>
      </c>
      <c r="AL13" s="79" t="b">
        <v>0</v>
      </c>
      <c r="AM13" s="79">
        <v>0</v>
      </c>
      <c r="AN13" s="84" t="s">
        <v>308</v>
      </c>
      <c r="AO13" s="84" t="s">
        <v>317</v>
      </c>
      <c r="AP13" s="79" t="b">
        <v>0</v>
      </c>
      <c r="AQ13" s="84" t="s">
        <v>301</v>
      </c>
      <c r="AR13" s="79" t="s">
        <v>196</v>
      </c>
      <c r="AS13" s="79">
        <v>0</v>
      </c>
      <c r="AT13" s="79">
        <v>0</v>
      </c>
      <c r="AU13" s="79"/>
      <c r="AV13" s="79"/>
      <c r="AW13" s="79"/>
      <c r="AX13" s="79"/>
      <c r="AY13" s="79"/>
      <c r="AZ13" s="79"/>
      <c r="BA13" s="79"/>
      <c r="BB13" s="79"/>
      <c r="BC13">
        <v>1</v>
      </c>
      <c r="BD13" s="78" t="str">
        <f>REPLACE(INDEX(GroupVertices[Group],MATCH(Edges28[[#This Row],[Vertex 1]],GroupVertices[Vertex],0)),1,1,"")</f>
        <v>3</v>
      </c>
      <c r="BE13" s="78" t="str">
        <f>REPLACE(INDEX(GroupVertices[Group],MATCH(Edges28[[#This Row],[Vertex 2]],GroupVertices[Vertex],0)),1,1,"")</f>
        <v>3</v>
      </c>
      <c r="BF13" s="78">
        <v>4</v>
      </c>
      <c r="BG13" s="47">
        <v>2</v>
      </c>
      <c r="BH13" s="48">
        <v>7.407407407407407</v>
      </c>
      <c r="BI13" s="47">
        <v>0</v>
      </c>
      <c r="BJ13" s="48">
        <v>0</v>
      </c>
      <c r="BK13" s="47">
        <v>0</v>
      </c>
      <c r="BL13" s="48">
        <v>0</v>
      </c>
      <c r="BM13" s="47">
        <v>18</v>
      </c>
      <c r="BN13" s="48">
        <v>66.66666666666667</v>
      </c>
      <c r="BO13" s="47">
        <v>27</v>
      </c>
    </row>
    <row r="14" spans="1:67" ht="15">
      <c r="A14" s="77" t="s">
        <v>243</v>
      </c>
      <c r="B14" s="77" t="s">
        <v>243</v>
      </c>
      <c r="C14" s="49"/>
      <c r="D14" s="50"/>
      <c r="E14" s="49"/>
      <c r="F14" s="51"/>
      <c r="G14" s="49"/>
      <c r="H14" s="53"/>
      <c r="I14" s="52"/>
      <c r="J14" s="52"/>
      <c r="K14" s="32" t="s">
        <v>65</v>
      </c>
      <c r="L14" s="58">
        <v>22</v>
      </c>
      <c r="M14" s="58"/>
      <c r="N14" s="59"/>
      <c r="O14" s="79" t="s">
        <v>196</v>
      </c>
      <c r="P14" s="81">
        <v>44994.83495370371</v>
      </c>
      <c r="Q14" s="79" t="s">
        <v>261</v>
      </c>
      <c r="R14" s="83" t="str">
        <f>HYPERLINK("https://www.avma.org/news/fda-concludes-first-premarket-consultation-meat-cultured-animal-cells")</f>
        <v>https://www.avma.org/news/fda-concludes-first-premarket-consultation-meat-cultured-animal-cells</v>
      </c>
      <c r="S14" s="79" t="s">
        <v>271</v>
      </c>
      <c r="T14" s="79"/>
      <c r="U14" s="83" t="str">
        <f>HYPERLINK("https://pbs.twimg.com/media/FqzapwxX0AEeeKL.jpg")</f>
        <v>https://pbs.twimg.com/media/FqzapwxX0AEeeKL.jpg</v>
      </c>
      <c r="V14" s="83" t="str">
        <f>HYPERLINK("https://pbs.twimg.com/media/FqzapwxX0AEeeKL.jpg")</f>
        <v>https://pbs.twimg.com/media/FqzapwxX0AEeeKL.jpg</v>
      </c>
      <c r="W14" s="81">
        <v>44994.83495370371</v>
      </c>
      <c r="X14" s="86">
        <v>44994</v>
      </c>
      <c r="Y14" s="84" t="s">
        <v>287</v>
      </c>
      <c r="Z14" s="83" t="str">
        <f>HYPERLINK("https://twitter.com/avmajavma/status/1633921176992104450")</f>
        <v>https://twitter.com/avmajavma/status/1633921176992104450</v>
      </c>
      <c r="AA14" s="79"/>
      <c r="AB14" s="79"/>
      <c r="AC14" s="84" t="s">
        <v>302</v>
      </c>
      <c r="AD14" s="79"/>
      <c r="AE14" s="79" t="b">
        <v>0</v>
      </c>
      <c r="AF14" s="79">
        <v>1</v>
      </c>
      <c r="AG14" s="84" t="s">
        <v>308</v>
      </c>
      <c r="AH14" s="79" t="b">
        <v>0</v>
      </c>
      <c r="AI14" s="79" t="s">
        <v>310</v>
      </c>
      <c r="AJ14" s="79"/>
      <c r="AK14" s="84" t="s">
        <v>308</v>
      </c>
      <c r="AL14" s="79" t="b">
        <v>0</v>
      </c>
      <c r="AM14" s="79">
        <v>1</v>
      </c>
      <c r="AN14" s="84" t="s">
        <v>308</v>
      </c>
      <c r="AO14" s="84" t="s">
        <v>314</v>
      </c>
      <c r="AP14" s="79" t="b">
        <v>0</v>
      </c>
      <c r="AQ14" s="84" t="s">
        <v>302</v>
      </c>
      <c r="AR14" s="79" t="s">
        <v>196</v>
      </c>
      <c r="AS14" s="79">
        <v>0</v>
      </c>
      <c r="AT14" s="79">
        <v>0</v>
      </c>
      <c r="AU14" s="79"/>
      <c r="AV14" s="79"/>
      <c r="AW14" s="79"/>
      <c r="AX14" s="79"/>
      <c r="AY14" s="79"/>
      <c r="AZ14" s="79"/>
      <c r="BA14" s="79"/>
      <c r="BB14" s="79"/>
      <c r="BC14">
        <v>1</v>
      </c>
      <c r="BD14" s="78" t="str">
        <f>REPLACE(INDEX(GroupVertices[Group],MATCH(Edges28[[#This Row],[Vertex 1]],GroupVertices[Vertex],0)),1,1,"")</f>
        <v>4</v>
      </c>
      <c r="BE14" s="78" t="str">
        <f>REPLACE(INDEX(GroupVertices[Group],MATCH(Edges28[[#This Row],[Vertex 2]],GroupVertices[Vertex],0)),1,1,"")</f>
        <v>4</v>
      </c>
      <c r="BF14" s="78">
        <v>3</v>
      </c>
      <c r="BG14" s="47">
        <v>0</v>
      </c>
      <c r="BH14" s="48">
        <v>0</v>
      </c>
      <c r="BI14" s="47">
        <v>0</v>
      </c>
      <c r="BJ14" s="48">
        <v>0</v>
      </c>
      <c r="BK14" s="47">
        <v>0</v>
      </c>
      <c r="BL14" s="48">
        <v>0</v>
      </c>
      <c r="BM14" s="47">
        <v>29</v>
      </c>
      <c r="BN14" s="48">
        <v>70.73170731707317</v>
      </c>
      <c r="BO14" s="47">
        <v>41</v>
      </c>
    </row>
    <row r="15" spans="1:67" ht="15">
      <c r="A15" s="77" t="s">
        <v>244</v>
      </c>
      <c r="B15" s="77" t="s">
        <v>243</v>
      </c>
      <c r="C15" s="49"/>
      <c r="D15" s="50"/>
      <c r="E15" s="49"/>
      <c r="F15" s="51"/>
      <c r="G15" s="49"/>
      <c r="H15" s="53"/>
      <c r="I15" s="52"/>
      <c r="J15" s="52"/>
      <c r="K15" s="32" t="s">
        <v>65</v>
      </c>
      <c r="L15" s="58">
        <v>23</v>
      </c>
      <c r="M15" s="58"/>
      <c r="N15" s="59"/>
      <c r="O15" s="79" t="s">
        <v>252</v>
      </c>
      <c r="P15" s="81">
        <v>44994.838854166665</v>
      </c>
      <c r="Q15" s="79" t="s">
        <v>261</v>
      </c>
      <c r="R15" s="83" t="str">
        <f>HYPERLINK("https://www.avma.org/news/fda-concludes-first-premarket-consultation-meat-cultured-animal-cells")</f>
        <v>https://www.avma.org/news/fda-concludes-first-premarket-consultation-meat-cultured-animal-cells</v>
      </c>
      <c r="S15" s="79" t="s">
        <v>271</v>
      </c>
      <c r="T15" s="79"/>
      <c r="U15" s="83" t="str">
        <f>HYPERLINK("https://pbs.twimg.com/media/FqzapwxX0AEeeKL.jpg")</f>
        <v>https://pbs.twimg.com/media/FqzapwxX0AEeeKL.jpg</v>
      </c>
      <c r="V15" s="83" t="str">
        <f>HYPERLINK("https://pbs.twimg.com/media/FqzapwxX0AEeeKL.jpg")</f>
        <v>https://pbs.twimg.com/media/FqzapwxX0AEeeKL.jpg</v>
      </c>
      <c r="W15" s="81">
        <v>44994.838854166665</v>
      </c>
      <c r="X15" s="86">
        <v>44994</v>
      </c>
      <c r="Y15" s="84" t="s">
        <v>288</v>
      </c>
      <c r="Z15" s="83" t="str">
        <f>HYPERLINK("https://twitter.com/vetpathophile/status/1633922594150793217")</f>
        <v>https://twitter.com/vetpathophile/status/1633922594150793217</v>
      </c>
      <c r="AA15" s="79"/>
      <c r="AB15" s="79"/>
      <c r="AC15" s="84" t="s">
        <v>303</v>
      </c>
      <c r="AD15" s="79"/>
      <c r="AE15" s="79" t="b">
        <v>0</v>
      </c>
      <c r="AF15" s="79">
        <v>0</v>
      </c>
      <c r="AG15" s="84" t="s">
        <v>308</v>
      </c>
      <c r="AH15" s="79" t="b">
        <v>0</v>
      </c>
      <c r="AI15" s="79" t="s">
        <v>310</v>
      </c>
      <c r="AJ15" s="79"/>
      <c r="AK15" s="84" t="s">
        <v>308</v>
      </c>
      <c r="AL15" s="79" t="b">
        <v>0</v>
      </c>
      <c r="AM15" s="79">
        <v>1</v>
      </c>
      <c r="AN15" s="84" t="s">
        <v>302</v>
      </c>
      <c r="AO15" s="84" t="s">
        <v>312</v>
      </c>
      <c r="AP15" s="79" t="b">
        <v>0</v>
      </c>
      <c r="AQ15" s="84" t="s">
        <v>302</v>
      </c>
      <c r="AR15" s="79" t="s">
        <v>196</v>
      </c>
      <c r="AS15" s="79">
        <v>0</v>
      </c>
      <c r="AT15" s="79">
        <v>0</v>
      </c>
      <c r="AU15" s="79"/>
      <c r="AV15" s="79"/>
      <c r="AW15" s="79"/>
      <c r="AX15" s="79"/>
      <c r="AY15" s="79"/>
      <c r="AZ15" s="79"/>
      <c r="BA15" s="79"/>
      <c r="BB15" s="79"/>
      <c r="BC15">
        <v>1</v>
      </c>
      <c r="BD15" s="78" t="str">
        <f>REPLACE(INDEX(GroupVertices[Group],MATCH(Edges28[[#This Row],[Vertex 1]],GroupVertices[Vertex],0)),1,1,"")</f>
        <v>4</v>
      </c>
      <c r="BE15" s="78" t="str">
        <f>REPLACE(INDEX(GroupVertices[Group],MATCH(Edges28[[#This Row],[Vertex 2]],GroupVertices[Vertex],0)),1,1,"")</f>
        <v>4</v>
      </c>
      <c r="BF15" s="78">
        <v>3</v>
      </c>
      <c r="BG15" s="47">
        <v>0</v>
      </c>
      <c r="BH15" s="48">
        <v>0</v>
      </c>
      <c r="BI15" s="47">
        <v>0</v>
      </c>
      <c r="BJ15" s="48">
        <v>0</v>
      </c>
      <c r="BK15" s="47">
        <v>0</v>
      </c>
      <c r="BL15" s="48">
        <v>0</v>
      </c>
      <c r="BM15" s="47">
        <v>29</v>
      </c>
      <c r="BN15" s="48">
        <v>70.73170731707317</v>
      </c>
      <c r="BO15" s="47">
        <v>41</v>
      </c>
    </row>
    <row r="16" spans="1:67" ht="15">
      <c r="A16" s="77" t="s">
        <v>245</v>
      </c>
      <c r="B16" s="77" t="s">
        <v>251</v>
      </c>
      <c r="C16" s="49"/>
      <c r="D16" s="50"/>
      <c r="E16" s="49"/>
      <c r="F16" s="51"/>
      <c r="G16" s="49"/>
      <c r="H16" s="53"/>
      <c r="I16" s="52"/>
      <c r="J16" s="52"/>
      <c r="K16" s="32" t="s">
        <v>65</v>
      </c>
      <c r="L16" s="58">
        <v>24</v>
      </c>
      <c r="M16" s="58"/>
      <c r="N16" s="59"/>
      <c r="O16" s="79" t="s">
        <v>253</v>
      </c>
      <c r="P16" s="81">
        <v>44995.79017361111</v>
      </c>
      <c r="Q16" s="79" t="s">
        <v>262</v>
      </c>
      <c r="R16" s="83" t="str">
        <f>HYPERLINK("https://www.cell.ag/blog/cellular-metabolomics-and-optimizing-cultivated-meat-cell-line-selection")</f>
        <v>https://www.cell.ag/blog/cellular-metabolomics-and-optimizing-cultivated-meat-cell-line-selection</v>
      </c>
      <c r="S16" s="79" t="s">
        <v>272</v>
      </c>
      <c r="T16" s="84" t="s">
        <v>276</v>
      </c>
      <c r="U16" s="79"/>
      <c r="V16" s="83" t="str">
        <f>HYPERLINK("https://pbs.twimg.com/profile_images/486221724870926337/cS0048NP_normal.png")</f>
        <v>https://pbs.twimg.com/profile_images/486221724870926337/cS0048NP_normal.png</v>
      </c>
      <c r="W16" s="81">
        <v>44995.79017361111</v>
      </c>
      <c r="X16" s="86">
        <v>44995</v>
      </c>
      <c r="Y16" s="84" t="s">
        <v>289</v>
      </c>
      <c r="Z16" s="83" t="str">
        <f>HYPERLINK("https://twitter.com/hmtmetabolomics/status/1634267338282504192")</f>
        <v>https://twitter.com/hmtmetabolomics/status/1634267338282504192</v>
      </c>
      <c r="AA16" s="79"/>
      <c r="AB16" s="79"/>
      <c r="AC16" s="84" t="s">
        <v>304</v>
      </c>
      <c r="AD16" s="79"/>
      <c r="AE16" s="79" t="b">
        <v>0</v>
      </c>
      <c r="AF16" s="79">
        <v>1</v>
      </c>
      <c r="AG16" s="84" t="s">
        <v>308</v>
      </c>
      <c r="AH16" s="79" t="b">
        <v>0</v>
      </c>
      <c r="AI16" s="79" t="s">
        <v>310</v>
      </c>
      <c r="AJ16" s="79"/>
      <c r="AK16" s="84" t="s">
        <v>308</v>
      </c>
      <c r="AL16" s="79" t="b">
        <v>0</v>
      </c>
      <c r="AM16" s="79">
        <v>1</v>
      </c>
      <c r="AN16" s="84" t="s">
        <v>308</v>
      </c>
      <c r="AO16" s="84" t="s">
        <v>311</v>
      </c>
      <c r="AP16" s="79" t="b">
        <v>0</v>
      </c>
      <c r="AQ16" s="84" t="s">
        <v>304</v>
      </c>
      <c r="AR16" s="79" t="s">
        <v>196</v>
      </c>
      <c r="AS16" s="79">
        <v>0</v>
      </c>
      <c r="AT16" s="79">
        <v>0</v>
      </c>
      <c r="AU16" s="79"/>
      <c r="AV16" s="79"/>
      <c r="AW16" s="79"/>
      <c r="AX16" s="79"/>
      <c r="AY16" s="79"/>
      <c r="AZ16" s="79"/>
      <c r="BA16" s="79"/>
      <c r="BB16" s="79"/>
      <c r="BC16">
        <v>1</v>
      </c>
      <c r="BD16" s="78" t="str">
        <f>REPLACE(INDEX(GroupVertices[Group],MATCH(Edges28[[#This Row],[Vertex 1]],GroupVertices[Vertex],0)),1,1,"")</f>
        <v>2</v>
      </c>
      <c r="BE16" s="78" t="str">
        <f>REPLACE(INDEX(GroupVertices[Group],MATCH(Edges28[[#This Row],[Vertex 2]],GroupVertices[Vertex],0)),1,1,"")</f>
        <v>2</v>
      </c>
      <c r="BF16" s="78">
        <v>2</v>
      </c>
      <c r="BG16" s="47">
        <v>0</v>
      </c>
      <c r="BH16" s="48">
        <v>0</v>
      </c>
      <c r="BI16" s="47">
        <v>0</v>
      </c>
      <c r="BJ16" s="48">
        <v>0</v>
      </c>
      <c r="BK16" s="47">
        <v>0</v>
      </c>
      <c r="BL16" s="48">
        <v>0</v>
      </c>
      <c r="BM16" s="47">
        <v>13</v>
      </c>
      <c r="BN16" s="48">
        <v>61.904761904761905</v>
      </c>
      <c r="BO16" s="47">
        <v>21</v>
      </c>
    </row>
    <row r="17" spans="1:67" ht="15">
      <c r="A17" s="77" t="s">
        <v>246</v>
      </c>
      <c r="B17" s="77" t="s">
        <v>251</v>
      </c>
      <c r="C17" s="49"/>
      <c r="D17" s="50"/>
      <c r="E17" s="49"/>
      <c r="F17" s="51"/>
      <c r="G17" s="49"/>
      <c r="H17" s="53"/>
      <c r="I17" s="52"/>
      <c r="J17" s="52"/>
      <c r="K17" s="32" t="s">
        <v>65</v>
      </c>
      <c r="L17" s="58">
        <v>25</v>
      </c>
      <c r="M17" s="58"/>
      <c r="N17" s="59"/>
      <c r="O17" s="79" t="s">
        <v>254</v>
      </c>
      <c r="P17" s="81">
        <v>44995.80060185185</v>
      </c>
      <c r="Q17" s="79" t="s">
        <v>262</v>
      </c>
      <c r="R17" s="83" t="str">
        <f>HYPERLINK("https://www.cell.ag/blog/cellular-metabolomics-and-optimizing-cultivated-meat-cell-line-selection")</f>
        <v>https://www.cell.ag/blog/cellular-metabolomics-and-optimizing-cultivated-meat-cell-line-selection</v>
      </c>
      <c r="S17" s="79" t="s">
        <v>272</v>
      </c>
      <c r="T17" s="84" t="s">
        <v>276</v>
      </c>
      <c r="U17" s="79"/>
      <c r="V17" s="83" t="str">
        <f>HYPERLINK("https://pbs.twimg.com/profile_images/1342903725782953986/_tvytAU6_normal.png")</f>
        <v>https://pbs.twimg.com/profile_images/1342903725782953986/_tvytAU6_normal.png</v>
      </c>
      <c r="W17" s="81">
        <v>44995.80060185185</v>
      </c>
      <c r="X17" s="86">
        <v>44995</v>
      </c>
      <c r="Y17" s="84" t="s">
        <v>290</v>
      </c>
      <c r="Z17" s="83" t="str">
        <f>HYPERLINK("https://twitter.com/binfotrends/status/1634271118780424194")</f>
        <v>https://twitter.com/binfotrends/status/1634271118780424194</v>
      </c>
      <c r="AA17" s="79"/>
      <c r="AB17" s="79"/>
      <c r="AC17" s="84" t="s">
        <v>305</v>
      </c>
      <c r="AD17" s="79"/>
      <c r="AE17" s="79" t="b">
        <v>0</v>
      </c>
      <c r="AF17" s="79">
        <v>0</v>
      </c>
      <c r="AG17" s="84" t="s">
        <v>308</v>
      </c>
      <c r="AH17" s="79" t="b">
        <v>0</v>
      </c>
      <c r="AI17" s="79" t="s">
        <v>310</v>
      </c>
      <c r="AJ17" s="79"/>
      <c r="AK17" s="84" t="s">
        <v>308</v>
      </c>
      <c r="AL17" s="79" t="b">
        <v>0</v>
      </c>
      <c r="AM17" s="79">
        <v>1</v>
      </c>
      <c r="AN17" s="84" t="s">
        <v>304</v>
      </c>
      <c r="AO17" s="84" t="s">
        <v>318</v>
      </c>
      <c r="AP17" s="79" t="b">
        <v>0</v>
      </c>
      <c r="AQ17" s="84" t="s">
        <v>304</v>
      </c>
      <c r="AR17" s="79" t="s">
        <v>196</v>
      </c>
      <c r="AS17" s="79">
        <v>0</v>
      </c>
      <c r="AT17" s="79">
        <v>0</v>
      </c>
      <c r="AU17" s="79"/>
      <c r="AV17" s="79"/>
      <c r="AW17" s="79"/>
      <c r="AX17" s="79"/>
      <c r="AY17" s="79"/>
      <c r="AZ17" s="79"/>
      <c r="BA17" s="79"/>
      <c r="BB17" s="79"/>
      <c r="BC17">
        <v>1</v>
      </c>
      <c r="BD17" s="78" t="str">
        <f>REPLACE(INDEX(GroupVertices[Group],MATCH(Edges28[[#This Row],[Vertex 1]],GroupVertices[Vertex],0)),1,1,"")</f>
        <v>2</v>
      </c>
      <c r="BE17" s="78" t="str">
        <f>REPLACE(INDEX(GroupVertices[Group],MATCH(Edges28[[#This Row],[Vertex 2]],GroupVertices[Vertex],0)),1,1,"")</f>
        <v>2</v>
      </c>
      <c r="BF17" s="78">
        <v>2</v>
      </c>
      <c r="BG17" s="47"/>
      <c r="BH17" s="48"/>
      <c r="BI17" s="47"/>
      <c r="BJ17" s="48"/>
      <c r="BK17" s="47"/>
      <c r="BL17" s="48"/>
      <c r="BM17" s="47"/>
      <c r="BN17" s="48"/>
      <c r="BO17" s="47"/>
    </row>
    <row r="18" spans="1:67" ht="15">
      <c r="A18" s="112" t="s">
        <v>240</v>
      </c>
      <c r="B18" s="112" t="s">
        <v>417</v>
      </c>
      <c r="C18" s="137"/>
      <c r="D18" s="138"/>
      <c r="E18" s="137"/>
      <c r="F18" s="139"/>
      <c r="G18" s="137"/>
      <c r="H18" s="140"/>
      <c r="I18" s="141"/>
      <c r="J18" s="141"/>
      <c r="K18" s="32" t="s">
        <v>65</v>
      </c>
      <c r="L18" s="142">
        <v>27</v>
      </c>
      <c r="M18" s="142"/>
      <c r="N18" s="118"/>
      <c r="O18" s="119" t="s">
        <v>253</v>
      </c>
      <c r="P18" s="120">
        <v>44992.08576388889</v>
      </c>
      <c r="Q18" s="119" t="s">
        <v>418</v>
      </c>
      <c r="R18" s="121" t="str">
        <f>HYPERLINK("https://www.timesofisrael.com/kosher-now-maybe-halal-aleph-farms-gears-up-for-rollout-of-cultivated-steak/")</f>
        <v>https://www.timesofisrael.com/kosher-now-maybe-halal-aleph-farms-gears-up-for-rollout-of-cultivated-steak/</v>
      </c>
      <c r="S18" s="119" t="s">
        <v>419</v>
      </c>
      <c r="T18" s="122" t="s">
        <v>420</v>
      </c>
      <c r="U18" s="119"/>
      <c r="V18" s="121" t="str">
        <f>HYPERLINK("https://pbs.twimg.com/profile_images/1244683441599373314/AFkHERkJ_normal.jpg")</f>
        <v>https://pbs.twimg.com/profile_images/1244683441599373314/AFkHERkJ_normal.jpg</v>
      </c>
      <c r="W18" s="120">
        <v>44992.08576388889</v>
      </c>
      <c r="X18" s="123">
        <v>44992</v>
      </c>
      <c r="Y18" s="122" t="s">
        <v>284</v>
      </c>
      <c r="Z18" s="121" t="str">
        <f>HYPERLINK("https://twitter.com/elliotswartz/status/1632924903816167425")</f>
        <v>https://twitter.com/elliotswartz/status/1632924903816167425</v>
      </c>
      <c r="AA18" s="119"/>
      <c r="AB18" s="119"/>
      <c r="AC18" s="122" t="s">
        <v>307</v>
      </c>
      <c r="AD18" s="119"/>
      <c r="AE18" s="119" t="b">
        <v>0</v>
      </c>
      <c r="AF18" s="119">
        <v>23</v>
      </c>
      <c r="AG18" s="122" t="s">
        <v>308</v>
      </c>
      <c r="AH18" s="119" t="b">
        <v>0</v>
      </c>
      <c r="AI18" s="119" t="s">
        <v>310</v>
      </c>
      <c r="AJ18" s="119"/>
      <c r="AK18" s="122" t="s">
        <v>308</v>
      </c>
      <c r="AL18" s="119" t="b">
        <v>0</v>
      </c>
      <c r="AM18" s="119">
        <v>1</v>
      </c>
      <c r="AN18" s="122" t="s">
        <v>308</v>
      </c>
      <c r="AO18" s="122" t="s">
        <v>311</v>
      </c>
      <c r="AP18" s="119" t="b">
        <v>0</v>
      </c>
      <c r="AQ18" s="122" t="s">
        <v>307</v>
      </c>
      <c r="AR18" s="119" t="s">
        <v>421</v>
      </c>
      <c r="AS18" s="119">
        <v>0</v>
      </c>
      <c r="AT18" s="119">
        <v>0</v>
      </c>
      <c r="AU18" s="119"/>
      <c r="AV18" s="119"/>
      <c r="AW18" s="119"/>
      <c r="AX18" s="119"/>
      <c r="AY18" s="119"/>
      <c r="AZ18" s="119"/>
      <c r="BA18" s="119"/>
      <c r="BB18" s="119"/>
      <c r="BC18">
        <v>1</v>
      </c>
      <c r="BD18" s="78" t="str">
        <f>REPLACE(INDEX(GroupVertices[Group],MATCH(Edges28[[#This Row],[Vertex 1]],GroupVertices[Vertex],0)),1,1,"")</f>
        <v>1</v>
      </c>
      <c r="BE18" s="78" t="str">
        <f>REPLACE(INDEX(GroupVertices[Group],MATCH(Edges28[[#This Row],[Vertex 2]],GroupVertices[Vertex],0)),1,1,"")</f>
        <v>1</v>
      </c>
      <c r="BF18" s="78">
        <v>1</v>
      </c>
      <c r="BG18" s="47">
        <v>0</v>
      </c>
      <c r="BH18" s="48">
        <v>0</v>
      </c>
      <c r="BI18" s="47">
        <v>0</v>
      </c>
      <c r="BJ18" s="48">
        <v>0</v>
      </c>
      <c r="BK18" s="47">
        <v>0</v>
      </c>
      <c r="BL18" s="48">
        <v>0</v>
      </c>
      <c r="BM18" s="47">
        <v>23</v>
      </c>
      <c r="BN18" s="48">
        <v>69.6969696969697</v>
      </c>
      <c r="BO18" s="47">
        <v>33</v>
      </c>
    </row>
    <row r="19" spans="1:8" ht="15">
      <c r="A19"/>
      <c r="B19"/>
      <c r="D19"/>
      <c r="E19"/>
      <c r="F19"/>
      <c r="H19"/>
    </row>
    <row r="20" spans="1:8" ht="15">
      <c r="A20"/>
      <c r="B20"/>
      <c r="D20"/>
      <c r="E20"/>
      <c r="F20"/>
      <c r="H20"/>
    </row>
    <row r="21" spans="1:8" ht="15">
      <c r="A21"/>
      <c r="B21"/>
      <c r="D21"/>
      <c r="E21"/>
      <c r="F21"/>
      <c r="H21"/>
    </row>
    <row r="22" spans="1:8" ht="15">
      <c r="A22"/>
      <c r="B22"/>
      <c r="D22"/>
      <c r="E22"/>
      <c r="F22"/>
      <c r="H22"/>
    </row>
    <row r="23" spans="1:8" ht="15">
      <c r="A23"/>
      <c r="B23"/>
      <c r="D23"/>
      <c r="E23"/>
      <c r="F23"/>
      <c r="H23"/>
    </row>
    <row r="24" spans="1:8" ht="15">
      <c r="A24"/>
      <c r="B24"/>
      <c r="D24"/>
      <c r="E24"/>
      <c r="F24"/>
      <c r="H24"/>
    </row>
    <row r="25" spans="1:8" ht="15">
      <c r="A25"/>
      <c r="B25"/>
      <c r="D25"/>
      <c r="E25"/>
      <c r="F25"/>
      <c r="H25"/>
    </row>
    <row r="26" spans="1:8" ht="15">
      <c r="A26"/>
      <c r="B26"/>
      <c r="D26"/>
      <c r="E26"/>
      <c r="F26"/>
      <c r="H26"/>
    </row>
    <row r="27" spans="1:8" ht="15">
      <c r="A27"/>
      <c r="B27"/>
      <c r="D27"/>
      <c r="E27"/>
      <c r="F27"/>
      <c r="H2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allowBlank="1" showInputMessage="1" showErrorMessage="1" promptTitle="Vertex 2 Name" prompt="Enter the name of the edge's second vertex." sqref="B3:B18"/>
    <dataValidation allowBlank="1" showInputMessage="1" showErrorMessage="1" promptTitle="Vertex 1 Name" prompt="Enter the name of the edge's first vertex." sqref="A3:A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Color" prompt="To select an optional edge color, right-click and select Select Color on the right-click menu." sqref="C3:C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ErrorMessage="1" sqref="N2:N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F25B0-6A47-42BB-B9E6-A82AC1914882}">
  <dimension ref="A1:N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7" t="s">
        <v>782</v>
      </c>
      <c r="B1" s="7" t="s">
        <v>785</v>
      </c>
      <c r="C1" s="7" t="s">
        <v>786</v>
      </c>
      <c r="D1" s="7" t="s">
        <v>788</v>
      </c>
      <c r="E1" s="7" t="s">
        <v>787</v>
      </c>
      <c r="F1" s="7" t="s">
        <v>790</v>
      </c>
      <c r="G1" s="7" t="s">
        <v>789</v>
      </c>
      <c r="H1" s="7" t="s">
        <v>792</v>
      </c>
      <c r="I1" s="7" t="s">
        <v>791</v>
      </c>
      <c r="J1" s="7" t="s">
        <v>794</v>
      </c>
      <c r="K1" s="7" t="s">
        <v>793</v>
      </c>
      <c r="L1" s="7" t="s">
        <v>796</v>
      </c>
      <c r="M1" s="7" t="s">
        <v>795</v>
      </c>
      <c r="N1" s="7" t="s">
        <v>797</v>
      </c>
    </row>
    <row r="2" spans="1:14" ht="15">
      <c r="A2" s="82" t="s">
        <v>453</v>
      </c>
      <c r="B2" s="78">
        <v>4</v>
      </c>
      <c r="C2" s="82" t="s">
        <v>453</v>
      </c>
      <c r="D2" s="78">
        <v>4</v>
      </c>
      <c r="E2" s="82" t="s">
        <v>450</v>
      </c>
      <c r="F2" s="78">
        <v>2</v>
      </c>
      <c r="G2" s="82" t="s">
        <v>457</v>
      </c>
      <c r="H2" s="78">
        <v>1</v>
      </c>
      <c r="I2" s="82" t="s">
        <v>451</v>
      </c>
      <c r="J2" s="78">
        <v>2</v>
      </c>
      <c r="K2" s="82" t="s">
        <v>454</v>
      </c>
      <c r="L2" s="78">
        <v>1</v>
      </c>
      <c r="M2" s="82" t="s">
        <v>456</v>
      </c>
      <c r="N2" s="78">
        <v>2</v>
      </c>
    </row>
    <row r="3" spans="1:14" ht="15">
      <c r="A3" s="83" t="s">
        <v>450</v>
      </c>
      <c r="B3" s="78">
        <v>2</v>
      </c>
      <c r="C3" s="82" t="s">
        <v>449</v>
      </c>
      <c r="D3" s="78">
        <v>1</v>
      </c>
      <c r="E3" s="78"/>
      <c r="F3" s="78"/>
      <c r="G3" s="82" t="s">
        <v>783</v>
      </c>
      <c r="H3" s="78">
        <v>1</v>
      </c>
      <c r="I3" s="78"/>
      <c r="J3" s="78"/>
      <c r="K3" s="78"/>
      <c r="L3" s="78"/>
      <c r="M3" s="82" t="s">
        <v>455</v>
      </c>
      <c r="N3" s="78">
        <v>1</v>
      </c>
    </row>
    <row r="4" spans="1:14" ht="15">
      <c r="A4" s="83" t="s">
        <v>451</v>
      </c>
      <c r="B4" s="78">
        <v>2</v>
      </c>
      <c r="C4" s="78"/>
      <c r="D4" s="78"/>
      <c r="E4" s="78"/>
      <c r="F4" s="78"/>
      <c r="G4" s="82" t="s">
        <v>784</v>
      </c>
      <c r="H4" s="78">
        <v>1</v>
      </c>
      <c r="I4" s="78"/>
      <c r="J4" s="78"/>
      <c r="K4" s="78"/>
      <c r="L4" s="78"/>
      <c r="M4" s="78"/>
      <c r="N4" s="78"/>
    </row>
    <row r="5" spans="1:14" ht="15">
      <c r="A5" s="83" t="s">
        <v>456</v>
      </c>
      <c r="B5" s="78">
        <v>2</v>
      </c>
      <c r="C5" s="78"/>
      <c r="D5" s="78"/>
      <c r="E5" s="78"/>
      <c r="F5" s="78"/>
      <c r="G5" s="82" t="s">
        <v>452</v>
      </c>
      <c r="H5" s="78">
        <v>1</v>
      </c>
      <c r="I5" s="78"/>
      <c r="J5" s="78"/>
      <c r="K5" s="78"/>
      <c r="L5" s="78"/>
      <c r="M5" s="78"/>
      <c r="N5" s="78"/>
    </row>
    <row r="6" spans="1:14" ht="15">
      <c r="A6" s="83" t="s">
        <v>449</v>
      </c>
      <c r="B6" s="78">
        <v>1</v>
      </c>
      <c r="C6" s="78"/>
      <c r="D6" s="78"/>
      <c r="E6" s="78"/>
      <c r="F6" s="78"/>
      <c r="G6" s="78"/>
      <c r="H6" s="78"/>
      <c r="I6" s="78"/>
      <c r="J6" s="78"/>
      <c r="K6" s="78"/>
      <c r="L6" s="78"/>
      <c r="M6" s="78"/>
      <c r="N6" s="78"/>
    </row>
    <row r="7" spans="1:14" ht="15">
      <c r="A7" s="83" t="s">
        <v>452</v>
      </c>
      <c r="B7" s="78">
        <v>1</v>
      </c>
      <c r="C7" s="78"/>
      <c r="D7" s="78"/>
      <c r="E7" s="78"/>
      <c r="F7" s="78"/>
      <c r="G7" s="78"/>
      <c r="H7" s="78"/>
      <c r="I7" s="78"/>
      <c r="J7" s="78"/>
      <c r="K7" s="78"/>
      <c r="L7" s="78"/>
      <c r="M7" s="78"/>
      <c r="N7" s="78"/>
    </row>
    <row r="8" spans="1:14" ht="15">
      <c r="A8" s="83" t="s">
        <v>454</v>
      </c>
      <c r="B8" s="78">
        <v>1</v>
      </c>
      <c r="C8" s="78"/>
      <c r="D8" s="78"/>
      <c r="E8" s="78"/>
      <c r="F8" s="78"/>
      <c r="G8" s="78"/>
      <c r="H8" s="78"/>
      <c r="I8" s="78"/>
      <c r="J8" s="78"/>
      <c r="K8" s="78"/>
      <c r="L8" s="78"/>
      <c r="M8" s="78"/>
      <c r="N8" s="78"/>
    </row>
    <row r="9" spans="1:14" ht="15">
      <c r="A9" s="83" t="s">
        <v>783</v>
      </c>
      <c r="B9" s="78">
        <v>1</v>
      </c>
      <c r="C9" s="78"/>
      <c r="D9" s="78"/>
      <c r="E9" s="78"/>
      <c r="F9" s="78"/>
      <c r="G9" s="78"/>
      <c r="H9" s="78"/>
      <c r="I9" s="78"/>
      <c r="J9" s="78"/>
      <c r="K9" s="78"/>
      <c r="L9" s="78"/>
      <c r="M9" s="78"/>
      <c r="N9" s="78"/>
    </row>
    <row r="10" spans="1:14" ht="15">
      <c r="A10" s="83" t="s">
        <v>784</v>
      </c>
      <c r="B10" s="78">
        <v>1</v>
      </c>
      <c r="C10" s="78"/>
      <c r="D10" s="78"/>
      <c r="E10" s="78"/>
      <c r="F10" s="78"/>
      <c r="G10" s="78"/>
      <c r="H10" s="78"/>
      <c r="I10" s="78"/>
      <c r="J10" s="78"/>
      <c r="K10" s="78"/>
      <c r="L10" s="78"/>
      <c r="M10" s="78"/>
      <c r="N10" s="78"/>
    </row>
    <row r="11" spans="1:14" ht="15">
      <c r="A11" s="83" t="s">
        <v>455</v>
      </c>
      <c r="B11" s="78">
        <v>1</v>
      </c>
      <c r="C11" s="78"/>
      <c r="D11" s="78"/>
      <c r="E11" s="78"/>
      <c r="F11" s="78"/>
      <c r="G11" s="78"/>
      <c r="H11" s="78"/>
      <c r="I11" s="78"/>
      <c r="J11" s="78"/>
      <c r="K11" s="78"/>
      <c r="L11" s="78"/>
      <c r="M11" s="78"/>
      <c r="N11" s="78"/>
    </row>
    <row r="14" spans="1:14" ht="15" customHeight="1">
      <c r="A14" s="7" t="s">
        <v>802</v>
      </c>
      <c r="B14" s="7" t="s">
        <v>785</v>
      </c>
      <c r="C14" s="7" t="s">
        <v>805</v>
      </c>
      <c r="D14" s="7" t="s">
        <v>788</v>
      </c>
      <c r="E14" s="7" t="s">
        <v>806</v>
      </c>
      <c r="F14" s="7" t="s">
        <v>790</v>
      </c>
      <c r="G14" s="7" t="s">
        <v>807</v>
      </c>
      <c r="H14" s="7" t="s">
        <v>792</v>
      </c>
      <c r="I14" s="7" t="s">
        <v>808</v>
      </c>
      <c r="J14" s="7" t="s">
        <v>794</v>
      </c>
      <c r="K14" s="7" t="s">
        <v>809</v>
      </c>
      <c r="L14" s="7" t="s">
        <v>796</v>
      </c>
      <c r="M14" s="7" t="s">
        <v>810</v>
      </c>
      <c r="N14" s="7" t="s">
        <v>797</v>
      </c>
    </row>
    <row r="15" spans="1:14" ht="15">
      <c r="A15" s="78" t="s">
        <v>269</v>
      </c>
      <c r="B15" s="78">
        <v>4</v>
      </c>
      <c r="C15" s="78" t="s">
        <v>269</v>
      </c>
      <c r="D15" s="78">
        <v>4</v>
      </c>
      <c r="E15" s="78" t="s">
        <v>272</v>
      </c>
      <c r="F15" s="78">
        <v>2</v>
      </c>
      <c r="G15" s="78" t="s">
        <v>273</v>
      </c>
      <c r="H15" s="78">
        <v>1</v>
      </c>
      <c r="I15" s="78" t="s">
        <v>271</v>
      </c>
      <c r="J15" s="78">
        <v>2</v>
      </c>
      <c r="K15" s="78" t="s">
        <v>268</v>
      </c>
      <c r="L15" s="78">
        <v>1</v>
      </c>
      <c r="M15" s="78" t="s">
        <v>265</v>
      </c>
      <c r="N15" s="78">
        <v>2</v>
      </c>
    </row>
    <row r="16" spans="1:14" ht="15">
      <c r="A16" s="79" t="s">
        <v>272</v>
      </c>
      <c r="B16" s="78">
        <v>2</v>
      </c>
      <c r="C16" s="78" t="s">
        <v>419</v>
      </c>
      <c r="D16" s="78">
        <v>1</v>
      </c>
      <c r="E16" s="78"/>
      <c r="F16" s="78"/>
      <c r="G16" s="78" t="s">
        <v>803</v>
      </c>
      <c r="H16" s="78">
        <v>1</v>
      </c>
      <c r="I16" s="78"/>
      <c r="J16" s="78"/>
      <c r="K16" s="78"/>
      <c r="L16" s="78"/>
      <c r="M16" s="78" t="s">
        <v>266</v>
      </c>
      <c r="N16" s="78">
        <v>1</v>
      </c>
    </row>
    <row r="17" spans="1:14" ht="15">
      <c r="A17" s="79" t="s">
        <v>271</v>
      </c>
      <c r="B17" s="78">
        <v>2</v>
      </c>
      <c r="C17" s="78"/>
      <c r="D17" s="78"/>
      <c r="E17" s="78"/>
      <c r="F17" s="78"/>
      <c r="G17" s="78" t="s">
        <v>804</v>
      </c>
      <c r="H17" s="78">
        <v>1</v>
      </c>
      <c r="I17" s="78"/>
      <c r="J17" s="78"/>
      <c r="K17" s="78"/>
      <c r="L17" s="78"/>
      <c r="M17" s="78"/>
      <c r="N17" s="78"/>
    </row>
    <row r="18" spans="1:14" ht="15">
      <c r="A18" s="79" t="s">
        <v>265</v>
      </c>
      <c r="B18" s="78">
        <v>2</v>
      </c>
      <c r="C18" s="78"/>
      <c r="D18" s="78"/>
      <c r="E18" s="78"/>
      <c r="F18" s="78"/>
      <c r="G18" s="78" t="s">
        <v>270</v>
      </c>
      <c r="H18" s="78">
        <v>1</v>
      </c>
      <c r="I18" s="78"/>
      <c r="J18" s="78"/>
      <c r="K18" s="78"/>
      <c r="L18" s="78"/>
      <c r="M18" s="78"/>
      <c r="N18" s="78"/>
    </row>
    <row r="19" spans="1:14" ht="15">
      <c r="A19" s="79" t="s">
        <v>419</v>
      </c>
      <c r="B19" s="78">
        <v>1</v>
      </c>
      <c r="C19" s="78"/>
      <c r="D19" s="78"/>
      <c r="E19" s="78"/>
      <c r="F19" s="78"/>
      <c r="G19" s="78"/>
      <c r="H19" s="78"/>
      <c r="I19" s="78"/>
      <c r="J19" s="78"/>
      <c r="K19" s="78"/>
      <c r="L19" s="78"/>
      <c r="M19" s="78"/>
      <c r="N19" s="78"/>
    </row>
    <row r="20" spans="1:14" ht="15">
      <c r="A20" s="79" t="s">
        <v>270</v>
      </c>
      <c r="B20" s="78">
        <v>1</v>
      </c>
      <c r="C20" s="78"/>
      <c r="D20" s="78"/>
      <c r="E20" s="78"/>
      <c r="F20" s="78"/>
      <c r="G20" s="78"/>
      <c r="H20" s="78"/>
      <c r="I20" s="78"/>
      <c r="J20" s="78"/>
      <c r="K20" s="78"/>
      <c r="L20" s="78"/>
      <c r="M20" s="78"/>
      <c r="N20" s="78"/>
    </row>
    <row r="21" spans="1:14" ht="15">
      <c r="A21" s="79" t="s">
        <v>268</v>
      </c>
      <c r="B21" s="78">
        <v>1</v>
      </c>
      <c r="C21" s="78"/>
      <c r="D21" s="78"/>
      <c r="E21" s="78"/>
      <c r="F21" s="78"/>
      <c r="G21" s="78"/>
      <c r="H21" s="78"/>
      <c r="I21" s="78"/>
      <c r="J21" s="78"/>
      <c r="K21" s="78"/>
      <c r="L21" s="78"/>
      <c r="M21" s="78"/>
      <c r="N21" s="78"/>
    </row>
    <row r="22" spans="1:14" ht="15">
      <c r="A22" s="79" t="s">
        <v>803</v>
      </c>
      <c r="B22" s="78">
        <v>1</v>
      </c>
      <c r="C22" s="78"/>
      <c r="D22" s="78"/>
      <c r="E22" s="78"/>
      <c r="F22" s="78"/>
      <c r="G22" s="78"/>
      <c r="H22" s="78"/>
      <c r="I22" s="78"/>
      <c r="J22" s="78"/>
      <c r="K22" s="78"/>
      <c r="L22" s="78"/>
      <c r="M22" s="78"/>
      <c r="N22" s="78"/>
    </row>
    <row r="23" spans="1:14" ht="15">
      <c r="A23" s="79" t="s">
        <v>804</v>
      </c>
      <c r="B23" s="78">
        <v>1</v>
      </c>
      <c r="C23" s="78"/>
      <c r="D23" s="78"/>
      <c r="E23" s="78"/>
      <c r="F23" s="78"/>
      <c r="G23" s="78"/>
      <c r="H23" s="78"/>
      <c r="I23" s="78"/>
      <c r="J23" s="78"/>
      <c r="K23" s="78"/>
      <c r="L23" s="78"/>
      <c r="M23" s="78"/>
      <c r="N23" s="78"/>
    </row>
    <row r="24" spans="1:14" ht="15">
      <c r="A24" s="79" t="s">
        <v>266</v>
      </c>
      <c r="B24" s="78">
        <v>1</v>
      </c>
      <c r="C24" s="78"/>
      <c r="D24" s="78"/>
      <c r="E24" s="78"/>
      <c r="F24" s="78"/>
      <c r="G24" s="78"/>
      <c r="H24" s="78"/>
      <c r="I24" s="78"/>
      <c r="J24" s="78"/>
      <c r="K24" s="78"/>
      <c r="L24" s="78"/>
      <c r="M24" s="78"/>
      <c r="N24" s="78"/>
    </row>
    <row r="27" spans="1:14" ht="15" customHeight="1">
      <c r="A27" s="7" t="s">
        <v>815</v>
      </c>
      <c r="B27" s="7" t="s">
        <v>785</v>
      </c>
      <c r="C27" s="7" t="s">
        <v>823</v>
      </c>
      <c r="D27" s="7" t="s">
        <v>788</v>
      </c>
      <c r="E27" s="7" t="s">
        <v>824</v>
      </c>
      <c r="F27" s="7" t="s">
        <v>790</v>
      </c>
      <c r="G27" s="7" t="s">
        <v>825</v>
      </c>
      <c r="H27" s="7" t="s">
        <v>792</v>
      </c>
      <c r="I27" s="78" t="s">
        <v>826</v>
      </c>
      <c r="J27" s="78" t="s">
        <v>794</v>
      </c>
      <c r="K27" s="7" t="s">
        <v>827</v>
      </c>
      <c r="L27" s="7" t="s">
        <v>796</v>
      </c>
      <c r="M27" s="78" t="s">
        <v>828</v>
      </c>
      <c r="N27" s="78" t="s">
        <v>797</v>
      </c>
    </row>
    <row r="28" spans="1:14" ht="15">
      <c r="A28" s="78" t="s">
        <v>276</v>
      </c>
      <c r="B28" s="78">
        <v>2</v>
      </c>
      <c r="C28" s="78" t="s">
        <v>420</v>
      </c>
      <c r="D28" s="78">
        <v>1</v>
      </c>
      <c r="E28" s="78" t="s">
        <v>276</v>
      </c>
      <c r="F28" s="78">
        <v>2</v>
      </c>
      <c r="G28" s="78" t="s">
        <v>637</v>
      </c>
      <c r="H28" s="78">
        <v>1</v>
      </c>
      <c r="I28" s="78"/>
      <c r="J28" s="78"/>
      <c r="K28" s="78" t="s">
        <v>819</v>
      </c>
      <c r="L28" s="78">
        <v>1</v>
      </c>
      <c r="M28" s="78"/>
      <c r="N28" s="78"/>
    </row>
    <row r="29" spans="1:14" ht="15">
      <c r="A29" s="79" t="s">
        <v>420</v>
      </c>
      <c r="B29" s="78">
        <v>1</v>
      </c>
      <c r="C29" s="78"/>
      <c r="D29" s="78"/>
      <c r="E29" s="78"/>
      <c r="F29" s="78"/>
      <c r="G29" s="78" t="s">
        <v>816</v>
      </c>
      <c r="H29" s="78">
        <v>1</v>
      </c>
      <c r="I29" s="78"/>
      <c r="J29" s="78"/>
      <c r="K29" s="78" t="s">
        <v>820</v>
      </c>
      <c r="L29" s="78">
        <v>1</v>
      </c>
      <c r="M29" s="78"/>
      <c r="N29" s="78"/>
    </row>
    <row r="30" spans="1:14" ht="15">
      <c r="A30" s="79" t="s">
        <v>637</v>
      </c>
      <c r="B30" s="78">
        <v>1</v>
      </c>
      <c r="C30" s="78"/>
      <c r="D30" s="78"/>
      <c r="E30" s="78"/>
      <c r="F30" s="78"/>
      <c r="G30" s="78" t="s">
        <v>817</v>
      </c>
      <c r="H30" s="78">
        <v>1</v>
      </c>
      <c r="I30" s="78"/>
      <c r="J30" s="78"/>
      <c r="K30" s="78" t="s">
        <v>821</v>
      </c>
      <c r="L30" s="78">
        <v>1</v>
      </c>
      <c r="M30" s="78"/>
      <c r="N30" s="78"/>
    </row>
    <row r="31" spans="1:14" ht="15">
      <c r="A31" s="79" t="s">
        <v>816</v>
      </c>
      <c r="B31" s="78">
        <v>1</v>
      </c>
      <c r="C31" s="78"/>
      <c r="D31" s="78"/>
      <c r="E31" s="78"/>
      <c r="F31" s="78"/>
      <c r="G31" s="78" t="s">
        <v>818</v>
      </c>
      <c r="H31" s="78">
        <v>1</v>
      </c>
      <c r="I31" s="78"/>
      <c r="J31" s="78"/>
      <c r="K31" s="78" t="s">
        <v>822</v>
      </c>
      <c r="L31" s="78">
        <v>1</v>
      </c>
      <c r="M31" s="78"/>
      <c r="N31" s="78"/>
    </row>
    <row r="32" spans="1:14" ht="15">
      <c r="A32" s="79" t="s">
        <v>817</v>
      </c>
      <c r="B32" s="78">
        <v>1</v>
      </c>
      <c r="C32" s="78"/>
      <c r="D32" s="78"/>
      <c r="E32" s="78"/>
      <c r="F32" s="78"/>
      <c r="G32" s="78"/>
      <c r="H32" s="78"/>
      <c r="I32" s="78"/>
      <c r="J32" s="78"/>
      <c r="K32" s="78"/>
      <c r="L32" s="78"/>
      <c r="M32" s="78"/>
      <c r="N32" s="78"/>
    </row>
    <row r="33" spans="1:14" ht="15">
      <c r="A33" s="79" t="s">
        <v>818</v>
      </c>
      <c r="B33" s="78">
        <v>1</v>
      </c>
      <c r="C33" s="78"/>
      <c r="D33" s="78"/>
      <c r="E33" s="78"/>
      <c r="F33" s="78"/>
      <c r="G33" s="78"/>
      <c r="H33" s="78"/>
      <c r="I33" s="78"/>
      <c r="J33" s="78"/>
      <c r="K33" s="78"/>
      <c r="L33" s="78"/>
      <c r="M33" s="78"/>
      <c r="N33" s="78"/>
    </row>
    <row r="34" spans="1:14" ht="15">
      <c r="A34" s="79" t="s">
        <v>819</v>
      </c>
      <c r="B34" s="78">
        <v>1</v>
      </c>
      <c r="C34" s="78"/>
      <c r="D34" s="78"/>
      <c r="E34" s="78"/>
      <c r="F34" s="78"/>
      <c r="G34" s="78"/>
      <c r="H34" s="78"/>
      <c r="I34" s="78"/>
      <c r="J34" s="78"/>
      <c r="K34" s="78"/>
      <c r="L34" s="78"/>
      <c r="M34" s="78"/>
      <c r="N34" s="78"/>
    </row>
    <row r="35" spans="1:14" ht="15">
      <c r="A35" s="79" t="s">
        <v>820</v>
      </c>
      <c r="B35" s="78">
        <v>1</v>
      </c>
      <c r="C35" s="78"/>
      <c r="D35" s="78"/>
      <c r="E35" s="78"/>
      <c r="F35" s="78"/>
      <c r="G35" s="78"/>
      <c r="H35" s="78"/>
      <c r="I35" s="78"/>
      <c r="J35" s="78"/>
      <c r="K35" s="78"/>
      <c r="L35" s="78"/>
      <c r="M35" s="78"/>
      <c r="N35" s="78"/>
    </row>
    <row r="36" spans="1:14" ht="15">
      <c r="A36" s="79" t="s">
        <v>821</v>
      </c>
      <c r="B36" s="78">
        <v>1</v>
      </c>
      <c r="C36" s="78"/>
      <c r="D36" s="78"/>
      <c r="E36" s="78"/>
      <c r="F36" s="78"/>
      <c r="G36" s="78"/>
      <c r="H36" s="78"/>
      <c r="I36" s="78"/>
      <c r="J36" s="78"/>
      <c r="K36" s="78"/>
      <c r="L36" s="78"/>
      <c r="M36" s="78"/>
      <c r="N36" s="78"/>
    </row>
    <row r="37" spans="1:14" ht="15">
      <c r="A37" s="79" t="s">
        <v>822</v>
      </c>
      <c r="B37" s="78">
        <v>1</v>
      </c>
      <c r="C37" s="78"/>
      <c r="D37" s="78"/>
      <c r="E37" s="78"/>
      <c r="F37" s="78"/>
      <c r="G37" s="78"/>
      <c r="H37" s="78"/>
      <c r="I37" s="78"/>
      <c r="J37" s="78"/>
      <c r="K37" s="78"/>
      <c r="L37" s="78"/>
      <c r="M37" s="78"/>
      <c r="N37" s="78"/>
    </row>
    <row r="40" spans="1:14" ht="15" customHeight="1">
      <c r="A40" s="7" t="s">
        <v>830</v>
      </c>
      <c r="B40" s="7" t="s">
        <v>785</v>
      </c>
      <c r="C40" s="7" t="s">
        <v>831</v>
      </c>
      <c r="D40" s="7" t="s">
        <v>788</v>
      </c>
      <c r="E40" s="7" t="s">
        <v>832</v>
      </c>
      <c r="F40" s="7" t="s">
        <v>790</v>
      </c>
      <c r="G40" s="7" t="s">
        <v>833</v>
      </c>
      <c r="H40" s="7" t="s">
        <v>792</v>
      </c>
      <c r="I40" s="7" t="s">
        <v>834</v>
      </c>
      <c r="J40" s="7" t="s">
        <v>794</v>
      </c>
      <c r="K40" s="78" t="s">
        <v>835</v>
      </c>
      <c r="L40" s="78" t="s">
        <v>796</v>
      </c>
      <c r="M40" s="7" t="s">
        <v>836</v>
      </c>
      <c r="N40" s="7" t="s">
        <v>797</v>
      </c>
    </row>
    <row r="41" spans="1:14" ht="15">
      <c r="A41" s="87" t="s">
        <v>635</v>
      </c>
      <c r="B41" s="87">
        <v>14</v>
      </c>
      <c r="C41" s="87" t="s">
        <v>640</v>
      </c>
      <c r="D41" s="87">
        <v>6</v>
      </c>
      <c r="E41" s="87" t="s">
        <v>709</v>
      </c>
      <c r="F41" s="87">
        <v>2</v>
      </c>
      <c r="G41" s="87" t="s">
        <v>635</v>
      </c>
      <c r="H41" s="87">
        <v>5</v>
      </c>
      <c r="I41" s="87" t="s">
        <v>638</v>
      </c>
      <c r="J41" s="87">
        <v>6</v>
      </c>
      <c r="K41" s="87"/>
      <c r="L41" s="87"/>
      <c r="M41" s="87" t="s">
        <v>651</v>
      </c>
      <c r="N41" s="87">
        <v>4</v>
      </c>
    </row>
    <row r="42" spans="1:14" ht="15">
      <c r="A42" s="84" t="s">
        <v>636</v>
      </c>
      <c r="B42" s="87">
        <v>11</v>
      </c>
      <c r="C42" s="87" t="s">
        <v>641</v>
      </c>
      <c r="D42" s="87">
        <v>6</v>
      </c>
      <c r="E42" s="87" t="s">
        <v>699</v>
      </c>
      <c r="F42" s="87">
        <v>2</v>
      </c>
      <c r="G42" s="87" t="s">
        <v>637</v>
      </c>
      <c r="H42" s="87">
        <v>3</v>
      </c>
      <c r="I42" s="87" t="s">
        <v>648</v>
      </c>
      <c r="J42" s="87">
        <v>4</v>
      </c>
      <c r="K42" s="87"/>
      <c r="L42" s="87"/>
      <c r="M42" s="87" t="s">
        <v>636</v>
      </c>
      <c r="N42" s="87">
        <v>3</v>
      </c>
    </row>
    <row r="43" spans="1:14" ht="15">
      <c r="A43" s="84" t="s">
        <v>637</v>
      </c>
      <c r="B43" s="87">
        <v>10</v>
      </c>
      <c r="C43" s="87" t="s">
        <v>636</v>
      </c>
      <c r="D43" s="87">
        <v>5</v>
      </c>
      <c r="E43" s="87" t="s">
        <v>656</v>
      </c>
      <c r="F43" s="87">
        <v>2</v>
      </c>
      <c r="G43" s="87" t="s">
        <v>684</v>
      </c>
      <c r="H43" s="87">
        <v>2</v>
      </c>
      <c r="I43" s="87" t="s">
        <v>643</v>
      </c>
      <c r="J43" s="87">
        <v>4</v>
      </c>
      <c r="K43" s="87"/>
      <c r="L43" s="87"/>
      <c r="M43" s="87" t="s">
        <v>637</v>
      </c>
      <c r="N43" s="87">
        <v>3</v>
      </c>
    </row>
    <row r="44" spans="1:14" ht="15">
      <c r="A44" s="84" t="s">
        <v>638</v>
      </c>
      <c r="B44" s="87">
        <v>6</v>
      </c>
      <c r="C44" s="87" t="s">
        <v>642</v>
      </c>
      <c r="D44" s="87">
        <v>5</v>
      </c>
      <c r="E44" s="87" t="s">
        <v>663</v>
      </c>
      <c r="F44" s="87">
        <v>2</v>
      </c>
      <c r="G44" s="87" t="s">
        <v>713</v>
      </c>
      <c r="H44" s="87">
        <v>2</v>
      </c>
      <c r="I44" s="87" t="s">
        <v>673</v>
      </c>
      <c r="J44" s="87">
        <v>2</v>
      </c>
      <c r="K44" s="87"/>
      <c r="L44" s="87"/>
      <c r="M44" s="87" t="s">
        <v>635</v>
      </c>
      <c r="N44" s="87">
        <v>3</v>
      </c>
    </row>
    <row r="45" spans="1:14" ht="15">
      <c r="A45" s="84" t="s">
        <v>639</v>
      </c>
      <c r="B45" s="87">
        <v>6</v>
      </c>
      <c r="C45" s="87" t="s">
        <v>644</v>
      </c>
      <c r="D45" s="87">
        <v>5</v>
      </c>
      <c r="E45" s="87" t="s">
        <v>715</v>
      </c>
      <c r="F45" s="87">
        <v>2</v>
      </c>
      <c r="G45" s="87" t="s">
        <v>669</v>
      </c>
      <c r="H45" s="87">
        <v>2</v>
      </c>
      <c r="I45" s="87" t="s">
        <v>690</v>
      </c>
      <c r="J45" s="87">
        <v>2</v>
      </c>
      <c r="K45" s="87"/>
      <c r="L45" s="87"/>
      <c r="M45" s="87" t="s">
        <v>711</v>
      </c>
      <c r="N45" s="87">
        <v>2</v>
      </c>
    </row>
    <row r="46" spans="1:14" ht="15">
      <c r="A46" s="84" t="s">
        <v>640</v>
      </c>
      <c r="B46" s="87">
        <v>6</v>
      </c>
      <c r="C46" s="87" t="s">
        <v>639</v>
      </c>
      <c r="D46" s="87">
        <v>5</v>
      </c>
      <c r="E46" s="87" t="s">
        <v>678</v>
      </c>
      <c r="F46" s="87">
        <v>2</v>
      </c>
      <c r="G46" s="87"/>
      <c r="H46" s="87"/>
      <c r="I46" s="87" t="s">
        <v>692</v>
      </c>
      <c r="J46" s="87">
        <v>2</v>
      </c>
      <c r="K46" s="87"/>
      <c r="L46" s="87"/>
      <c r="M46" s="87" t="s">
        <v>700</v>
      </c>
      <c r="N46" s="87">
        <v>2</v>
      </c>
    </row>
    <row r="47" spans="1:14" ht="15">
      <c r="A47" s="84" t="s">
        <v>641</v>
      </c>
      <c r="B47" s="87">
        <v>6</v>
      </c>
      <c r="C47" s="87" t="s">
        <v>645</v>
      </c>
      <c r="D47" s="87">
        <v>5</v>
      </c>
      <c r="E47" s="87" t="s">
        <v>251</v>
      </c>
      <c r="F47" s="87">
        <v>2</v>
      </c>
      <c r="G47" s="87"/>
      <c r="H47" s="87"/>
      <c r="I47" s="87" t="s">
        <v>716</v>
      </c>
      <c r="J47" s="87">
        <v>2</v>
      </c>
      <c r="K47" s="87"/>
      <c r="L47" s="87"/>
      <c r="M47" s="87" t="s">
        <v>714</v>
      </c>
      <c r="N47" s="87">
        <v>2</v>
      </c>
    </row>
    <row r="48" spans="1:14" ht="15">
      <c r="A48" s="84" t="s">
        <v>642</v>
      </c>
      <c r="B48" s="87">
        <v>5</v>
      </c>
      <c r="C48" s="87" t="s">
        <v>249</v>
      </c>
      <c r="D48" s="87">
        <v>4</v>
      </c>
      <c r="E48" s="87" t="s">
        <v>686</v>
      </c>
      <c r="F48" s="87">
        <v>2</v>
      </c>
      <c r="G48" s="87"/>
      <c r="H48" s="87"/>
      <c r="I48" s="87" t="s">
        <v>683</v>
      </c>
      <c r="J48" s="87">
        <v>2</v>
      </c>
      <c r="K48" s="87"/>
      <c r="L48" s="87"/>
      <c r="M48" s="87" t="s">
        <v>677</v>
      </c>
      <c r="N48" s="87">
        <v>2</v>
      </c>
    </row>
    <row r="49" spans="1:14" ht="15">
      <c r="A49" s="84" t="s">
        <v>643</v>
      </c>
      <c r="B49" s="87">
        <v>5</v>
      </c>
      <c r="C49" s="87" t="s">
        <v>653</v>
      </c>
      <c r="D49" s="87">
        <v>4</v>
      </c>
      <c r="E49" s="87" t="s">
        <v>697</v>
      </c>
      <c r="F49" s="87">
        <v>2</v>
      </c>
      <c r="G49" s="87"/>
      <c r="H49" s="87"/>
      <c r="I49" s="87" t="s">
        <v>675</v>
      </c>
      <c r="J49" s="87">
        <v>2</v>
      </c>
      <c r="K49" s="87"/>
      <c r="L49" s="87"/>
      <c r="M49" s="87" t="s">
        <v>708</v>
      </c>
      <c r="N49" s="87">
        <v>2</v>
      </c>
    </row>
    <row r="50" spans="1:14" ht="15">
      <c r="A50" s="84" t="s">
        <v>249</v>
      </c>
      <c r="B50" s="87">
        <v>5</v>
      </c>
      <c r="C50" s="87" t="s">
        <v>654</v>
      </c>
      <c r="D50" s="87">
        <v>4</v>
      </c>
      <c r="E50" s="87" t="s">
        <v>635</v>
      </c>
      <c r="F50" s="87">
        <v>2</v>
      </c>
      <c r="G50" s="87"/>
      <c r="H50" s="87"/>
      <c r="I50" s="87" t="s">
        <v>710</v>
      </c>
      <c r="J50" s="87">
        <v>2</v>
      </c>
      <c r="K50" s="87"/>
      <c r="L50" s="87"/>
      <c r="M50" s="87" t="s">
        <v>674</v>
      </c>
      <c r="N50" s="87">
        <v>2</v>
      </c>
    </row>
    <row r="53" spans="1:14" ht="15" customHeight="1">
      <c r="A53" s="7" t="s">
        <v>843</v>
      </c>
      <c r="B53" s="7" t="s">
        <v>785</v>
      </c>
      <c r="C53" s="7" t="s">
        <v>854</v>
      </c>
      <c r="D53" s="7" t="s">
        <v>788</v>
      </c>
      <c r="E53" s="7" t="s">
        <v>859</v>
      </c>
      <c r="F53" s="7" t="s">
        <v>790</v>
      </c>
      <c r="G53" s="7" t="s">
        <v>869</v>
      </c>
      <c r="H53" s="7" t="s">
        <v>792</v>
      </c>
      <c r="I53" s="7" t="s">
        <v>870</v>
      </c>
      <c r="J53" s="7" t="s">
        <v>794</v>
      </c>
      <c r="K53" s="78" t="s">
        <v>881</v>
      </c>
      <c r="L53" s="78" t="s">
        <v>796</v>
      </c>
      <c r="M53" s="7" t="s">
        <v>882</v>
      </c>
      <c r="N53" s="7" t="s">
        <v>797</v>
      </c>
    </row>
    <row r="54" spans="1:14" ht="15">
      <c r="A54" s="87" t="s">
        <v>844</v>
      </c>
      <c r="B54" s="87">
        <v>8</v>
      </c>
      <c r="C54" s="87" t="s">
        <v>845</v>
      </c>
      <c r="D54" s="87">
        <v>5</v>
      </c>
      <c r="E54" s="87" t="s">
        <v>860</v>
      </c>
      <c r="F54" s="87">
        <v>2</v>
      </c>
      <c r="G54" s="87" t="s">
        <v>853</v>
      </c>
      <c r="H54" s="87">
        <v>2</v>
      </c>
      <c r="I54" s="87" t="s">
        <v>871</v>
      </c>
      <c r="J54" s="87">
        <v>2</v>
      </c>
      <c r="K54" s="87"/>
      <c r="L54" s="87"/>
      <c r="M54" s="87" t="s">
        <v>844</v>
      </c>
      <c r="N54" s="87">
        <v>3</v>
      </c>
    </row>
    <row r="55" spans="1:14" ht="15">
      <c r="A55" s="84" t="s">
        <v>845</v>
      </c>
      <c r="B55" s="87">
        <v>5</v>
      </c>
      <c r="C55" s="87" t="s">
        <v>846</v>
      </c>
      <c r="D55" s="87">
        <v>5</v>
      </c>
      <c r="E55" s="87" t="s">
        <v>861</v>
      </c>
      <c r="F55" s="87">
        <v>2</v>
      </c>
      <c r="G55" s="87"/>
      <c r="H55" s="87"/>
      <c r="I55" s="87" t="s">
        <v>872</v>
      </c>
      <c r="J55" s="87">
        <v>2</v>
      </c>
      <c r="K55" s="87"/>
      <c r="L55" s="87"/>
      <c r="M55" s="87" t="s">
        <v>883</v>
      </c>
      <c r="N55" s="87">
        <v>2</v>
      </c>
    </row>
    <row r="56" spans="1:14" ht="15">
      <c r="A56" s="84" t="s">
        <v>846</v>
      </c>
      <c r="B56" s="87">
        <v>5</v>
      </c>
      <c r="C56" s="87" t="s">
        <v>851</v>
      </c>
      <c r="D56" s="87">
        <v>4</v>
      </c>
      <c r="E56" s="87" t="s">
        <v>862</v>
      </c>
      <c r="F56" s="87">
        <v>2</v>
      </c>
      <c r="G56" s="87"/>
      <c r="H56" s="87"/>
      <c r="I56" s="87" t="s">
        <v>873</v>
      </c>
      <c r="J56" s="87">
        <v>2</v>
      </c>
      <c r="K56" s="87"/>
      <c r="L56" s="87"/>
      <c r="M56" s="87" t="s">
        <v>884</v>
      </c>
      <c r="N56" s="87">
        <v>2</v>
      </c>
    </row>
    <row r="57" spans="1:14" ht="15">
      <c r="A57" s="84" t="s">
        <v>847</v>
      </c>
      <c r="B57" s="87">
        <v>4</v>
      </c>
      <c r="C57" s="87" t="s">
        <v>855</v>
      </c>
      <c r="D57" s="87">
        <v>4</v>
      </c>
      <c r="E57" s="87" t="s">
        <v>863</v>
      </c>
      <c r="F57" s="87">
        <v>2</v>
      </c>
      <c r="G57" s="87"/>
      <c r="H57" s="87"/>
      <c r="I57" s="87" t="s">
        <v>874</v>
      </c>
      <c r="J57" s="87">
        <v>2</v>
      </c>
      <c r="K57" s="87"/>
      <c r="L57" s="87"/>
      <c r="M57" s="87" t="s">
        <v>885</v>
      </c>
      <c r="N57" s="87">
        <v>2</v>
      </c>
    </row>
    <row r="58" spans="1:14" ht="15">
      <c r="A58" s="84" t="s">
        <v>848</v>
      </c>
      <c r="B58" s="87">
        <v>4</v>
      </c>
      <c r="C58" s="87" t="s">
        <v>856</v>
      </c>
      <c r="D58" s="87">
        <v>4</v>
      </c>
      <c r="E58" s="87" t="s">
        <v>864</v>
      </c>
      <c r="F58" s="87">
        <v>2</v>
      </c>
      <c r="G58" s="87"/>
      <c r="H58" s="87"/>
      <c r="I58" s="87" t="s">
        <v>875</v>
      </c>
      <c r="J58" s="87">
        <v>2</v>
      </c>
      <c r="K58" s="87"/>
      <c r="L58" s="87"/>
      <c r="M58" s="87" t="s">
        <v>886</v>
      </c>
      <c r="N58" s="87">
        <v>2</v>
      </c>
    </row>
    <row r="59" spans="1:14" ht="15">
      <c r="A59" s="84" t="s">
        <v>849</v>
      </c>
      <c r="B59" s="87">
        <v>4</v>
      </c>
      <c r="C59" s="87" t="s">
        <v>857</v>
      </c>
      <c r="D59" s="87">
        <v>4</v>
      </c>
      <c r="E59" s="87" t="s">
        <v>865</v>
      </c>
      <c r="F59" s="87">
        <v>2</v>
      </c>
      <c r="G59" s="87"/>
      <c r="H59" s="87"/>
      <c r="I59" s="87" t="s">
        <v>876</v>
      </c>
      <c r="J59" s="87">
        <v>2</v>
      </c>
      <c r="K59" s="87"/>
      <c r="L59" s="87"/>
      <c r="M59" s="87" t="s">
        <v>887</v>
      </c>
      <c r="N59" s="87">
        <v>2</v>
      </c>
    </row>
    <row r="60" spans="1:14" ht="15">
      <c r="A60" s="84" t="s">
        <v>850</v>
      </c>
      <c r="B60" s="87">
        <v>4</v>
      </c>
      <c r="C60" s="87" t="s">
        <v>858</v>
      </c>
      <c r="D60" s="87">
        <v>4</v>
      </c>
      <c r="E60" s="87" t="s">
        <v>866</v>
      </c>
      <c r="F60" s="87">
        <v>2</v>
      </c>
      <c r="G60" s="87"/>
      <c r="H60" s="87"/>
      <c r="I60" s="87" t="s">
        <v>877</v>
      </c>
      <c r="J60" s="87">
        <v>2</v>
      </c>
      <c r="K60" s="87"/>
      <c r="L60" s="87"/>
      <c r="M60" s="87" t="s">
        <v>888</v>
      </c>
      <c r="N60" s="87">
        <v>2</v>
      </c>
    </row>
    <row r="61" spans="1:14" ht="15">
      <c r="A61" s="84" t="s">
        <v>851</v>
      </c>
      <c r="B61" s="87">
        <v>4</v>
      </c>
      <c r="C61" s="87" t="s">
        <v>844</v>
      </c>
      <c r="D61" s="87">
        <v>4</v>
      </c>
      <c r="E61" s="87" t="s">
        <v>867</v>
      </c>
      <c r="F61" s="87">
        <v>2</v>
      </c>
      <c r="G61" s="87"/>
      <c r="H61" s="87"/>
      <c r="I61" s="87" t="s">
        <v>878</v>
      </c>
      <c r="J61" s="87">
        <v>2</v>
      </c>
      <c r="K61" s="87"/>
      <c r="L61" s="87"/>
      <c r="M61" s="87" t="s">
        <v>889</v>
      </c>
      <c r="N61" s="87">
        <v>2</v>
      </c>
    </row>
    <row r="62" spans="1:14" ht="15">
      <c r="A62" s="84" t="s">
        <v>852</v>
      </c>
      <c r="B62" s="87">
        <v>4</v>
      </c>
      <c r="C62" s="87" t="s">
        <v>848</v>
      </c>
      <c r="D62" s="87">
        <v>4</v>
      </c>
      <c r="E62" s="87" t="s">
        <v>868</v>
      </c>
      <c r="F62" s="87">
        <v>2</v>
      </c>
      <c r="G62" s="87"/>
      <c r="H62" s="87"/>
      <c r="I62" s="87" t="s">
        <v>879</v>
      </c>
      <c r="J62" s="87">
        <v>2</v>
      </c>
      <c r="K62" s="87"/>
      <c r="L62" s="87"/>
      <c r="M62" s="87" t="s">
        <v>890</v>
      </c>
      <c r="N62" s="87">
        <v>2</v>
      </c>
    </row>
    <row r="63" spans="1:14" ht="15">
      <c r="A63" s="84" t="s">
        <v>853</v>
      </c>
      <c r="B63" s="87">
        <v>4</v>
      </c>
      <c r="C63" s="87" t="s">
        <v>849</v>
      </c>
      <c r="D63" s="87">
        <v>4</v>
      </c>
      <c r="E63" s="87" t="s">
        <v>853</v>
      </c>
      <c r="F63" s="87">
        <v>2</v>
      </c>
      <c r="G63" s="87"/>
      <c r="H63" s="87"/>
      <c r="I63" s="87" t="s">
        <v>880</v>
      </c>
      <c r="J63" s="87">
        <v>2</v>
      </c>
      <c r="K63" s="87"/>
      <c r="L63" s="87"/>
      <c r="M63" s="87" t="s">
        <v>891</v>
      </c>
      <c r="N63" s="87">
        <v>2</v>
      </c>
    </row>
    <row r="66" spans="1:14" ht="15" customHeight="1">
      <c r="A66" s="78" t="s">
        <v>897</v>
      </c>
      <c r="B66" s="78" t="s">
        <v>785</v>
      </c>
      <c r="C66" s="78" t="s">
        <v>899</v>
      </c>
      <c r="D66" s="78" t="s">
        <v>788</v>
      </c>
      <c r="E66" s="78" t="s">
        <v>900</v>
      </c>
      <c r="F66" s="78" t="s">
        <v>790</v>
      </c>
      <c r="G66" s="78" t="s">
        <v>903</v>
      </c>
      <c r="H66" s="78" t="s">
        <v>792</v>
      </c>
      <c r="I66" s="78" t="s">
        <v>905</v>
      </c>
      <c r="J66" s="78" t="s">
        <v>794</v>
      </c>
      <c r="K66" s="78" t="s">
        <v>907</v>
      </c>
      <c r="L66" s="78" t="s">
        <v>796</v>
      </c>
      <c r="M66" s="78" t="s">
        <v>909</v>
      </c>
      <c r="N66" s="78" t="s">
        <v>797</v>
      </c>
    </row>
    <row r="67" spans="1:14" ht="15">
      <c r="A67" s="78"/>
      <c r="B67" s="78"/>
      <c r="C67" s="78"/>
      <c r="D67" s="78"/>
      <c r="E67" s="78"/>
      <c r="F67" s="78"/>
      <c r="G67" s="78"/>
      <c r="H67" s="78"/>
      <c r="I67" s="78"/>
      <c r="J67" s="78"/>
      <c r="K67" s="78"/>
      <c r="L67" s="78"/>
      <c r="M67" s="78"/>
      <c r="N67" s="78"/>
    </row>
    <row r="69" spans="1:14" ht="15" customHeight="1">
      <c r="A69" s="7" t="s">
        <v>898</v>
      </c>
      <c r="B69" s="7" t="s">
        <v>785</v>
      </c>
      <c r="C69" s="7" t="s">
        <v>901</v>
      </c>
      <c r="D69" s="7" t="s">
        <v>788</v>
      </c>
      <c r="E69" s="7" t="s">
        <v>902</v>
      </c>
      <c r="F69" s="7" t="s">
        <v>790</v>
      </c>
      <c r="G69" s="78" t="s">
        <v>904</v>
      </c>
      <c r="H69" s="78" t="s">
        <v>792</v>
      </c>
      <c r="I69" s="78" t="s">
        <v>906</v>
      </c>
      <c r="J69" s="78" t="s">
        <v>794</v>
      </c>
      <c r="K69" s="7" t="s">
        <v>908</v>
      </c>
      <c r="L69" s="7" t="s">
        <v>796</v>
      </c>
      <c r="M69" s="78" t="s">
        <v>910</v>
      </c>
      <c r="N69" s="78" t="s">
        <v>797</v>
      </c>
    </row>
    <row r="70" spans="1:14" ht="15">
      <c r="A70" s="78" t="s">
        <v>249</v>
      </c>
      <c r="B70" s="78">
        <v>5</v>
      </c>
      <c r="C70" s="78" t="s">
        <v>249</v>
      </c>
      <c r="D70" s="78">
        <v>4</v>
      </c>
      <c r="E70" s="78" t="s">
        <v>251</v>
      </c>
      <c r="F70" s="78">
        <v>2</v>
      </c>
      <c r="G70" s="78"/>
      <c r="H70" s="78"/>
      <c r="I70" s="78"/>
      <c r="J70" s="78"/>
      <c r="K70" s="78" t="s">
        <v>249</v>
      </c>
      <c r="L70" s="78">
        <v>1</v>
      </c>
      <c r="M70" s="78"/>
      <c r="N70" s="78"/>
    </row>
    <row r="71" spans="1:14" ht="15">
      <c r="A71" s="79" t="s">
        <v>250</v>
      </c>
      <c r="B71" s="78">
        <v>4</v>
      </c>
      <c r="C71" s="78" t="s">
        <v>250</v>
      </c>
      <c r="D71" s="78">
        <v>4</v>
      </c>
      <c r="E71" s="78"/>
      <c r="F71" s="78"/>
      <c r="G71" s="78"/>
      <c r="H71" s="78"/>
      <c r="I71" s="78"/>
      <c r="J71" s="78"/>
      <c r="K71" s="78" t="s">
        <v>248</v>
      </c>
      <c r="L71" s="78">
        <v>1</v>
      </c>
      <c r="M71" s="78"/>
      <c r="N71" s="78"/>
    </row>
    <row r="72" spans="1:14" ht="15">
      <c r="A72" s="79" t="s">
        <v>251</v>
      </c>
      <c r="B72" s="78">
        <v>2</v>
      </c>
      <c r="C72" s="78" t="s">
        <v>417</v>
      </c>
      <c r="D72" s="78">
        <v>1</v>
      </c>
      <c r="E72" s="78"/>
      <c r="F72" s="78"/>
      <c r="G72" s="78"/>
      <c r="H72" s="78"/>
      <c r="I72" s="78"/>
      <c r="J72" s="78"/>
      <c r="K72" s="78"/>
      <c r="L72" s="78"/>
      <c r="M72" s="78"/>
      <c r="N72" s="78"/>
    </row>
    <row r="73" spans="1:14" ht="15">
      <c r="A73" s="79" t="s">
        <v>417</v>
      </c>
      <c r="B73" s="78">
        <v>1</v>
      </c>
      <c r="C73" s="78"/>
      <c r="D73" s="78"/>
      <c r="E73" s="78"/>
      <c r="F73" s="78"/>
      <c r="G73" s="78"/>
      <c r="H73" s="78"/>
      <c r="I73" s="78"/>
      <c r="J73" s="78"/>
      <c r="K73" s="78"/>
      <c r="L73" s="78"/>
      <c r="M73" s="78"/>
      <c r="N73" s="78"/>
    </row>
    <row r="74" spans="1:14" ht="15">
      <c r="A74" s="79" t="s">
        <v>248</v>
      </c>
      <c r="B74" s="78">
        <v>1</v>
      </c>
      <c r="C74" s="78"/>
      <c r="D74" s="78"/>
      <c r="E74" s="78"/>
      <c r="F74" s="78"/>
      <c r="G74" s="78"/>
      <c r="H74" s="78"/>
      <c r="I74" s="78"/>
      <c r="J74" s="78"/>
      <c r="K74" s="78"/>
      <c r="L74" s="78"/>
      <c r="M74" s="78"/>
      <c r="N74" s="78"/>
    </row>
    <row r="77" spans="1:14" ht="15" customHeight="1">
      <c r="A77" s="7" t="s">
        <v>915</v>
      </c>
      <c r="B77" s="7" t="s">
        <v>785</v>
      </c>
      <c r="C77" s="7" t="s">
        <v>916</v>
      </c>
      <c r="D77" s="7" t="s">
        <v>788</v>
      </c>
      <c r="E77" s="7" t="s">
        <v>917</v>
      </c>
      <c r="F77" s="7" t="s">
        <v>790</v>
      </c>
      <c r="G77" s="7" t="s">
        <v>918</v>
      </c>
      <c r="H77" s="7" t="s">
        <v>792</v>
      </c>
      <c r="I77" s="7" t="s">
        <v>919</v>
      </c>
      <c r="J77" s="7" t="s">
        <v>794</v>
      </c>
      <c r="K77" s="7" t="s">
        <v>920</v>
      </c>
      <c r="L77" s="7" t="s">
        <v>796</v>
      </c>
      <c r="M77" s="7" t="s">
        <v>921</v>
      </c>
      <c r="N77" s="7" t="s">
        <v>797</v>
      </c>
    </row>
    <row r="78" spans="1:14" ht="15">
      <c r="A78" s="125" t="s">
        <v>239</v>
      </c>
      <c r="B78" s="78">
        <v>170674</v>
      </c>
      <c r="C78" s="125" t="s">
        <v>239</v>
      </c>
      <c r="D78" s="78">
        <v>170674</v>
      </c>
      <c r="E78" s="125" t="s">
        <v>246</v>
      </c>
      <c r="F78" s="78">
        <v>109907</v>
      </c>
      <c r="G78" s="125" t="s">
        <v>247</v>
      </c>
      <c r="H78" s="78">
        <v>17146</v>
      </c>
      <c r="I78" s="125" t="s">
        <v>244</v>
      </c>
      <c r="J78" s="78">
        <v>51502</v>
      </c>
      <c r="K78" s="125" t="s">
        <v>237</v>
      </c>
      <c r="L78" s="78">
        <v>9429</v>
      </c>
      <c r="M78" s="125" t="s">
        <v>235</v>
      </c>
      <c r="N78" s="78">
        <v>2147</v>
      </c>
    </row>
    <row r="79" spans="1:14" ht="15">
      <c r="A79" s="127" t="s">
        <v>246</v>
      </c>
      <c r="B79" s="78">
        <v>109907</v>
      </c>
      <c r="C79" s="125" t="s">
        <v>238</v>
      </c>
      <c r="D79" s="78">
        <v>51102</v>
      </c>
      <c r="E79" s="125" t="s">
        <v>251</v>
      </c>
      <c r="F79" s="78">
        <v>5394</v>
      </c>
      <c r="G79" s="125" t="s">
        <v>242</v>
      </c>
      <c r="H79" s="78">
        <v>328</v>
      </c>
      <c r="I79" s="125" t="s">
        <v>243</v>
      </c>
      <c r="J79" s="78">
        <v>12002</v>
      </c>
      <c r="K79" s="125" t="s">
        <v>248</v>
      </c>
      <c r="L79" s="78">
        <v>452</v>
      </c>
      <c r="M79" s="125" t="s">
        <v>234</v>
      </c>
      <c r="N79" s="78">
        <v>198</v>
      </c>
    </row>
    <row r="80" spans="1:14" ht="15">
      <c r="A80" s="127" t="s">
        <v>244</v>
      </c>
      <c r="B80" s="78">
        <v>51502</v>
      </c>
      <c r="C80" s="125" t="s">
        <v>240</v>
      </c>
      <c r="D80" s="78">
        <v>3222</v>
      </c>
      <c r="E80" s="125" t="s">
        <v>245</v>
      </c>
      <c r="F80" s="78">
        <v>320</v>
      </c>
      <c r="G80" s="125" t="s">
        <v>236</v>
      </c>
      <c r="H80" s="78">
        <v>45</v>
      </c>
      <c r="I80" s="125"/>
      <c r="J80" s="78"/>
      <c r="K80" s="125"/>
      <c r="L80" s="78"/>
      <c r="M80" s="125"/>
      <c r="N80" s="78"/>
    </row>
    <row r="81" spans="1:14" ht="15">
      <c r="A81" s="127" t="s">
        <v>238</v>
      </c>
      <c r="B81" s="78">
        <v>51102</v>
      </c>
      <c r="C81" s="125" t="s">
        <v>241</v>
      </c>
      <c r="D81" s="78">
        <v>2297</v>
      </c>
      <c r="E81" s="125"/>
      <c r="F81" s="78"/>
      <c r="G81" s="125"/>
      <c r="H81" s="78"/>
      <c r="I81" s="125"/>
      <c r="J81" s="78"/>
      <c r="K81" s="125"/>
      <c r="L81" s="78"/>
      <c r="M81" s="125"/>
      <c r="N81" s="78"/>
    </row>
    <row r="82" spans="1:14" ht="15">
      <c r="A82" s="127" t="s">
        <v>247</v>
      </c>
      <c r="B82" s="78">
        <v>17146</v>
      </c>
      <c r="C82" s="125" t="s">
        <v>417</v>
      </c>
      <c r="D82" s="78">
        <v>1399</v>
      </c>
      <c r="E82" s="125"/>
      <c r="F82" s="78"/>
      <c r="G82" s="125"/>
      <c r="H82" s="78"/>
      <c r="I82" s="125"/>
      <c r="J82" s="78"/>
      <c r="K82" s="125"/>
      <c r="L82" s="78"/>
      <c r="M82" s="125"/>
      <c r="N82" s="78"/>
    </row>
    <row r="83" spans="1:14" ht="15">
      <c r="A83" s="127" t="s">
        <v>243</v>
      </c>
      <c r="B83" s="78">
        <v>12002</v>
      </c>
      <c r="C83" s="125" t="s">
        <v>249</v>
      </c>
      <c r="D83" s="78">
        <v>391</v>
      </c>
      <c r="E83" s="125"/>
      <c r="F83" s="78"/>
      <c r="G83" s="125"/>
      <c r="H83" s="78"/>
      <c r="I83" s="125"/>
      <c r="J83" s="78"/>
      <c r="K83" s="125"/>
      <c r="L83" s="78"/>
      <c r="M83" s="125"/>
      <c r="N83" s="78"/>
    </row>
    <row r="84" spans="1:14" ht="15">
      <c r="A84" s="127" t="s">
        <v>237</v>
      </c>
      <c r="B84" s="78">
        <v>9429</v>
      </c>
      <c r="C84" s="125" t="s">
        <v>250</v>
      </c>
      <c r="D84" s="78">
        <v>214</v>
      </c>
      <c r="E84" s="125"/>
      <c r="F84" s="78"/>
      <c r="G84" s="125"/>
      <c r="H84" s="78"/>
      <c r="I84" s="125"/>
      <c r="J84" s="78"/>
      <c r="K84" s="125"/>
      <c r="L84" s="78"/>
      <c r="M84" s="125"/>
      <c r="N84" s="78"/>
    </row>
    <row r="85" spans="1:14" ht="15">
      <c r="A85" s="127" t="s">
        <v>251</v>
      </c>
      <c r="B85" s="78">
        <v>5394</v>
      </c>
      <c r="C85" s="125"/>
      <c r="D85" s="78"/>
      <c r="E85" s="125"/>
      <c r="F85" s="78"/>
      <c r="G85" s="125"/>
      <c r="H85" s="78"/>
      <c r="I85" s="125"/>
      <c r="J85" s="78"/>
      <c r="K85" s="125"/>
      <c r="L85" s="78"/>
      <c r="M85" s="125"/>
      <c r="N85" s="78"/>
    </row>
    <row r="86" spans="1:14" ht="15">
      <c r="A86" s="127" t="s">
        <v>240</v>
      </c>
      <c r="B86" s="78">
        <v>3222</v>
      </c>
      <c r="C86" s="125"/>
      <c r="D86" s="78"/>
      <c r="E86" s="125"/>
      <c r="F86" s="78"/>
      <c r="G86" s="125"/>
      <c r="H86" s="78"/>
      <c r="I86" s="125"/>
      <c r="J86" s="78"/>
      <c r="K86" s="125"/>
      <c r="L86" s="78"/>
      <c r="M86" s="125"/>
      <c r="N86" s="78"/>
    </row>
    <row r="87" spans="1:14" ht="15">
      <c r="A87" s="127" t="s">
        <v>241</v>
      </c>
      <c r="B87" s="78">
        <v>2297</v>
      </c>
      <c r="C87" s="125"/>
      <c r="D87" s="78"/>
      <c r="E87" s="125"/>
      <c r="F87" s="78"/>
      <c r="G87" s="125"/>
      <c r="H87" s="78"/>
      <c r="I87" s="125"/>
      <c r="J87" s="78"/>
      <c r="K87" s="125"/>
      <c r="L87" s="78"/>
      <c r="M87" s="125"/>
      <c r="N87" s="78"/>
    </row>
  </sheetData>
  <hyperlinks>
    <hyperlink ref="A2" r:id="rId1" display="https://www.straitstimes.com/singapore/cell-cultured-meat-industry-set-for-another-leap-forward-with-new-changi-plant"/>
    <hyperlink ref="A3" r:id="rId2" display="https://www.cell.ag/blog/cellular-metabolomics-and-optimizing-cultivated-meat-cell-line-selection"/>
    <hyperlink ref="A4" r:id="rId3" display="https://www.avma.org/news/fda-concludes-first-premarket-consultation-meat-cultured-animal-cells"/>
    <hyperlink ref="A5" r:id="rId4" display="https://www.cellbasednews.com/"/>
    <hyperlink ref="A6" r:id="rId5" display="https://www.timesofisrael.com/kosher-now-maybe-halal-aleph-farms-gears-up-for-rollout-of-cultivated-steak/"/>
    <hyperlink ref="A7" r:id="rId6" display="https://marqmetrix.com/cultivated-meat-raman-seven-benefits/"/>
    <hyperlink ref="A8" r:id="rId7" display="https://vegconomist.com/cultivated-cell-cultured-biotechnology/mosa-meat-and-nutreco-low-cost-cell-feed/"/>
    <hyperlink ref="A9" r:id="rId8" display="https://www.linkedin.com/feed/update/urn:li:share:7037740749643223040"/>
    <hyperlink ref="A10" r:id="rId9" display="https://www.foodingredientsfirst.com/news/cultivated-meat-players-race-to-commercialization-by-overcoming-critical-cost-and-scaling-challenges.html#.ZAMmdhh3H_s.linkedin"/>
    <hyperlink ref="A11" r:id="rId10" display="https://foodinstitute.com/focus/cell-cultured-snapshot-how-to-make-meat/"/>
    <hyperlink ref="C2" r:id="rId11" display="https://www.straitstimes.com/singapore/cell-cultured-meat-industry-set-for-another-leap-forward-with-new-changi-plant"/>
    <hyperlink ref="C3" r:id="rId12" display="https://www.timesofisrael.com/kosher-now-maybe-halal-aleph-farms-gears-up-for-rollout-of-cultivated-steak/"/>
    <hyperlink ref="E2" r:id="rId13" display="https://www.cell.ag/blog/cellular-metabolomics-and-optimizing-cultivated-meat-cell-line-selection"/>
    <hyperlink ref="G2" r:id="rId14" display="https://www.soci.org/events/hq-events/2023/cultivated-meat-from-the-field-via-cellular-agriculture-to-the-plate"/>
    <hyperlink ref="G3" r:id="rId15" display="https://www.linkedin.com/feed/update/urn:li:share:7037740749643223040"/>
    <hyperlink ref="G4" r:id="rId16" display="https://www.foodingredientsfirst.com/news/cultivated-meat-players-race-to-commercialization-by-overcoming-critical-cost-and-scaling-challenges.html#.ZAMmdhh3H_s.linkedin"/>
    <hyperlink ref="G5" r:id="rId17" display="https://marqmetrix.com/cultivated-meat-raman-seven-benefits/"/>
    <hyperlink ref="I2" r:id="rId18" display="https://www.avma.org/news/fda-concludes-first-premarket-consultation-meat-cultured-animal-cells"/>
    <hyperlink ref="K2" r:id="rId19" display="https://vegconomist.com/cultivated-cell-cultured-biotechnology/mosa-meat-and-nutreco-low-cost-cell-feed/"/>
    <hyperlink ref="M2" r:id="rId20" display="https://www.cellbasednews.com/"/>
    <hyperlink ref="M3" r:id="rId21" display="https://foodinstitute.com/focus/cell-cultured-snapshot-how-to-make-meat/"/>
  </hyperlinks>
  <printOptions/>
  <pageMargins left="0.7" right="0.7" top="0.75" bottom="0.75" header="0.3" footer="0.3"/>
  <pageSetup orientation="portrait" paperSize="9"/>
  <tableParts>
    <tablePart r:id="rId25"/>
    <tablePart r:id="rId26"/>
    <tablePart r:id="rId23"/>
    <tablePart r:id="rId28"/>
    <tablePart r:id="rId22"/>
    <tablePart r:id="rId24"/>
    <tablePart r:id="rId27"/>
    <tablePart r:id="rId29"/>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C6801-4C36-4D65-B208-7A6BAEFD4E4F}">
  <dimension ref="A25:B41"/>
  <sheetViews>
    <sheetView workbookViewId="0" topLeftCell="A1"/>
  </sheetViews>
  <sheetFormatPr defaultColWidth="9.140625" defaultRowHeight="15"/>
  <cols>
    <col min="1" max="1" width="14.8515625" style="0" bestFit="1" customWidth="1"/>
    <col min="2" max="2" width="25.00390625" style="0" bestFit="1" customWidth="1"/>
  </cols>
  <sheetData>
    <row r="25" spans="1:2" ht="15">
      <c r="A25" s="143" t="s">
        <v>966</v>
      </c>
      <c r="B25" t="s">
        <v>965</v>
      </c>
    </row>
    <row r="26" spans="1:2" ht="15">
      <c r="A26" s="144">
        <v>44971.681550925925</v>
      </c>
      <c r="B26" s="126">
        <v>1</v>
      </c>
    </row>
    <row r="27" spans="1:2" ht="15">
      <c r="A27" s="144">
        <v>44986.63266203704</v>
      </c>
      <c r="B27" s="126">
        <v>1</v>
      </c>
    </row>
    <row r="28" spans="1:2" ht="15">
      <c r="A28" s="144">
        <v>44987.67550925926</v>
      </c>
      <c r="B28" s="126">
        <v>1</v>
      </c>
    </row>
    <row r="29" spans="1:2" ht="15">
      <c r="A29" s="144">
        <v>44988.782476851855</v>
      </c>
      <c r="B29" s="126">
        <v>1</v>
      </c>
    </row>
    <row r="30" spans="1:2" ht="15">
      <c r="A30" s="144">
        <v>44989.46487268519</v>
      </c>
      <c r="B30" s="126">
        <v>1</v>
      </c>
    </row>
    <row r="31" spans="1:2" ht="15">
      <c r="A31" s="144">
        <v>44991.75209490741</v>
      </c>
      <c r="B31" s="126">
        <v>1</v>
      </c>
    </row>
    <row r="32" spans="1:2" ht="15">
      <c r="A32" s="144">
        <v>44992.08576388889</v>
      </c>
      <c r="B32" s="126">
        <v>2</v>
      </c>
    </row>
    <row r="33" spans="1:2" ht="15">
      <c r="A33" s="144">
        <v>44992.159224537034</v>
      </c>
      <c r="B33" s="126">
        <v>1</v>
      </c>
    </row>
    <row r="34" spans="1:2" ht="15">
      <c r="A34" s="144">
        <v>44992.195</v>
      </c>
      <c r="B34" s="126">
        <v>1</v>
      </c>
    </row>
    <row r="35" spans="1:2" ht="15">
      <c r="A35" s="144">
        <v>44992.26972222222</v>
      </c>
      <c r="B35" s="126">
        <v>1</v>
      </c>
    </row>
    <row r="36" spans="1:2" ht="15">
      <c r="A36" s="144">
        <v>44992.66726851852</v>
      </c>
      <c r="B36" s="126">
        <v>1</v>
      </c>
    </row>
    <row r="37" spans="1:2" ht="15">
      <c r="A37" s="144">
        <v>44994.83495370371</v>
      </c>
      <c r="B37" s="126">
        <v>1</v>
      </c>
    </row>
    <row r="38" spans="1:2" ht="15">
      <c r="A38" s="144">
        <v>44994.838854166665</v>
      </c>
      <c r="B38" s="126">
        <v>1</v>
      </c>
    </row>
    <row r="39" spans="1:2" ht="15">
      <c r="A39" s="144">
        <v>44995.79017361111</v>
      </c>
      <c r="B39" s="126">
        <v>1</v>
      </c>
    </row>
    <row r="40" spans="1:2" ht="15">
      <c r="A40" s="144">
        <v>44995.80060185185</v>
      </c>
      <c r="B40" s="126">
        <v>1</v>
      </c>
    </row>
    <row r="41" spans="1:2" ht="15">
      <c r="A41" s="144" t="s">
        <v>967</v>
      </c>
      <c r="B41" s="126">
        <v>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V21"/>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1.57421875" style="0" customWidth="1"/>
    <col min="34" max="34" width="12.00390625" style="0"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8.140625" style="0" customWidth="1"/>
    <col min="42" max="42" width="16.57421875" style="0" customWidth="1"/>
    <col min="43" max="43" width="12.57421875" style="0" customWidth="1"/>
    <col min="44" max="44" width="10.28125" style="0" customWidth="1"/>
    <col min="45" max="45" width="16.8515625" style="0" customWidth="1"/>
    <col min="46" max="46" width="10.421875" style="0" customWidth="1"/>
    <col min="47" max="47" width="11.57421875" style="0" customWidth="1"/>
    <col min="48" max="48" width="9.00390625" style="0" customWidth="1"/>
    <col min="49" max="49" width="20.7109375" style="0" customWidth="1"/>
    <col min="50" max="50" width="10.57421875" style="0" customWidth="1"/>
    <col min="51" max="52" width="16.140625" style="0" customWidth="1"/>
    <col min="53" max="53" width="15.140625" style="0" customWidth="1"/>
    <col min="54" max="54" width="9.7109375" style="0" customWidth="1"/>
    <col min="55" max="55" width="19.7109375" style="0" customWidth="1"/>
    <col min="56" max="56" width="24.28125" style="0" customWidth="1"/>
    <col min="57" max="57" width="19.7109375" style="0" customWidth="1"/>
    <col min="58" max="58" width="24.28125" style="0" customWidth="1"/>
    <col min="59" max="59" width="19.7109375" style="0" customWidth="1"/>
    <col min="60" max="60" width="24.28125" style="0" customWidth="1"/>
    <col min="61" max="61" width="18.57421875" style="0" customWidth="1"/>
    <col min="62" max="62" width="22.28125" style="0" customWidth="1"/>
    <col min="63" max="63" width="17.421875" style="0" customWidth="1"/>
    <col min="64" max="65" width="16.140625" style="0" customWidth="1"/>
    <col min="66" max="66" width="17.28125" style="0" customWidth="1"/>
    <col min="67" max="67" width="19.57421875" style="0" customWidth="1"/>
    <col min="68" max="68" width="17.28125" style="0" customWidth="1"/>
    <col min="69" max="69" width="19.57421875" style="0" customWidth="1"/>
    <col min="70" max="70" width="17.28125" style="0" customWidth="1"/>
    <col min="71" max="71" width="19.57421875" style="0" customWidth="1"/>
    <col min="72" max="72" width="19.28125" style="0" customWidth="1"/>
    <col min="73" max="73" width="19.57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73" ht="30" customHeight="1">
      <c r="A2" s="10" t="s">
        <v>5</v>
      </c>
      <c r="B2" t="s">
        <v>975</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319</v>
      </c>
      <c r="AF2" s="7" t="s">
        <v>320</v>
      </c>
      <c r="AG2" s="7" t="s">
        <v>321</v>
      </c>
      <c r="AH2" s="7" t="s">
        <v>322</v>
      </c>
      <c r="AI2" s="7" t="s">
        <v>323</v>
      </c>
      <c r="AJ2" s="7" t="s">
        <v>324</v>
      </c>
      <c r="AK2" s="7" t="s">
        <v>325</v>
      </c>
      <c r="AL2" s="7" t="s">
        <v>326</v>
      </c>
      <c r="AM2" s="7" t="s">
        <v>327</v>
      </c>
      <c r="AN2" s="7" t="s">
        <v>328</v>
      </c>
      <c r="AO2" s="7" t="s">
        <v>329</v>
      </c>
      <c r="AP2" s="7" t="s">
        <v>330</v>
      </c>
      <c r="AQ2" s="7" t="s">
        <v>331</v>
      </c>
      <c r="AR2" s="7" t="s">
        <v>332</v>
      </c>
      <c r="AS2" s="7" t="s">
        <v>333</v>
      </c>
      <c r="AT2" s="7" t="s">
        <v>334</v>
      </c>
      <c r="AU2" s="7" t="s">
        <v>214</v>
      </c>
      <c r="AV2" s="7" t="s">
        <v>335</v>
      </c>
      <c r="AW2" s="7" t="s">
        <v>336</v>
      </c>
      <c r="AX2" s="7" t="s">
        <v>337</v>
      </c>
      <c r="AY2" s="7" t="s">
        <v>338</v>
      </c>
      <c r="AZ2" s="7" t="s">
        <v>339</v>
      </c>
      <c r="BA2" s="7" t="s">
        <v>340</v>
      </c>
      <c r="BB2" s="7" t="s">
        <v>441</v>
      </c>
      <c r="BC2" s="132" t="s">
        <v>735</v>
      </c>
      <c r="BD2" s="132" t="s">
        <v>736</v>
      </c>
      <c r="BE2" s="132" t="s">
        <v>737</v>
      </c>
      <c r="BF2" s="132" t="s">
        <v>738</v>
      </c>
      <c r="BG2" s="132" t="s">
        <v>739</v>
      </c>
      <c r="BH2" s="132" t="s">
        <v>740</v>
      </c>
      <c r="BI2" s="132" t="s">
        <v>741</v>
      </c>
      <c r="BJ2" s="132" t="s">
        <v>742</v>
      </c>
      <c r="BK2" s="132" t="s">
        <v>744</v>
      </c>
      <c r="BL2" s="132" t="s">
        <v>929</v>
      </c>
      <c r="BM2" s="132" t="s">
        <v>932</v>
      </c>
      <c r="BN2" s="132" t="s">
        <v>933</v>
      </c>
      <c r="BO2" s="132" t="s">
        <v>936</v>
      </c>
      <c r="BP2" s="132" t="s">
        <v>937</v>
      </c>
      <c r="BQ2" s="132" t="s">
        <v>938</v>
      </c>
      <c r="BR2" s="132" t="s">
        <v>941</v>
      </c>
      <c r="BS2" s="132" t="s">
        <v>951</v>
      </c>
      <c r="BT2" s="132" t="s">
        <v>953</v>
      </c>
      <c r="BU2" s="132" t="s">
        <v>962</v>
      </c>
    </row>
    <row r="3" spans="1:73" ht="41.45" customHeight="1">
      <c r="A3" s="46" t="s">
        <v>247</v>
      </c>
      <c r="C3" s="49"/>
      <c r="D3" s="49" t="s">
        <v>64</v>
      </c>
      <c r="E3" s="50">
        <v>676.021869382864</v>
      </c>
      <c r="F3" s="51">
        <v>95.11044776119402</v>
      </c>
      <c r="G3" s="107" t="str">
        <f>HYPERLINK("https://pbs.twimg.com/profile_images/1572150192719241217/HnLim19x_normal.jpg")</f>
        <v>https://pbs.twimg.com/profile_images/1572150192719241217/HnLim19x_normal.jpg</v>
      </c>
      <c r="H3" s="49"/>
      <c r="I3" s="53" t="s">
        <v>247</v>
      </c>
      <c r="J3" s="52"/>
      <c r="K3" s="52"/>
      <c r="L3" s="110" t="s">
        <v>414</v>
      </c>
      <c r="M3" s="55">
        <v>1630.524776119403</v>
      </c>
      <c r="N3" s="56">
        <v>4579.32275390625</v>
      </c>
      <c r="O3" s="56">
        <v>6347.53271484375</v>
      </c>
      <c r="P3" s="54"/>
      <c r="Q3" s="57"/>
      <c r="R3" s="57"/>
      <c r="S3" s="47"/>
      <c r="T3" s="47">
        <v>1</v>
      </c>
      <c r="U3" s="47">
        <v>1</v>
      </c>
      <c r="V3" s="48">
        <v>0</v>
      </c>
      <c r="W3" s="48">
        <v>0</v>
      </c>
      <c r="X3" s="48">
        <v>0</v>
      </c>
      <c r="Y3" s="48">
        <v>0.052632</v>
      </c>
      <c r="Z3" s="48">
        <v>0</v>
      </c>
      <c r="AA3" s="48">
        <v>0</v>
      </c>
      <c r="AB3" s="58">
        <v>3</v>
      </c>
      <c r="AC3" s="58"/>
      <c r="AD3" s="59"/>
      <c r="AE3" s="78" t="s">
        <v>357</v>
      </c>
      <c r="AF3" s="87">
        <v>85802831</v>
      </c>
      <c r="AG3" s="78">
        <v>2058</v>
      </c>
      <c r="AH3" s="78">
        <v>4098</v>
      </c>
      <c r="AI3" s="78">
        <v>17146</v>
      </c>
      <c r="AJ3" s="78">
        <v>5863</v>
      </c>
      <c r="AK3" s="78"/>
      <c r="AL3" s="78" t="s">
        <v>381</v>
      </c>
      <c r="AM3" s="78" t="s">
        <v>396</v>
      </c>
      <c r="AN3" s="82" t="str">
        <f>HYPERLINK("https://t.co/R3uB34hMTQ")</f>
        <v>https://t.co/R3uB34hMTQ</v>
      </c>
      <c r="AO3" s="78"/>
      <c r="AP3" s="80">
        <v>40114.506574074076</v>
      </c>
      <c r="AQ3" s="82" t="str">
        <f>HYPERLINK("https://pbs.twimg.com/profile_banners/85802831/1663664790")</f>
        <v>https://pbs.twimg.com/profile_banners/85802831/1663664790</v>
      </c>
      <c r="AR3" s="78" t="b">
        <v>0</v>
      </c>
      <c r="AS3" s="78" t="b">
        <v>0</v>
      </c>
      <c r="AT3" s="78" t="b">
        <v>0</v>
      </c>
      <c r="AU3" s="78"/>
      <c r="AV3" s="78">
        <v>129</v>
      </c>
      <c r="AW3" s="82" t="str">
        <f>HYPERLINK("https://abs.twimg.com/images/themes/theme2/bg.gif")</f>
        <v>https://abs.twimg.com/images/themes/theme2/bg.gif</v>
      </c>
      <c r="AX3" s="78" t="b">
        <v>0</v>
      </c>
      <c r="AY3" s="78" t="s">
        <v>397</v>
      </c>
      <c r="AZ3" s="82" t="str">
        <f>HYPERLINK("https://twitter.com/sciupdate")</f>
        <v>https://twitter.com/sciupdate</v>
      </c>
      <c r="BA3" s="78" t="s">
        <v>66</v>
      </c>
      <c r="BB3" s="78" t="str">
        <f>REPLACE(INDEX(GroupVertices[Group],MATCH(Vertices[[#This Row],[Vertex]],GroupVertices[Vertex],0)),1,1,"")</f>
        <v>3</v>
      </c>
      <c r="BC3" s="47">
        <v>1</v>
      </c>
      <c r="BD3" s="48">
        <v>2.380952380952381</v>
      </c>
      <c r="BE3" s="47">
        <v>0</v>
      </c>
      <c r="BF3" s="48">
        <v>0</v>
      </c>
      <c r="BG3" s="47">
        <v>0</v>
      </c>
      <c r="BH3" s="48">
        <v>0</v>
      </c>
      <c r="BI3" s="47">
        <v>27</v>
      </c>
      <c r="BJ3" s="48">
        <v>64.28571428571429</v>
      </c>
      <c r="BK3" s="47">
        <v>42</v>
      </c>
      <c r="BL3" s="47" t="s">
        <v>457</v>
      </c>
      <c r="BM3" s="47" t="s">
        <v>457</v>
      </c>
      <c r="BN3" s="47" t="s">
        <v>273</v>
      </c>
      <c r="BO3" s="47" t="s">
        <v>273</v>
      </c>
      <c r="BP3" s="47"/>
      <c r="BQ3" s="47"/>
      <c r="BR3" s="136" t="s">
        <v>942</v>
      </c>
      <c r="BS3" s="136" t="s">
        <v>942</v>
      </c>
      <c r="BT3" s="136" t="s">
        <v>954</v>
      </c>
      <c r="BU3" s="136" t="s">
        <v>954</v>
      </c>
    </row>
    <row r="4" spans="1:74" ht="41.45" customHeight="1">
      <c r="A4" s="11" t="s">
        <v>234</v>
      </c>
      <c r="C4" s="12"/>
      <c r="D4" s="12" t="s">
        <v>64</v>
      </c>
      <c r="E4" s="88">
        <v>565.1839424805273</v>
      </c>
      <c r="F4" s="75">
        <v>96.16477611940299</v>
      </c>
      <c r="G4" s="107" t="str">
        <f>HYPERLINK("https://pbs.twimg.com/profile_images/1609275616767119365/z90gUKUY_normal.jpg")</f>
        <v>https://pbs.twimg.com/profile_images/1609275616767119365/z90gUKUY_normal.jpg</v>
      </c>
      <c r="H4" s="12"/>
      <c r="I4" s="13" t="s">
        <v>234</v>
      </c>
      <c r="J4" s="63"/>
      <c r="K4" s="63"/>
      <c r="L4" s="110" t="s">
        <v>398</v>
      </c>
      <c r="M4" s="89">
        <v>1279.1522786069652</v>
      </c>
      <c r="N4" s="90">
        <v>7532.7421875</v>
      </c>
      <c r="O4" s="90">
        <v>5189.271484375</v>
      </c>
      <c r="P4" s="74"/>
      <c r="Q4" s="91"/>
      <c r="R4" s="91"/>
      <c r="S4" s="92"/>
      <c r="T4" s="47">
        <v>2</v>
      </c>
      <c r="U4" s="47">
        <v>1</v>
      </c>
      <c r="V4" s="48">
        <v>0</v>
      </c>
      <c r="W4" s="48">
        <v>0.055556</v>
      </c>
      <c r="X4" s="48">
        <v>0</v>
      </c>
      <c r="Y4" s="48">
        <v>0.052632</v>
      </c>
      <c r="Z4" s="48">
        <v>0</v>
      </c>
      <c r="AA4" s="48">
        <v>0</v>
      </c>
      <c r="AB4" s="76">
        <v>4</v>
      </c>
      <c r="AC4" s="76"/>
      <c r="AD4" s="93"/>
      <c r="AE4" s="78" t="s">
        <v>341</v>
      </c>
      <c r="AF4" s="87">
        <v>1.60925559333181E+18</v>
      </c>
      <c r="AG4" s="78">
        <v>89</v>
      </c>
      <c r="AH4" s="78">
        <v>3215</v>
      </c>
      <c r="AI4" s="78">
        <v>198</v>
      </c>
      <c r="AJ4" s="78">
        <v>194</v>
      </c>
      <c r="AK4" s="78"/>
      <c r="AL4" s="78" t="s">
        <v>365</v>
      </c>
      <c r="AM4" s="78"/>
      <c r="AN4" s="82" t="str">
        <f>HYPERLINK("https://t.co/OhSpdiysFP")</f>
        <v>https://t.co/OhSpdiysFP</v>
      </c>
      <c r="AO4" s="78"/>
      <c r="AP4" s="80">
        <v>44926.771469907406</v>
      </c>
      <c r="AQ4" s="82" t="str">
        <f>HYPERLINK("https://pbs.twimg.com/profile_banners/1609255593331810305/1674141188")</f>
        <v>https://pbs.twimg.com/profile_banners/1609255593331810305/1674141188</v>
      </c>
      <c r="AR4" s="78" t="b">
        <v>1</v>
      </c>
      <c r="AS4" s="78" t="b">
        <v>0</v>
      </c>
      <c r="AT4" s="78" t="b">
        <v>0</v>
      </c>
      <c r="AU4" s="78"/>
      <c r="AV4" s="78">
        <v>2</v>
      </c>
      <c r="AW4" s="78"/>
      <c r="AX4" s="78" t="b">
        <v>0</v>
      </c>
      <c r="AY4" s="78" t="s">
        <v>397</v>
      </c>
      <c r="AZ4" s="82" t="str">
        <f>HYPERLINK("https://twitter.com/cellbasednews")</f>
        <v>https://twitter.com/cellbasednews</v>
      </c>
      <c r="BA4" s="78" t="s">
        <v>66</v>
      </c>
      <c r="BB4" s="78" t="str">
        <f>REPLACE(INDEX(GroupVertices[Group],MATCH(Vertices[[#This Row],[Vertex]],GroupVertices[Vertex],0)),1,1,"")</f>
        <v>6</v>
      </c>
      <c r="BC4" s="47">
        <v>4</v>
      </c>
      <c r="BD4" s="48">
        <v>10.81081081081081</v>
      </c>
      <c r="BE4" s="47">
        <v>0</v>
      </c>
      <c r="BF4" s="48">
        <v>0</v>
      </c>
      <c r="BG4" s="47">
        <v>0</v>
      </c>
      <c r="BH4" s="48">
        <v>0</v>
      </c>
      <c r="BI4" s="47">
        <v>21</v>
      </c>
      <c r="BJ4" s="48">
        <v>56.75675675675676</v>
      </c>
      <c r="BK4" s="47">
        <v>37</v>
      </c>
      <c r="BL4" s="47" t="s">
        <v>456</v>
      </c>
      <c r="BM4" s="47" t="s">
        <v>456</v>
      </c>
      <c r="BN4" s="47" t="s">
        <v>265</v>
      </c>
      <c r="BO4" s="47" t="s">
        <v>265</v>
      </c>
      <c r="BP4" s="47"/>
      <c r="BQ4" s="47"/>
      <c r="BR4" s="136" t="s">
        <v>943</v>
      </c>
      <c r="BS4" s="136" t="s">
        <v>943</v>
      </c>
      <c r="BT4" s="136" t="s">
        <v>955</v>
      </c>
      <c r="BU4" s="136" t="s">
        <v>955</v>
      </c>
      <c r="BV4" s="2"/>
    </row>
    <row r="5" spans="1:74" ht="41.45" customHeight="1">
      <c r="A5" s="11" t="s">
        <v>235</v>
      </c>
      <c r="C5" s="12"/>
      <c r="D5" s="12" t="s">
        <v>64</v>
      </c>
      <c r="E5" s="88">
        <v>225.64080287597363</v>
      </c>
      <c r="F5" s="75">
        <v>99.39462686567164</v>
      </c>
      <c r="G5" s="107" t="str">
        <f>HYPERLINK("https://pbs.twimg.com/profile_images/1354282597380222976/jb9ii-Ga_normal.jpg")</f>
        <v>https://pbs.twimg.com/profile_images/1354282597380222976/jb9ii-Ga_normal.jpg</v>
      </c>
      <c r="H5" s="12"/>
      <c r="I5" s="13" t="s">
        <v>235</v>
      </c>
      <c r="J5" s="63"/>
      <c r="K5" s="63"/>
      <c r="L5" s="110" t="s">
        <v>399</v>
      </c>
      <c r="M5" s="89">
        <v>202.75068656716417</v>
      </c>
      <c r="N5" s="90">
        <v>7532.7421875</v>
      </c>
      <c r="O5" s="90">
        <v>7872.24951171875</v>
      </c>
      <c r="P5" s="74"/>
      <c r="Q5" s="91"/>
      <c r="R5" s="91"/>
      <c r="S5" s="92"/>
      <c r="T5" s="47">
        <v>1</v>
      </c>
      <c r="U5" s="47">
        <v>2</v>
      </c>
      <c r="V5" s="48">
        <v>0</v>
      </c>
      <c r="W5" s="48">
        <v>0.055556</v>
      </c>
      <c r="X5" s="48">
        <v>0</v>
      </c>
      <c r="Y5" s="48">
        <v>0.052632</v>
      </c>
      <c r="Z5" s="48">
        <v>0</v>
      </c>
      <c r="AA5" s="48">
        <v>0</v>
      </c>
      <c r="AB5" s="76">
        <v>5</v>
      </c>
      <c r="AC5" s="76"/>
      <c r="AD5" s="93"/>
      <c r="AE5" s="78" t="s">
        <v>342</v>
      </c>
      <c r="AF5" s="87">
        <v>1.35221838386608E+18</v>
      </c>
      <c r="AG5" s="78">
        <v>949</v>
      </c>
      <c r="AH5" s="78">
        <v>510</v>
      </c>
      <c r="AI5" s="78">
        <v>2147</v>
      </c>
      <c r="AJ5" s="78">
        <v>13523</v>
      </c>
      <c r="AK5" s="78"/>
      <c r="AL5" s="78" t="s">
        <v>366</v>
      </c>
      <c r="AM5" s="78" t="s">
        <v>382</v>
      </c>
      <c r="AN5" s="78"/>
      <c r="AO5" s="78"/>
      <c r="AP5" s="80">
        <v>44217.484293981484</v>
      </c>
      <c r="AQ5" s="82" t="str">
        <f>HYPERLINK("https://pbs.twimg.com/profile_banners/1352218383866089474/1637008424")</f>
        <v>https://pbs.twimg.com/profile_banners/1352218383866089474/1637008424</v>
      </c>
      <c r="AR5" s="78" t="b">
        <v>1</v>
      </c>
      <c r="AS5" s="78" t="b">
        <v>0</v>
      </c>
      <c r="AT5" s="78" t="b">
        <v>0</v>
      </c>
      <c r="AU5" s="78"/>
      <c r="AV5" s="78">
        <v>5</v>
      </c>
      <c r="AW5" s="78"/>
      <c r="AX5" s="78" t="b">
        <v>0</v>
      </c>
      <c r="AY5" s="78" t="s">
        <v>397</v>
      </c>
      <c r="AZ5" s="82" t="str">
        <f>HYPERLINK("https://twitter.com/fundtrading")</f>
        <v>https://twitter.com/fundtrading</v>
      </c>
      <c r="BA5" s="78" t="s">
        <v>66</v>
      </c>
      <c r="BB5" s="78" t="str">
        <f>REPLACE(INDEX(GroupVertices[Group],MATCH(Vertices[[#This Row],[Vertex]],GroupVertices[Vertex],0)),1,1,"")</f>
        <v>6</v>
      </c>
      <c r="BC5" s="47">
        <v>4</v>
      </c>
      <c r="BD5" s="48">
        <v>7.142857142857143</v>
      </c>
      <c r="BE5" s="47">
        <v>0</v>
      </c>
      <c r="BF5" s="48">
        <v>0</v>
      </c>
      <c r="BG5" s="47">
        <v>0</v>
      </c>
      <c r="BH5" s="48">
        <v>0</v>
      </c>
      <c r="BI5" s="47">
        <v>33</v>
      </c>
      <c r="BJ5" s="48">
        <v>58.92857142857143</v>
      </c>
      <c r="BK5" s="47">
        <v>56</v>
      </c>
      <c r="BL5" s="47" t="s">
        <v>930</v>
      </c>
      <c r="BM5" s="47" t="s">
        <v>801</v>
      </c>
      <c r="BN5" s="47" t="s">
        <v>934</v>
      </c>
      <c r="BO5" s="47" t="s">
        <v>934</v>
      </c>
      <c r="BP5" s="47"/>
      <c r="BQ5" s="47"/>
      <c r="BR5" s="136" t="s">
        <v>944</v>
      </c>
      <c r="BS5" s="136" t="s">
        <v>944</v>
      </c>
      <c r="BT5" s="136" t="s">
        <v>956</v>
      </c>
      <c r="BU5" s="136" t="s">
        <v>963</v>
      </c>
      <c r="BV5" s="2"/>
    </row>
    <row r="6" spans="1:74" ht="41.45" customHeight="1">
      <c r="A6" s="11" t="s">
        <v>236</v>
      </c>
      <c r="C6" s="12"/>
      <c r="D6" s="12" t="s">
        <v>64</v>
      </c>
      <c r="E6" s="88">
        <v>162</v>
      </c>
      <c r="F6" s="75">
        <v>100</v>
      </c>
      <c r="G6" s="107" t="str">
        <f>HYPERLINK("https://pbs.twimg.com/profile_images/1611413212670345233/I-uez6tQ_normal.jpg")</f>
        <v>https://pbs.twimg.com/profile_images/1611413212670345233/I-uez6tQ_normal.jpg</v>
      </c>
      <c r="H6" s="12"/>
      <c r="I6" s="13" t="s">
        <v>236</v>
      </c>
      <c r="J6" s="63"/>
      <c r="K6" s="63"/>
      <c r="L6" s="110" t="s">
        <v>400</v>
      </c>
      <c r="M6" s="89">
        <v>1</v>
      </c>
      <c r="N6" s="90">
        <v>4579.32275390625</v>
      </c>
      <c r="O6" s="90">
        <v>8258.3359375</v>
      </c>
      <c r="P6" s="74"/>
      <c r="Q6" s="91"/>
      <c r="R6" s="91"/>
      <c r="S6" s="92"/>
      <c r="T6" s="47">
        <v>1</v>
      </c>
      <c r="U6" s="47">
        <v>1</v>
      </c>
      <c r="V6" s="48">
        <v>0</v>
      </c>
      <c r="W6" s="48">
        <v>0</v>
      </c>
      <c r="X6" s="48">
        <v>0</v>
      </c>
      <c r="Y6" s="48">
        <v>0.052632</v>
      </c>
      <c r="Z6" s="48">
        <v>0</v>
      </c>
      <c r="AA6" s="48">
        <v>0</v>
      </c>
      <c r="AB6" s="76">
        <v>6</v>
      </c>
      <c r="AC6" s="76"/>
      <c r="AD6" s="93"/>
      <c r="AE6" s="78" t="s">
        <v>343</v>
      </c>
      <c r="AF6" s="87">
        <v>1.60560970762383E+18</v>
      </c>
      <c r="AG6" s="78">
        <v>17</v>
      </c>
      <c r="AH6" s="78">
        <v>3</v>
      </c>
      <c r="AI6" s="78">
        <v>45</v>
      </c>
      <c r="AJ6" s="78">
        <v>52</v>
      </c>
      <c r="AK6" s="78"/>
      <c r="AL6" s="78" t="s">
        <v>367</v>
      </c>
      <c r="AM6" s="78" t="s">
        <v>383</v>
      </c>
      <c r="AN6" s="78"/>
      <c r="AO6" s="78"/>
      <c r="AP6" s="80">
        <v>44916.710393518515</v>
      </c>
      <c r="AQ6" s="82" t="str">
        <f>HYPERLINK("https://pbs.twimg.com/profile_banners/1605609707623833600/1671976716")</f>
        <v>https://pbs.twimg.com/profile_banners/1605609707623833600/1671976716</v>
      </c>
      <c r="AR6" s="78" t="b">
        <v>1</v>
      </c>
      <c r="AS6" s="78" t="b">
        <v>0</v>
      </c>
      <c r="AT6" s="78" t="b">
        <v>0</v>
      </c>
      <c r="AU6" s="78"/>
      <c r="AV6" s="78">
        <v>0</v>
      </c>
      <c r="AW6" s="78"/>
      <c r="AX6" s="78" t="b">
        <v>0</v>
      </c>
      <c r="AY6" s="78" t="s">
        <v>397</v>
      </c>
      <c r="AZ6" s="82" t="str">
        <f>HYPERLINK("https://twitter.com/theashiwani")</f>
        <v>https://twitter.com/theashiwani</v>
      </c>
      <c r="BA6" s="78" t="s">
        <v>66</v>
      </c>
      <c r="BB6" s="78" t="str">
        <f>REPLACE(INDEX(GroupVertices[Group],MATCH(Vertices[[#This Row],[Vertex]],GroupVertices[Vertex],0)),1,1,"")</f>
        <v>3</v>
      </c>
      <c r="BC6" s="47">
        <v>2</v>
      </c>
      <c r="BD6" s="48">
        <v>4.545454545454546</v>
      </c>
      <c r="BE6" s="47">
        <v>0</v>
      </c>
      <c r="BF6" s="48">
        <v>0</v>
      </c>
      <c r="BG6" s="47">
        <v>0</v>
      </c>
      <c r="BH6" s="48">
        <v>0</v>
      </c>
      <c r="BI6" s="47">
        <v>27</v>
      </c>
      <c r="BJ6" s="48">
        <v>61.36363636363637</v>
      </c>
      <c r="BK6" s="47">
        <v>44</v>
      </c>
      <c r="BL6" s="47" t="s">
        <v>264</v>
      </c>
      <c r="BM6" s="47" t="s">
        <v>264</v>
      </c>
      <c r="BN6" s="47" t="s">
        <v>267</v>
      </c>
      <c r="BO6" s="47" t="s">
        <v>267</v>
      </c>
      <c r="BP6" s="47"/>
      <c r="BQ6" s="47"/>
      <c r="BR6" s="136" t="s">
        <v>945</v>
      </c>
      <c r="BS6" s="136" t="s">
        <v>945</v>
      </c>
      <c r="BT6" s="136" t="s">
        <v>957</v>
      </c>
      <c r="BU6" s="136" t="s">
        <v>957</v>
      </c>
      <c r="BV6" s="2"/>
    </row>
    <row r="7" spans="1:74" ht="41.45" customHeight="1">
      <c r="A7" s="11" t="s">
        <v>237</v>
      </c>
      <c r="C7" s="12"/>
      <c r="D7" s="12" t="s">
        <v>64</v>
      </c>
      <c r="E7" s="88">
        <v>232.29358897543437</v>
      </c>
      <c r="F7" s="75">
        <v>99.33134328358209</v>
      </c>
      <c r="G7" s="107" t="str">
        <f>HYPERLINK("https://pbs.twimg.com/profile_images/1314159878710075392/-McujwWI_normal.jpg")</f>
        <v>https://pbs.twimg.com/profile_images/1314159878710075392/-McujwWI_normal.jpg</v>
      </c>
      <c r="H7" s="12"/>
      <c r="I7" s="13" t="s">
        <v>237</v>
      </c>
      <c r="J7" s="63"/>
      <c r="K7" s="63"/>
      <c r="L7" s="110" t="s">
        <v>401</v>
      </c>
      <c r="M7" s="89">
        <v>223.8409950248756</v>
      </c>
      <c r="N7" s="90">
        <v>9055.1240234375</v>
      </c>
      <c r="O7" s="90">
        <v>7872.24951171875</v>
      </c>
      <c r="P7" s="74"/>
      <c r="Q7" s="91"/>
      <c r="R7" s="91"/>
      <c r="S7" s="92"/>
      <c r="T7" s="47">
        <v>0</v>
      </c>
      <c r="U7" s="47">
        <v>2</v>
      </c>
      <c r="V7" s="48">
        <v>14</v>
      </c>
      <c r="W7" s="48">
        <v>0.222222</v>
      </c>
      <c r="X7" s="48">
        <v>0.118459</v>
      </c>
      <c r="Y7" s="48">
        <v>0.053788</v>
      </c>
      <c r="Z7" s="48">
        <v>0</v>
      </c>
      <c r="AA7" s="48">
        <v>0</v>
      </c>
      <c r="AB7" s="76">
        <v>7</v>
      </c>
      <c r="AC7" s="76"/>
      <c r="AD7" s="93"/>
      <c r="AE7" s="78" t="s">
        <v>344</v>
      </c>
      <c r="AF7" s="87">
        <v>108406584</v>
      </c>
      <c r="AG7" s="78">
        <v>1384</v>
      </c>
      <c r="AH7" s="78">
        <v>563</v>
      </c>
      <c r="AI7" s="78">
        <v>9429</v>
      </c>
      <c r="AJ7" s="78">
        <v>231</v>
      </c>
      <c r="AK7" s="78"/>
      <c r="AL7" s="78" t="s">
        <v>368</v>
      </c>
      <c r="AM7" s="78" t="s">
        <v>384</v>
      </c>
      <c r="AN7" s="82" t="str">
        <f>HYPERLINK("https://t.co/cMrssDUqRL")</f>
        <v>https://t.co/cMrssDUqRL</v>
      </c>
      <c r="AO7" s="78"/>
      <c r="AP7" s="80">
        <v>40203.88298611111</v>
      </c>
      <c r="AQ7" s="82" t="str">
        <f>HYPERLINK("https://pbs.twimg.com/profile_banners/108406584/1519623763")</f>
        <v>https://pbs.twimg.com/profile_banners/108406584/1519623763</v>
      </c>
      <c r="AR7" s="78" t="b">
        <v>0</v>
      </c>
      <c r="AS7" s="78" t="b">
        <v>0</v>
      </c>
      <c r="AT7" s="78" t="b">
        <v>1</v>
      </c>
      <c r="AU7" s="78"/>
      <c r="AV7" s="78">
        <v>227</v>
      </c>
      <c r="AW7" s="82" t="str">
        <f>HYPERLINK("https://abs.twimg.com/images/themes/theme1/bg.png")</f>
        <v>https://abs.twimg.com/images/themes/theme1/bg.png</v>
      </c>
      <c r="AX7" s="78" t="b">
        <v>0</v>
      </c>
      <c r="AY7" s="78" t="s">
        <v>397</v>
      </c>
      <c r="AZ7" s="82" t="str">
        <f>HYPERLINK("https://twitter.com/mercuryglobal")</f>
        <v>https://twitter.com/mercuryglobal</v>
      </c>
      <c r="BA7" s="78" t="s">
        <v>66</v>
      </c>
      <c r="BB7" s="78" t="str">
        <f>REPLACE(INDEX(GroupVertices[Group],MATCH(Vertices[[#This Row],[Vertex]],GroupVertices[Vertex],0)),1,1,"")</f>
        <v>5</v>
      </c>
      <c r="BC7" s="47">
        <v>2</v>
      </c>
      <c r="BD7" s="48">
        <v>6.0606060606060606</v>
      </c>
      <c r="BE7" s="47">
        <v>0</v>
      </c>
      <c r="BF7" s="48">
        <v>0</v>
      </c>
      <c r="BG7" s="47">
        <v>0</v>
      </c>
      <c r="BH7" s="48">
        <v>0</v>
      </c>
      <c r="BI7" s="47">
        <v>21</v>
      </c>
      <c r="BJ7" s="48">
        <v>63.63636363636363</v>
      </c>
      <c r="BK7" s="47">
        <v>33</v>
      </c>
      <c r="BL7" s="47" t="s">
        <v>454</v>
      </c>
      <c r="BM7" s="47" t="s">
        <v>454</v>
      </c>
      <c r="BN7" s="47" t="s">
        <v>268</v>
      </c>
      <c r="BO7" s="47" t="s">
        <v>268</v>
      </c>
      <c r="BP7" s="47" t="s">
        <v>274</v>
      </c>
      <c r="BQ7" s="47" t="s">
        <v>939</v>
      </c>
      <c r="BR7" s="136" t="s">
        <v>946</v>
      </c>
      <c r="BS7" s="136" t="s">
        <v>946</v>
      </c>
      <c r="BT7" s="136" t="s">
        <v>958</v>
      </c>
      <c r="BU7" s="136" t="s">
        <v>958</v>
      </c>
      <c r="BV7" s="2"/>
    </row>
    <row r="8" spans="1:74" ht="41.45" customHeight="1">
      <c r="A8" s="11" t="s">
        <v>248</v>
      </c>
      <c r="C8" s="12"/>
      <c r="D8" s="12" t="s">
        <v>64</v>
      </c>
      <c r="E8" s="88">
        <v>382.671659676453</v>
      </c>
      <c r="F8" s="75">
        <v>97.90089552238805</v>
      </c>
      <c r="G8" s="107" t="str">
        <f>HYPERLINK("https://pbs.twimg.com/profile_images/1384824908618809350/qPMYnqX-_normal.jpg")</f>
        <v>https://pbs.twimg.com/profile_images/1384824908618809350/qPMYnqX-_normal.jpg</v>
      </c>
      <c r="H8" s="12"/>
      <c r="I8" s="13" t="s">
        <v>248</v>
      </c>
      <c r="J8" s="63"/>
      <c r="K8" s="63"/>
      <c r="L8" s="110" t="s">
        <v>402</v>
      </c>
      <c r="M8" s="89">
        <v>700.5615522388059</v>
      </c>
      <c r="N8" s="90">
        <v>9055.1240234375</v>
      </c>
      <c r="O8" s="90">
        <v>5189.271484375</v>
      </c>
      <c r="P8" s="74"/>
      <c r="Q8" s="91"/>
      <c r="R8" s="91"/>
      <c r="S8" s="92"/>
      <c r="T8" s="47">
        <v>1</v>
      </c>
      <c r="U8" s="47">
        <v>0</v>
      </c>
      <c r="V8" s="48">
        <v>0</v>
      </c>
      <c r="W8" s="48">
        <v>0.154589</v>
      </c>
      <c r="X8" s="48">
        <v>0.030487</v>
      </c>
      <c r="Y8" s="48">
        <v>0.048771</v>
      </c>
      <c r="Z8" s="48">
        <v>0</v>
      </c>
      <c r="AA8" s="48">
        <v>0</v>
      </c>
      <c r="AB8" s="76">
        <v>8</v>
      </c>
      <c r="AC8" s="76"/>
      <c r="AD8" s="93"/>
      <c r="AE8" s="78" t="s">
        <v>345</v>
      </c>
      <c r="AF8" s="87">
        <v>595289305</v>
      </c>
      <c r="AG8" s="78">
        <v>422</v>
      </c>
      <c r="AH8" s="78">
        <v>1761</v>
      </c>
      <c r="AI8" s="78">
        <v>452</v>
      </c>
      <c r="AJ8" s="78">
        <v>329</v>
      </c>
      <c r="AK8" s="78"/>
      <c r="AL8" s="78" t="s">
        <v>369</v>
      </c>
      <c r="AM8" s="78"/>
      <c r="AN8" s="82" t="str">
        <f>HYPERLINK("https://t.co/LxbELltYQG")</f>
        <v>https://t.co/LxbELltYQG</v>
      </c>
      <c r="AO8" s="78"/>
      <c r="AP8" s="80">
        <v>41060.33493055555</v>
      </c>
      <c r="AQ8" s="82" t="str">
        <f>HYPERLINK("https://pbs.twimg.com/profile_banners/595289305/1619002963")</f>
        <v>https://pbs.twimg.com/profile_banners/595289305/1619002963</v>
      </c>
      <c r="AR8" s="78" t="b">
        <v>1</v>
      </c>
      <c r="AS8" s="78" t="b">
        <v>0</v>
      </c>
      <c r="AT8" s="78" t="b">
        <v>0</v>
      </c>
      <c r="AU8" s="78"/>
      <c r="AV8" s="78">
        <v>16</v>
      </c>
      <c r="AW8" s="82" t="str">
        <f>HYPERLINK("https://abs.twimg.com/images/themes/theme1/bg.png")</f>
        <v>https://abs.twimg.com/images/themes/theme1/bg.png</v>
      </c>
      <c r="AX8" s="78" t="b">
        <v>0</v>
      </c>
      <c r="AY8" s="78" t="s">
        <v>397</v>
      </c>
      <c r="AZ8" s="82" t="str">
        <f>HYPERLINK("https://twitter.com/nutreco")</f>
        <v>https://twitter.com/nutreco</v>
      </c>
      <c r="BA8" s="78" t="s">
        <v>65</v>
      </c>
      <c r="BB8" s="78" t="str">
        <f>REPLACE(INDEX(GroupVertices[Group],MATCH(Vertices[[#This Row],[Vertex]],GroupVertices[Vertex],0)),1,1,"")</f>
        <v>5</v>
      </c>
      <c r="BC8" s="47"/>
      <c r="BD8" s="48"/>
      <c r="BE8" s="47"/>
      <c r="BF8" s="48"/>
      <c r="BG8" s="47"/>
      <c r="BH8" s="48"/>
      <c r="BI8" s="47"/>
      <c r="BJ8" s="48"/>
      <c r="BK8" s="47"/>
      <c r="BL8" s="47"/>
      <c r="BM8" s="47"/>
      <c r="BN8" s="47"/>
      <c r="BO8" s="47"/>
      <c r="BP8" s="47"/>
      <c r="BQ8" s="47"/>
      <c r="BR8" s="47"/>
      <c r="BS8" s="47"/>
      <c r="BT8" s="47"/>
      <c r="BU8" s="47"/>
      <c r="BV8" s="2"/>
    </row>
    <row r="9" spans="1:74" ht="41.45" customHeight="1">
      <c r="A9" s="11" t="s">
        <v>249</v>
      </c>
      <c r="C9" s="12"/>
      <c r="D9" s="12" t="s">
        <v>64</v>
      </c>
      <c r="E9" s="88">
        <v>838.7013181545835</v>
      </c>
      <c r="F9" s="75">
        <v>93.56298507462687</v>
      </c>
      <c r="G9" s="107" t="str">
        <f>HYPERLINK("https://pbs.twimg.com/profile_images/1347485189216366593/E_rlOJGx_normal.jpg")</f>
        <v>https://pbs.twimg.com/profile_images/1347485189216366593/E_rlOJGx_normal.jpg</v>
      </c>
      <c r="H9" s="12"/>
      <c r="I9" s="13" t="s">
        <v>249</v>
      </c>
      <c r="J9" s="63"/>
      <c r="K9" s="63"/>
      <c r="L9" s="110" t="s">
        <v>403</v>
      </c>
      <c r="M9" s="89">
        <v>2146.2425074626867</v>
      </c>
      <c r="N9" s="90">
        <v>3544.103515625</v>
      </c>
      <c r="O9" s="90">
        <v>3828.8037109375</v>
      </c>
      <c r="P9" s="74"/>
      <c r="Q9" s="91"/>
      <c r="R9" s="91"/>
      <c r="S9" s="92"/>
      <c r="T9" s="47">
        <v>5</v>
      </c>
      <c r="U9" s="47">
        <v>0</v>
      </c>
      <c r="V9" s="48">
        <v>26</v>
      </c>
      <c r="W9" s="48">
        <v>0.323232</v>
      </c>
      <c r="X9" s="48">
        <v>0.429832</v>
      </c>
      <c r="Y9" s="48">
        <v>0.057854</v>
      </c>
      <c r="Z9" s="48">
        <v>0.15</v>
      </c>
      <c r="AA9" s="48">
        <v>0</v>
      </c>
      <c r="AB9" s="76">
        <v>9</v>
      </c>
      <c r="AC9" s="76"/>
      <c r="AD9" s="93"/>
      <c r="AE9" s="78" t="s">
        <v>346</v>
      </c>
      <c r="AF9" s="87">
        <v>7.87929135423299E+17</v>
      </c>
      <c r="AG9" s="78">
        <v>313</v>
      </c>
      <c r="AH9" s="78">
        <v>5394</v>
      </c>
      <c r="AI9" s="78">
        <v>391</v>
      </c>
      <c r="AJ9" s="78">
        <v>532</v>
      </c>
      <c r="AK9" s="78"/>
      <c r="AL9" s="78" t="s">
        <v>370</v>
      </c>
      <c r="AM9" s="78" t="s">
        <v>385</v>
      </c>
      <c r="AN9" s="82" t="str">
        <f>HYPERLINK("https://t.co/ARZuzVFJri")</f>
        <v>https://t.co/ARZuzVFJri</v>
      </c>
      <c r="AO9" s="78"/>
      <c r="AP9" s="80">
        <v>42660.34165509259</v>
      </c>
      <c r="AQ9" s="82" t="str">
        <f>HYPERLINK("https://pbs.twimg.com/profile_banners/787929135423299584/1610100480")</f>
        <v>https://pbs.twimg.com/profile_banners/787929135423299584/1610100480</v>
      </c>
      <c r="AR9" s="78" t="b">
        <v>1</v>
      </c>
      <c r="AS9" s="78" t="b">
        <v>0</v>
      </c>
      <c r="AT9" s="78" t="b">
        <v>0</v>
      </c>
      <c r="AU9" s="78"/>
      <c r="AV9" s="78">
        <v>132</v>
      </c>
      <c r="AW9" s="78"/>
      <c r="AX9" s="78" t="b">
        <v>0</v>
      </c>
      <c r="AY9" s="78" t="s">
        <v>397</v>
      </c>
      <c r="AZ9" s="82" t="str">
        <f>HYPERLINK("https://twitter.com/mosa_meat")</f>
        <v>https://twitter.com/mosa_meat</v>
      </c>
      <c r="BA9" s="78" t="s">
        <v>65</v>
      </c>
      <c r="BB9" s="78" t="str">
        <f>REPLACE(INDEX(GroupVertices[Group],MATCH(Vertices[[#This Row],[Vertex]],GroupVertices[Vertex],0)),1,1,"")</f>
        <v>1</v>
      </c>
      <c r="BC9" s="47"/>
      <c r="BD9" s="48"/>
      <c r="BE9" s="47"/>
      <c r="BF9" s="48"/>
      <c r="BG9" s="47"/>
      <c r="BH9" s="48"/>
      <c r="BI9" s="47"/>
      <c r="BJ9" s="48"/>
      <c r="BK9" s="47"/>
      <c r="BL9" s="47"/>
      <c r="BM9" s="47"/>
      <c r="BN9" s="47"/>
      <c r="BO9" s="47"/>
      <c r="BP9" s="47"/>
      <c r="BQ9" s="47"/>
      <c r="BR9" s="47"/>
      <c r="BS9" s="47"/>
      <c r="BT9" s="47"/>
      <c r="BU9" s="47"/>
      <c r="BV9" s="2"/>
    </row>
    <row r="10" spans="1:74" ht="41.45" customHeight="1">
      <c r="A10" s="11" t="s">
        <v>238</v>
      </c>
      <c r="C10" s="12"/>
      <c r="D10" s="12" t="s">
        <v>64</v>
      </c>
      <c r="E10" s="88">
        <v>236.05931695626123</v>
      </c>
      <c r="F10" s="75">
        <v>99.2955223880597</v>
      </c>
      <c r="G10" s="107" t="str">
        <f>HYPERLINK("https://pbs.twimg.com/profile_images/1207023594204741634/oNEPNuoG_normal.jpg")</f>
        <v>https://pbs.twimg.com/profile_images/1207023594204741634/oNEPNuoG_normal.jpg</v>
      </c>
      <c r="H10" s="12"/>
      <c r="I10" s="13" t="s">
        <v>238</v>
      </c>
      <c r="J10" s="63"/>
      <c r="K10" s="63"/>
      <c r="L10" s="110" t="s">
        <v>404</v>
      </c>
      <c r="M10" s="89">
        <v>235.7789054726368</v>
      </c>
      <c r="N10" s="90">
        <v>3124.466796875</v>
      </c>
      <c r="O10" s="90">
        <v>1078.94970703125</v>
      </c>
      <c r="P10" s="74"/>
      <c r="Q10" s="91"/>
      <c r="R10" s="91"/>
      <c r="S10" s="92"/>
      <c r="T10" s="47">
        <v>0</v>
      </c>
      <c r="U10" s="47">
        <v>3</v>
      </c>
      <c r="V10" s="48">
        <v>1.5</v>
      </c>
      <c r="W10" s="48">
        <v>0.253968</v>
      </c>
      <c r="X10" s="48">
        <v>0.345766</v>
      </c>
      <c r="Y10" s="48">
        <v>0.050065</v>
      </c>
      <c r="Z10" s="48">
        <v>0.3333333333333333</v>
      </c>
      <c r="AA10" s="48">
        <v>0</v>
      </c>
      <c r="AB10" s="76">
        <v>10</v>
      </c>
      <c r="AC10" s="76"/>
      <c r="AD10" s="93"/>
      <c r="AE10" s="78" t="s">
        <v>347</v>
      </c>
      <c r="AF10" s="87">
        <v>1.03706242073123E+18</v>
      </c>
      <c r="AG10" s="78">
        <v>624</v>
      </c>
      <c r="AH10" s="78">
        <v>593</v>
      </c>
      <c r="AI10" s="78">
        <v>51102</v>
      </c>
      <c r="AJ10" s="78">
        <v>112705</v>
      </c>
      <c r="AK10" s="78"/>
      <c r="AL10" s="78"/>
      <c r="AM10" s="78"/>
      <c r="AN10" s="78"/>
      <c r="AO10" s="78"/>
      <c r="AP10" s="80">
        <v>43347.818553240744</v>
      </c>
      <c r="AQ10" s="78"/>
      <c r="AR10" s="78" t="b">
        <v>1</v>
      </c>
      <c r="AS10" s="78" t="b">
        <v>0</v>
      </c>
      <c r="AT10" s="78" t="b">
        <v>0</v>
      </c>
      <c r="AU10" s="78"/>
      <c r="AV10" s="78">
        <v>4</v>
      </c>
      <c r="AW10" s="78"/>
      <c r="AX10" s="78" t="b">
        <v>0</v>
      </c>
      <c r="AY10" s="78" t="s">
        <v>397</v>
      </c>
      <c r="AZ10" s="82" t="str">
        <f>HYPERLINK("https://twitter.com/craftmeati")</f>
        <v>https://twitter.com/craftmeati</v>
      </c>
      <c r="BA10" s="78" t="s">
        <v>66</v>
      </c>
      <c r="BB10" s="78" t="str">
        <f>REPLACE(INDEX(GroupVertices[Group],MATCH(Vertices[[#This Row],[Vertex]],GroupVertices[Vertex],0)),1,1,"")</f>
        <v>1</v>
      </c>
      <c r="BC10" s="47">
        <v>0</v>
      </c>
      <c r="BD10" s="48">
        <v>0</v>
      </c>
      <c r="BE10" s="47">
        <v>0</v>
      </c>
      <c r="BF10" s="48">
        <v>0</v>
      </c>
      <c r="BG10" s="47">
        <v>0</v>
      </c>
      <c r="BH10" s="48">
        <v>0</v>
      </c>
      <c r="BI10" s="47">
        <v>23</v>
      </c>
      <c r="BJ10" s="48">
        <v>63.888888888888886</v>
      </c>
      <c r="BK10" s="47">
        <v>36</v>
      </c>
      <c r="BL10" s="47" t="s">
        <v>453</v>
      </c>
      <c r="BM10" s="47" t="s">
        <v>453</v>
      </c>
      <c r="BN10" s="47" t="s">
        <v>269</v>
      </c>
      <c r="BO10" s="47" t="s">
        <v>269</v>
      </c>
      <c r="BP10" s="47"/>
      <c r="BQ10" s="47"/>
      <c r="BR10" s="136" t="s">
        <v>947</v>
      </c>
      <c r="BS10" s="136" t="s">
        <v>947</v>
      </c>
      <c r="BT10" s="136" t="s">
        <v>959</v>
      </c>
      <c r="BU10" s="136" t="s">
        <v>959</v>
      </c>
      <c r="BV10" s="2"/>
    </row>
    <row r="11" spans="1:74" ht="41.45" customHeight="1">
      <c r="A11" s="11" t="s">
        <v>250</v>
      </c>
      <c r="C11" s="12"/>
      <c r="D11" s="12" t="s">
        <v>64</v>
      </c>
      <c r="E11" s="88">
        <v>496.27112043139607</v>
      </c>
      <c r="F11" s="75">
        <v>96.82029850746268</v>
      </c>
      <c r="G11" s="107" t="str">
        <f>HYPERLINK("https://pbs.twimg.com/profile_images/1373616873489756160/fOCVjljC_normal.png")</f>
        <v>https://pbs.twimg.com/profile_images/1373616873489756160/fOCVjljC_normal.png</v>
      </c>
      <c r="H11" s="12"/>
      <c r="I11" s="13" t="s">
        <v>250</v>
      </c>
      <c r="J11" s="63"/>
      <c r="K11" s="63"/>
      <c r="L11" s="110" t="s">
        <v>405</v>
      </c>
      <c r="M11" s="89">
        <v>1060.6885174129354</v>
      </c>
      <c r="N11" s="90">
        <v>2657.939697265625</v>
      </c>
      <c r="O11" s="90">
        <v>5880.74755859375</v>
      </c>
      <c r="P11" s="74"/>
      <c r="Q11" s="91"/>
      <c r="R11" s="91"/>
      <c r="S11" s="92"/>
      <c r="T11" s="47">
        <v>4</v>
      </c>
      <c r="U11" s="47">
        <v>0</v>
      </c>
      <c r="V11" s="48">
        <v>2</v>
      </c>
      <c r="W11" s="48">
        <v>0.237037</v>
      </c>
      <c r="X11" s="48">
        <v>0.399344</v>
      </c>
      <c r="Y11" s="48">
        <v>0.05382</v>
      </c>
      <c r="Z11" s="48">
        <v>0.25</v>
      </c>
      <c r="AA11" s="48">
        <v>0</v>
      </c>
      <c r="AB11" s="76">
        <v>11</v>
      </c>
      <c r="AC11" s="76"/>
      <c r="AD11" s="93"/>
      <c r="AE11" s="78" t="s">
        <v>348</v>
      </c>
      <c r="AF11" s="87">
        <v>9.99587594777382E+17</v>
      </c>
      <c r="AG11" s="78">
        <v>188</v>
      </c>
      <c r="AH11" s="78">
        <v>2666</v>
      </c>
      <c r="AI11" s="78">
        <v>214</v>
      </c>
      <c r="AJ11" s="78">
        <v>214</v>
      </c>
      <c r="AK11" s="78"/>
      <c r="AL11" s="78" t="s">
        <v>371</v>
      </c>
      <c r="AM11" s="78" t="s">
        <v>386</v>
      </c>
      <c r="AN11" s="82" t="str">
        <f>HYPERLINK("https://t.co/HL3sie1nqV")</f>
        <v>https://t.co/HL3sie1nqV</v>
      </c>
      <c r="AO11" s="78"/>
      <c r="AP11" s="80">
        <v>43244.40773148148</v>
      </c>
      <c r="AQ11" s="82" t="str">
        <f>HYPERLINK("https://pbs.twimg.com/profile_banners/999587594777382912/1605203974")</f>
        <v>https://pbs.twimg.com/profile_banners/999587594777382912/1605203974</v>
      </c>
      <c r="AR11" s="78" t="b">
        <v>1</v>
      </c>
      <c r="AS11" s="78" t="b">
        <v>0</v>
      </c>
      <c r="AT11" s="78" t="b">
        <v>0</v>
      </c>
      <c r="AU11" s="78"/>
      <c r="AV11" s="78">
        <v>99</v>
      </c>
      <c r="AW11" s="78"/>
      <c r="AX11" s="78" t="b">
        <v>0</v>
      </c>
      <c r="AY11" s="78" t="s">
        <v>397</v>
      </c>
      <c r="AZ11" s="82" t="str">
        <f>HYPERLINK("https://twitter.com/itsmeatable")</f>
        <v>https://twitter.com/itsmeatable</v>
      </c>
      <c r="BA11" s="78" t="s">
        <v>65</v>
      </c>
      <c r="BB11" s="78" t="str">
        <f>REPLACE(INDEX(GroupVertices[Group],MATCH(Vertices[[#This Row],[Vertex]],GroupVertices[Vertex],0)),1,1,"")</f>
        <v>1</v>
      </c>
      <c r="BC11" s="47"/>
      <c r="BD11" s="48"/>
      <c r="BE11" s="47"/>
      <c r="BF11" s="48"/>
      <c r="BG11" s="47"/>
      <c r="BH11" s="48"/>
      <c r="BI11" s="47"/>
      <c r="BJ11" s="48"/>
      <c r="BK11" s="47"/>
      <c r="BL11" s="47"/>
      <c r="BM11" s="47"/>
      <c r="BN11" s="47"/>
      <c r="BO11" s="47"/>
      <c r="BP11" s="47"/>
      <c r="BQ11" s="47"/>
      <c r="BR11" s="47"/>
      <c r="BS11" s="47"/>
      <c r="BT11" s="47"/>
      <c r="BU11" s="47"/>
      <c r="BV11" s="2"/>
    </row>
    <row r="12" spans="1:74" ht="41.45" customHeight="1">
      <c r="A12" s="11" t="s">
        <v>240</v>
      </c>
      <c r="C12" s="12"/>
      <c r="D12" s="12" t="s">
        <v>64</v>
      </c>
      <c r="E12" s="88">
        <v>645.8960455362492</v>
      </c>
      <c r="F12" s="75">
        <v>95.39701492537313</v>
      </c>
      <c r="G12" s="107" t="str">
        <f>HYPERLINK("https://pbs.twimg.com/profile_images/1244683441599373314/AFkHERkJ_normal.jpg")</f>
        <v>https://pbs.twimg.com/profile_images/1244683441599373314/AFkHERkJ_normal.jpg</v>
      </c>
      <c r="H12" s="12"/>
      <c r="I12" s="13" t="s">
        <v>240</v>
      </c>
      <c r="J12" s="63"/>
      <c r="K12" s="63"/>
      <c r="L12" s="110" t="s">
        <v>426</v>
      </c>
      <c r="M12" s="89">
        <v>1535.0214925373134</v>
      </c>
      <c r="N12" s="90">
        <v>1838.98095703125</v>
      </c>
      <c r="O12" s="90">
        <v>5483.9853515625</v>
      </c>
      <c r="P12" s="74"/>
      <c r="Q12" s="91"/>
      <c r="R12" s="91"/>
      <c r="S12" s="92"/>
      <c r="T12" s="47">
        <v>3</v>
      </c>
      <c r="U12" s="47">
        <v>3</v>
      </c>
      <c r="V12" s="48">
        <v>17.5</v>
      </c>
      <c r="W12" s="48">
        <v>0.323232</v>
      </c>
      <c r="X12" s="48">
        <v>0.514412</v>
      </c>
      <c r="Y12" s="48">
        <v>0.062946</v>
      </c>
      <c r="Z12" s="48">
        <v>0.2</v>
      </c>
      <c r="AA12" s="48">
        <v>0</v>
      </c>
      <c r="AB12" s="76">
        <v>12</v>
      </c>
      <c r="AC12" s="76"/>
      <c r="AD12" s="93"/>
      <c r="AE12" s="78" t="s">
        <v>349</v>
      </c>
      <c r="AF12" s="87" t="s">
        <v>309</v>
      </c>
      <c r="AG12" s="78">
        <v>1794</v>
      </c>
      <c r="AH12" s="78">
        <v>3858</v>
      </c>
      <c r="AI12" s="78">
        <v>3222</v>
      </c>
      <c r="AJ12" s="78">
        <v>8851</v>
      </c>
      <c r="AK12" s="78"/>
      <c r="AL12" s="78" t="s">
        <v>372</v>
      </c>
      <c r="AM12" s="78" t="s">
        <v>387</v>
      </c>
      <c r="AN12" s="82" t="str">
        <f>HYPERLINK("https://t.co/6WzHjGVLoa")</f>
        <v>https://t.co/6WzHjGVLoa</v>
      </c>
      <c r="AO12" s="78"/>
      <c r="AP12" s="80">
        <v>40547.183275462965</v>
      </c>
      <c r="AQ12" s="82" t="str">
        <f>HYPERLINK("https://pbs.twimg.com/profile_banners/233805699/1601424530")</f>
        <v>https://pbs.twimg.com/profile_banners/233805699/1601424530</v>
      </c>
      <c r="AR12" s="78" t="b">
        <v>1</v>
      </c>
      <c r="AS12" s="78" t="b">
        <v>0</v>
      </c>
      <c r="AT12" s="78" t="b">
        <v>0</v>
      </c>
      <c r="AU12" s="78"/>
      <c r="AV12" s="78">
        <v>88</v>
      </c>
      <c r="AW12" s="82" t="str">
        <f>HYPERLINK("https://abs.twimg.com/images/themes/theme1/bg.png")</f>
        <v>https://abs.twimg.com/images/themes/theme1/bg.png</v>
      </c>
      <c r="AX12" s="78" t="b">
        <v>0</v>
      </c>
      <c r="AY12" s="78" t="s">
        <v>397</v>
      </c>
      <c r="AZ12" s="82" t="str">
        <f>HYPERLINK("https://twitter.com/elliotswartz")</f>
        <v>https://twitter.com/elliotswartz</v>
      </c>
      <c r="BA12" s="78" t="s">
        <v>65</v>
      </c>
      <c r="BB12" s="78" t="str">
        <f>REPLACE(INDEX(GroupVertices[Group],MATCH(Vertices[[#This Row],[Vertex]],GroupVertices[Vertex],0)),1,1,"")</f>
        <v>1</v>
      </c>
      <c r="BC12" s="47">
        <v>0</v>
      </c>
      <c r="BD12" s="48">
        <v>0</v>
      </c>
      <c r="BE12" s="47">
        <v>0</v>
      </c>
      <c r="BF12" s="48">
        <v>0</v>
      </c>
      <c r="BG12" s="47">
        <v>0</v>
      </c>
      <c r="BH12" s="48">
        <v>0</v>
      </c>
      <c r="BI12" s="47">
        <v>46</v>
      </c>
      <c r="BJ12" s="48">
        <v>66.66666666666667</v>
      </c>
      <c r="BK12" s="47">
        <v>69</v>
      </c>
      <c r="BL12" s="47" t="s">
        <v>931</v>
      </c>
      <c r="BM12" s="47" t="s">
        <v>799</v>
      </c>
      <c r="BN12" s="47" t="s">
        <v>935</v>
      </c>
      <c r="BO12" s="47" t="s">
        <v>812</v>
      </c>
      <c r="BP12" s="47" t="s">
        <v>420</v>
      </c>
      <c r="BQ12" s="47" t="s">
        <v>420</v>
      </c>
      <c r="BR12" s="136" t="s">
        <v>948</v>
      </c>
      <c r="BS12" s="136" t="s">
        <v>952</v>
      </c>
      <c r="BT12" s="136" t="s">
        <v>960</v>
      </c>
      <c r="BU12" s="136" t="s">
        <v>964</v>
      </c>
      <c r="BV12" s="2"/>
    </row>
    <row r="13" spans="1:74" ht="41.45" customHeight="1">
      <c r="A13" s="11" t="s">
        <v>239</v>
      </c>
      <c r="C13" s="12"/>
      <c r="D13" s="12" t="s">
        <v>64</v>
      </c>
      <c r="E13" s="88">
        <v>910.5011983223487</v>
      </c>
      <c r="F13" s="75">
        <v>92.88</v>
      </c>
      <c r="G13" s="107" t="str">
        <f>HYPERLINK("https://pbs.twimg.com/profile_images/1479437477593108485/CmmGWpoI_normal.png")</f>
        <v>https://pbs.twimg.com/profile_images/1479437477593108485/CmmGWpoI_normal.png</v>
      </c>
      <c r="H13" s="12"/>
      <c r="I13" s="13" t="s">
        <v>239</v>
      </c>
      <c r="J13" s="63"/>
      <c r="K13" s="63"/>
      <c r="L13" s="110" t="s">
        <v>406</v>
      </c>
      <c r="M13" s="89">
        <v>2373.8586666666665</v>
      </c>
      <c r="N13" s="90">
        <v>1583.1552734375</v>
      </c>
      <c r="O13" s="90">
        <v>1747.20751953125</v>
      </c>
      <c r="P13" s="74"/>
      <c r="Q13" s="91"/>
      <c r="R13" s="91"/>
      <c r="S13" s="92"/>
      <c r="T13" s="47">
        <v>0</v>
      </c>
      <c r="U13" s="47">
        <v>3</v>
      </c>
      <c r="V13" s="48">
        <v>1.5</v>
      </c>
      <c r="W13" s="48">
        <v>0.253968</v>
      </c>
      <c r="X13" s="48">
        <v>0.345766</v>
      </c>
      <c r="Y13" s="48">
        <v>0.050065</v>
      </c>
      <c r="Z13" s="48">
        <v>0.3333333333333333</v>
      </c>
      <c r="AA13" s="48">
        <v>0</v>
      </c>
      <c r="AB13" s="76">
        <v>13</v>
      </c>
      <c r="AC13" s="76"/>
      <c r="AD13" s="93"/>
      <c r="AE13" s="78" t="s">
        <v>316</v>
      </c>
      <c r="AF13" s="87">
        <v>4120430787</v>
      </c>
      <c r="AG13" s="78">
        <v>4788</v>
      </c>
      <c r="AH13" s="78">
        <v>5966</v>
      </c>
      <c r="AI13" s="78">
        <v>170674</v>
      </c>
      <c r="AJ13" s="78">
        <v>1135</v>
      </c>
      <c r="AK13" s="78"/>
      <c r="AL13" s="78" t="s">
        <v>373</v>
      </c>
      <c r="AM13" s="78" t="s">
        <v>388</v>
      </c>
      <c r="AN13" s="82" t="str">
        <f>HYPERLINK("https://t.co/YPs8M4T1Gu")</f>
        <v>https://t.co/YPs8M4T1Gu</v>
      </c>
      <c r="AO13" s="78"/>
      <c r="AP13" s="80">
        <v>42313.6803125</v>
      </c>
      <c r="AQ13" s="82" t="str">
        <f>HYPERLINK("https://pbs.twimg.com/profile_banners/4120430787/1457106664")</f>
        <v>https://pbs.twimg.com/profile_banners/4120430787/1457106664</v>
      </c>
      <c r="AR13" s="78" t="b">
        <v>0</v>
      </c>
      <c r="AS13" s="78" t="b">
        <v>0</v>
      </c>
      <c r="AT13" s="78" t="b">
        <v>0</v>
      </c>
      <c r="AU13" s="78"/>
      <c r="AV13" s="78">
        <v>294</v>
      </c>
      <c r="AW13" s="82" t="str">
        <f>HYPERLINK("https://abs.twimg.com/images/themes/theme1/bg.png")</f>
        <v>https://abs.twimg.com/images/themes/theme1/bg.png</v>
      </c>
      <c r="AX13" s="78" t="b">
        <v>0</v>
      </c>
      <c r="AY13" s="78" t="s">
        <v>397</v>
      </c>
      <c r="AZ13" s="82" t="str">
        <f>HYPERLINK("https://twitter.com/goalsecom")</f>
        <v>https://twitter.com/goalsecom</v>
      </c>
      <c r="BA13" s="78" t="s">
        <v>66</v>
      </c>
      <c r="BB13" s="78" t="str">
        <f>REPLACE(INDEX(GroupVertices[Group],MATCH(Vertices[[#This Row],[Vertex]],GroupVertices[Vertex],0)),1,1,"")</f>
        <v>1</v>
      </c>
      <c r="BC13" s="47">
        <v>0</v>
      </c>
      <c r="BD13" s="48">
        <v>0</v>
      </c>
      <c r="BE13" s="47">
        <v>0</v>
      </c>
      <c r="BF13" s="48">
        <v>0</v>
      </c>
      <c r="BG13" s="47">
        <v>0</v>
      </c>
      <c r="BH13" s="48">
        <v>0</v>
      </c>
      <c r="BI13" s="47">
        <v>23</v>
      </c>
      <c r="BJ13" s="48">
        <v>63.888888888888886</v>
      </c>
      <c r="BK13" s="47">
        <v>36</v>
      </c>
      <c r="BL13" s="47" t="s">
        <v>453</v>
      </c>
      <c r="BM13" s="47" t="s">
        <v>453</v>
      </c>
      <c r="BN13" s="47" t="s">
        <v>269</v>
      </c>
      <c r="BO13" s="47" t="s">
        <v>269</v>
      </c>
      <c r="BP13" s="47"/>
      <c r="BQ13" s="47"/>
      <c r="BR13" s="136" t="s">
        <v>947</v>
      </c>
      <c r="BS13" s="136" t="s">
        <v>947</v>
      </c>
      <c r="BT13" s="136" t="s">
        <v>959</v>
      </c>
      <c r="BU13" s="136" t="s">
        <v>959</v>
      </c>
      <c r="BV13" s="2"/>
    </row>
    <row r="14" spans="1:74" ht="41.45" customHeight="1">
      <c r="A14" s="11" t="s">
        <v>241</v>
      </c>
      <c r="C14" s="12"/>
      <c r="D14" s="12" t="s">
        <v>64</v>
      </c>
      <c r="E14" s="88">
        <v>291.91761533852605</v>
      </c>
      <c r="F14" s="75">
        <v>98.7641791044776</v>
      </c>
      <c r="G14" s="107" t="str">
        <f>HYPERLINK("https://pbs.twimg.com/profile_images/1623675266097717248/wf2uvNt__normal.jpg")</f>
        <v>https://pbs.twimg.com/profile_images/1623675266097717248/wf2uvNt__normal.jpg</v>
      </c>
      <c r="H14" s="12"/>
      <c r="I14" s="13" t="s">
        <v>241</v>
      </c>
      <c r="J14" s="63"/>
      <c r="K14" s="63"/>
      <c r="L14" s="110" t="s">
        <v>407</v>
      </c>
      <c r="M14" s="89">
        <v>412.8579104477612</v>
      </c>
      <c r="N14" s="90">
        <v>3300.69873046875</v>
      </c>
      <c r="O14" s="90">
        <v>8838.775390625</v>
      </c>
      <c r="P14" s="74"/>
      <c r="Q14" s="91"/>
      <c r="R14" s="91"/>
      <c r="S14" s="92"/>
      <c r="T14" s="47">
        <v>0</v>
      </c>
      <c r="U14" s="47">
        <v>3</v>
      </c>
      <c r="V14" s="48">
        <v>1.5</v>
      </c>
      <c r="W14" s="48">
        <v>0.253968</v>
      </c>
      <c r="X14" s="48">
        <v>0.345766</v>
      </c>
      <c r="Y14" s="48">
        <v>0.050065</v>
      </c>
      <c r="Z14" s="48">
        <v>0.3333333333333333</v>
      </c>
      <c r="AA14" s="48">
        <v>0</v>
      </c>
      <c r="AB14" s="76">
        <v>14</v>
      </c>
      <c r="AC14" s="76"/>
      <c r="AD14" s="93"/>
      <c r="AE14" s="78" t="s">
        <v>350</v>
      </c>
      <c r="AF14" s="87">
        <v>9.52194745744359E+17</v>
      </c>
      <c r="AG14" s="78">
        <v>661</v>
      </c>
      <c r="AH14" s="78">
        <v>1038</v>
      </c>
      <c r="AI14" s="78">
        <v>2297</v>
      </c>
      <c r="AJ14" s="78">
        <v>1430</v>
      </c>
      <c r="AK14" s="78"/>
      <c r="AL14" s="78" t="s">
        <v>374</v>
      </c>
      <c r="AM14" s="78" t="s">
        <v>389</v>
      </c>
      <c r="AN14" s="82" t="str">
        <f>HYPERLINK("https://t.co/U9bTO2BIzS")</f>
        <v>https://t.co/U9bTO2BIzS</v>
      </c>
      <c r="AO14" s="78"/>
      <c r="AP14" s="80">
        <v>43113.6283912037</v>
      </c>
      <c r="AQ14" s="82" t="str">
        <f>HYPERLINK("https://pbs.twimg.com/profile_banners/952194745744359424/1524556283")</f>
        <v>https://pbs.twimg.com/profile_banners/952194745744359424/1524556283</v>
      </c>
      <c r="AR14" s="78" t="b">
        <v>0</v>
      </c>
      <c r="AS14" s="78" t="b">
        <v>0</v>
      </c>
      <c r="AT14" s="78" t="b">
        <v>0</v>
      </c>
      <c r="AU14" s="78"/>
      <c r="AV14" s="78">
        <v>20</v>
      </c>
      <c r="AW14" s="82" t="str">
        <f>HYPERLINK("https://abs.twimg.com/images/themes/theme1/bg.png")</f>
        <v>https://abs.twimg.com/images/themes/theme1/bg.png</v>
      </c>
      <c r="AX14" s="78" t="b">
        <v>0</v>
      </c>
      <c r="AY14" s="78" t="s">
        <v>397</v>
      </c>
      <c r="AZ14" s="82" t="str">
        <f>HYPERLINK("https://twitter.com/biftekco")</f>
        <v>https://twitter.com/biftekco</v>
      </c>
      <c r="BA14" s="78" t="s">
        <v>66</v>
      </c>
      <c r="BB14" s="78" t="str">
        <f>REPLACE(INDEX(GroupVertices[Group],MATCH(Vertices[[#This Row],[Vertex]],GroupVertices[Vertex],0)),1,1,"")</f>
        <v>1</v>
      </c>
      <c r="BC14" s="47">
        <v>0</v>
      </c>
      <c r="BD14" s="48">
        <v>0</v>
      </c>
      <c r="BE14" s="47">
        <v>0</v>
      </c>
      <c r="BF14" s="48">
        <v>0</v>
      </c>
      <c r="BG14" s="47">
        <v>0</v>
      </c>
      <c r="BH14" s="48">
        <v>0</v>
      </c>
      <c r="BI14" s="47">
        <v>23</v>
      </c>
      <c r="BJ14" s="48">
        <v>63.888888888888886</v>
      </c>
      <c r="BK14" s="47">
        <v>36</v>
      </c>
      <c r="BL14" s="47" t="s">
        <v>453</v>
      </c>
      <c r="BM14" s="47" t="s">
        <v>453</v>
      </c>
      <c r="BN14" s="47" t="s">
        <v>269</v>
      </c>
      <c r="BO14" s="47" t="s">
        <v>269</v>
      </c>
      <c r="BP14" s="47"/>
      <c r="BQ14" s="47"/>
      <c r="BR14" s="136" t="s">
        <v>947</v>
      </c>
      <c r="BS14" s="136" t="s">
        <v>947</v>
      </c>
      <c r="BT14" s="136" t="s">
        <v>959</v>
      </c>
      <c r="BU14" s="136" t="s">
        <v>959</v>
      </c>
      <c r="BV14" s="2"/>
    </row>
    <row r="15" spans="1:74" ht="41.45" customHeight="1">
      <c r="A15" s="11" t="s">
        <v>242</v>
      </c>
      <c r="C15" s="12"/>
      <c r="D15" s="12" t="s">
        <v>64</v>
      </c>
      <c r="E15" s="88">
        <v>169.53145596165368</v>
      </c>
      <c r="F15" s="75">
        <v>99.92835820895522</v>
      </c>
      <c r="G15" s="107" t="str">
        <f>HYPERLINK("https://pbs.twimg.com/profile_images/702927204552814593/EWR5YAai_normal.jpg")</f>
        <v>https://pbs.twimg.com/profile_images/702927204552814593/EWR5YAai_normal.jpg</v>
      </c>
      <c r="H15" s="12"/>
      <c r="I15" s="13" t="s">
        <v>242</v>
      </c>
      <c r="J15" s="63"/>
      <c r="K15" s="63"/>
      <c r="L15" s="110" t="s">
        <v>408</v>
      </c>
      <c r="M15" s="89">
        <v>24.875820895522388</v>
      </c>
      <c r="N15" s="90">
        <v>5919.01806640625</v>
      </c>
      <c r="O15" s="90">
        <v>8258.3359375</v>
      </c>
      <c r="P15" s="74"/>
      <c r="Q15" s="91"/>
      <c r="R15" s="91"/>
      <c r="S15" s="92"/>
      <c r="T15" s="47">
        <v>1</v>
      </c>
      <c r="U15" s="47">
        <v>1</v>
      </c>
      <c r="V15" s="48">
        <v>0</v>
      </c>
      <c r="W15" s="48">
        <v>0</v>
      </c>
      <c r="X15" s="48">
        <v>0</v>
      </c>
      <c r="Y15" s="48">
        <v>0.052632</v>
      </c>
      <c r="Z15" s="48">
        <v>0</v>
      </c>
      <c r="AA15" s="48">
        <v>0</v>
      </c>
      <c r="AB15" s="76">
        <v>15</v>
      </c>
      <c r="AC15" s="76"/>
      <c r="AD15" s="93"/>
      <c r="AE15" s="78" t="s">
        <v>351</v>
      </c>
      <c r="AF15" s="87">
        <v>7.02925771925356E+17</v>
      </c>
      <c r="AG15" s="78">
        <v>303</v>
      </c>
      <c r="AH15" s="78">
        <v>63</v>
      </c>
      <c r="AI15" s="78">
        <v>328</v>
      </c>
      <c r="AJ15" s="78">
        <v>79</v>
      </c>
      <c r="AK15" s="78"/>
      <c r="AL15" s="78" t="s">
        <v>375</v>
      </c>
      <c r="AM15" s="78" t="s">
        <v>390</v>
      </c>
      <c r="AN15" s="82" t="str">
        <f>HYPERLINK("https://t.co/zlbifhs3wM")</f>
        <v>https://t.co/zlbifhs3wM</v>
      </c>
      <c r="AO15" s="78"/>
      <c r="AP15" s="80">
        <v>42425.77706018519</v>
      </c>
      <c r="AQ15" s="82" t="str">
        <f>HYPERLINK("https://pbs.twimg.com/profile_banners/702925771925356544/1456427586")</f>
        <v>https://pbs.twimg.com/profile_banners/702925771925356544/1456427586</v>
      </c>
      <c r="AR15" s="78" t="b">
        <v>1</v>
      </c>
      <c r="AS15" s="78" t="b">
        <v>0</v>
      </c>
      <c r="AT15" s="78" t="b">
        <v>0</v>
      </c>
      <c r="AU15" s="78"/>
      <c r="AV15" s="78">
        <v>1</v>
      </c>
      <c r="AW15" s="78"/>
      <c r="AX15" s="78" t="b">
        <v>0</v>
      </c>
      <c r="AY15" s="78" t="s">
        <v>397</v>
      </c>
      <c r="AZ15" s="82" t="str">
        <f>HYPERLINK("https://twitter.com/marqmetrix_inc")</f>
        <v>https://twitter.com/marqmetrix_inc</v>
      </c>
      <c r="BA15" s="78" t="s">
        <v>66</v>
      </c>
      <c r="BB15" s="78" t="str">
        <f>REPLACE(INDEX(GroupVertices[Group],MATCH(Vertices[[#This Row],[Vertex]],GroupVertices[Vertex],0)),1,1,"")</f>
        <v>3</v>
      </c>
      <c r="BC15" s="47">
        <v>2</v>
      </c>
      <c r="BD15" s="48">
        <v>7.407407407407407</v>
      </c>
      <c r="BE15" s="47">
        <v>0</v>
      </c>
      <c r="BF15" s="48">
        <v>0</v>
      </c>
      <c r="BG15" s="47">
        <v>0</v>
      </c>
      <c r="BH15" s="48">
        <v>0</v>
      </c>
      <c r="BI15" s="47">
        <v>18</v>
      </c>
      <c r="BJ15" s="48">
        <v>66.66666666666667</v>
      </c>
      <c r="BK15" s="47">
        <v>27</v>
      </c>
      <c r="BL15" s="47" t="s">
        <v>452</v>
      </c>
      <c r="BM15" s="47" t="s">
        <v>452</v>
      </c>
      <c r="BN15" s="47" t="s">
        <v>270</v>
      </c>
      <c r="BO15" s="47" t="s">
        <v>270</v>
      </c>
      <c r="BP15" s="47" t="s">
        <v>275</v>
      </c>
      <c r="BQ15" s="47" t="s">
        <v>940</v>
      </c>
      <c r="BR15" s="136" t="s">
        <v>949</v>
      </c>
      <c r="BS15" s="136" t="s">
        <v>949</v>
      </c>
      <c r="BT15" s="136" t="s">
        <v>961</v>
      </c>
      <c r="BU15" s="136" t="s">
        <v>961</v>
      </c>
      <c r="BV15" s="2"/>
    </row>
    <row r="16" spans="1:74" ht="41.45" customHeight="1">
      <c r="A16" s="11" t="s">
        <v>243</v>
      </c>
      <c r="C16" s="12"/>
      <c r="D16" s="12" t="s">
        <v>64</v>
      </c>
      <c r="E16" s="88">
        <v>1000</v>
      </c>
      <c r="F16" s="75">
        <v>70</v>
      </c>
      <c r="G16" s="107" t="str">
        <f>HYPERLINK("https://pbs.twimg.com/profile_images/1554503819857469446/XJ8wO0Qy_normal.jpg")</f>
        <v>https://pbs.twimg.com/profile_images/1554503819857469446/XJ8wO0Qy_normal.jpg</v>
      </c>
      <c r="H16" s="12"/>
      <c r="I16" s="13" t="s">
        <v>243</v>
      </c>
      <c r="J16" s="63"/>
      <c r="K16" s="63"/>
      <c r="L16" s="110" t="s">
        <v>409</v>
      </c>
      <c r="M16" s="89">
        <v>9999</v>
      </c>
      <c r="N16" s="90">
        <v>8963.7802734375</v>
      </c>
      <c r="O16" s="90">
        <v>1923.891357421875</v>
      </c>
      <c r="P16" s="74"/>
      <c r="Q16" s="91"/>
      <c r="R16" s="91"/>
      <c r="S16" s="92"/>
      <c r="T16" s="47">
        <v>2</v>
      </c>
      <c r="U16" s="47">
        <v>1</v>
      </c>
      <c r="V16" s="48">
        <v>0</v>
      </c>
      <c r="W16" s="48">
        <v>0.055556</v>
      </c>
      <c r="X16" s="48">
        <v>0</v>
      </c>
      <c r="Y16" s="48">
        <v>0.056303</v>
      </c>
      <c r="Z16" s="48">
        <v>0</v>
      </c>
      <c r="AA16" s="48">
        <v>0</v>
      </c>
      <c r="AB16" s="76">
        <v>16</v>
      </c>
      <c r="AC16" s="76"/>
      <c r="AD16" s="93"/>
      <c r="AE16" s="78" t="s">
        <v>352</v>
      </c>
      <c r="AF16" s="87">
        <v>92537795</v>
      </c>
      <c r="AG16" s="78">
        <v>875</v>
      </c>
      <c r="AH16" s="78">
        <v>25128</v>
      </c>
      <c r="AI16" s="78">
        <v>12002</v>
      </c>
      <c r="AJ16" s="78">
        <v>1115</v>
      </c>
      <c r="AK16" s="78"/>
      <c r="AL16" s="78" t="s">
        <v>376</v>
      </c>
      <c r="AM16" s="78" t="s">
        <v>391</v>
      </c>
      <c r="AN16" s="82" t="str">
        <f>HYPERLINK("https://t.co/4rl7NdJz2y")</f>
        <v>https://t.co/4rl7NdJz2y</v>
      </c>
      <c r="AO16" s="78"/>
      <c r="AP16" s="80">
        <v>40142.61902777778</v>
      </c>
      <c r="AQ16" s="82" t="str">
        <f>HYPERLINK("https://pbs.twimg.com/profile_banners/92537795/1673300809")</f>
        <v>https://pbs.twimg.com/profile_banners/92537795/1673300809</v>
      </c>
      <c r="AR16" s="78" t="b">
        <v>0</v>
      </c>
      <c r="AS16" s="78" t="b">
        <v>0</v>
      </c>
      <c r="AT16" s="78" t="b">
        <v>0</v>
      </c>
      <c r="AU16" s="78"/>
      <c r="AV16" s="78">
        <v>321</v>
      </c>
      <c r="AW16" s="82" t="str">
        <f>HYPERLINK("https://abs.twimg.com/images/themes/theme1/bg.png")</f>
        <v>https://abs.twimg.com/images/themes/theme1/bg.png</v>
      </c>
      <c r="AX16" s="78" t="b">
        <v>0</v>
      </c>
      <c r="AY16" s="78" t="s">
        <v>397</v>
      </c>
      <c r="AZ16" s="82" t="str">
        <f>HYPERLINK("https://twitter.com/avmajavma")</f>
        <v>https://twitter.com/avmajavma</v>
      </c>
      <c r="BA16" s="78" t="s">
        <v>66</v>
      </c>
      <c r="BB16" s="78" t="str">
        <f>REPLACE(INDEX(GroupVertices[Group],MATCH(Vertices[[#This Row],[Vertex]],GroupVertices[Vertex],0)),1,1,"")</f>
        <v>4</v>
      </c>
      <c r="BC16" s="47">
        <v>0</v>
      </c>
      <c r="BD16" s="48">
        <v>0</v>
      </c>
      <c r="BE16" s="47">
        <v>0</v>
      </c>
      <c r="BF16" s="48">
        <v>0</v>
      </c>
      <c r="BG16" s="47">
        <v>0</v>
      </c>
      <c r="BH16" s="48">
        <v>0</v>
      </c>
      <c r="BI16" s="47">
        <v>29</v>
      </c>
      <c r="BJ16" s="48">
        <v>70.73170731707317</v>
      </c>
      <c r="BK16" s="47">
        <v>41</v>
      </c>
      <c r="BL16" s="47" t="s">
        <v>451</v>
      </c>
      <c r="BM16" s="47" t="s">
        <v>451</v>
      </c>
      <c r="BN16" s="47" t="s">
        <v>271</v>
      </c>
      <c r="BO16" s="47" t="s">
        <v>271</v>
      </c>
      <c r="BP16" s="47"/>
      <c r="BQ16" s="47"/>
      <c r="BR16" s="136" t="s">
        <v>841</v>
      </c>
      <c r="BS16" s="136" t="s">
        <v>841</v>
      </c>
      <c r="BT16" s="136" t="s">
        <v>895</v>
      </c>
      <c r="BU16" s="136" t="s">
        <v>895</v>
      </c>
      <c r="BV16" s="2"/>
    </row>
    <row r="17" spans="1:74" ht="41.45" customHeight="1">
      <c r="A17" s="11" t="s">
        <v>244</v>
      </c>
      <c r="C17" s="12"/>
      <c r="D17" s="12" t="s">
        <v>64</v>
      </c>
      <c r="E17" s="88">
        <v>727.6123427201917</v>
      </c>
      <c r="F17" s="75">
        <v>94.61970149253732</v>
      </c>
      <c r="G17" s="107" t="str">
        <f>HYPERLINK("https://pbs.twimg.com/profile_images/1610649551181856769/MiILhSc0_normal.jpg")</f>
        <v>https://pbs.twimg.com/profile_images/1610649551181856769/MiILhSc0_normal.jpg</v>
      </c>
      <c r="H17" s="12"/>
      <c r="I17" s="13" t="s">
        <v>244</v>
      </c>
      <c r="J17" s="63"/>
      <c r="K17" s="63"/>
      <c r="L17" s="110" t="s">
        <v>410</v>
      </c>
      <c r="M17" s="89">
        <v>1794.0741492537313</v>
      </c>
      <c r="N17" s="90">
        <v>7624.08544921875</v>
      </c>
      <c r="O17" s="90">
        <v>1923.891357421875</v>
      </c>
      <c r="P17" s="74"/>
      <c r="Q17" s="91"/>
      <c r="R17" s="91"/>
      <c r="S17" s="92"/>
      <c r="T17" s="47">
        <v>0</v>
      </c>
      <c r="U17" s="47">
        <v>1</v>
      </c>
      <c r="V17" s="48">
        <v>0</v>
      </c>
      <c r="W17" s="48">
        <v>0.055556</v>
      </c>
      <c r="X17" s="48">
        <v>0</v>
      </c>
      <c r="Y17" s="48">
        <v>0.04896</v>
      </c>
      <c r="Z17" s="48">
        <v>0</v>
      </c>
      <c r="AA17" s="48">
        <v>0</v>
      </c>
      <c r="AB17" s="76">
        <v>17</v>
      </c>
      <c r="AC17" s="76"/>
      <c r="AD17" s="93"/>
      <c r="AE17" s="78" t="s">
        <v>353</v>
      </c>
      <c r="AF17" s="87">
        <v>3249998004</v>
      </c>
      <c r="AG17" s="78">
        <v>3357</v>
      </c>
      <c r="AH17" s="78">
        <v>4509</v>
      </c>
      <c r="AI17" s="78">
        <v>51502</v>
      </c>
      <c r="AJ17" s="78">
        <v>155111</v>
      </c>
      <c r="AK17" s="78"/>
      <c r="AL17" s="78" t="s">
        <v>377</v>
      </c>
      <c r="AM17" s="78" t="s">
        <v>392</v>
      </c>
      <c r="AN17" s="78"/>
      <c r="AO17" s="78"/>
      <c r="AP17" s="80">
        <v>42174.84355324074</v>
      </c>
      <c r="AQ17" s="82" t="str">
        <f>HYPERLINK("https://pbs.twimg.com/profile_banners/3249998004/1434745058")</f>
        <v>https://pbs.twimg.com/profile_banners/3249998004/1434745058</v>
      </c>
      <c r="AR17" s="78" t="b">
        <v>0</v>
      </c>
      <c r="AS17" s="78" t="b">
        <v>0</v>
      </c>
      <c r="AT17" s="78" t="b">
        <v>1</v>
      </c>
      <c r="AU17" s="78"/>
      <c r="AV17" s="78">
        <v>39</v>
      </c>
      <c r="AW17" s="82" t="str">
        <f>HYPERLINK("https://abs.twimg.com/images/themes/theme11/bg.gif")</f>
        <v>https://abs.twimg.com/images/themes/theme11/bg.gif</v>
      </c>
      <c r="AX17" s="78" t="b">
        <v>0</v>
      </c>
      <c r="AY17" s="78" t="s">
        <v>397</v>
      </c>
      <c r="AZ17" s="82" t="str">
        <f>HYPERLINK("https://twitter.com/vetpathophile")</f>
        <v>https://twitter.com/vetpathophile</v>
      </c>
      <c r="BA17" s="78" t="s">
        <v>66</v>
      </c>
      <c r="BB17" s="78" t="str">
        <f>REPLACE(INDEX(GroupVertices[Group],MATCH(Vertices[[#This Row],[Vertex]],GroupVertices[Vertex],0)),1,1,"")</f>
        <v>4</v>
      </c>
      <c r="BC17" s="47">
        <v>0</v>
      </c>
      <c r="BD17" s="48">
        <v>0</v>
      </c>
      <c r="BE17" s="47">
        <v>0</v>
      </c>
      <c r="BF17" s="48">
        <v>0</v>
      </c>
      <c r="BG17" s="47">
        <v>0</v>
      </c>
      <c r="BH17" s="48">
        <v>0</v>
      </c>
      <c r="BI17" s="47">
        <v>29</v>
      </c>
      <c r="BJ17" s="48">
        <v>70.73170731707317</v>
      </c>
      <c r="BK17" s="47">
        <v>41</v>
      </c>
      <c r="BL17" s="47" t="s">
        <v>451</v>
      </c>
      <c r="BM17" s="47" t="s">
        <v>451</v>
      </c>
      <c r="BN17" s="47" t="s">
        <v>271</v>
      </c>
      <c r="BO17" s="47" t="s">
        <v>271</v>
      </c>
      <c r="BP17" s="47"/>
      <c r="BQ17" s="47"/>
      <c r="BR17" s="136" t="s">
        <v>841</v>
      </c>
      <c r="BS17" s="136" t="s">
        <v>841</v>
      </c>
      <c r="BT17" s="136" t="s">
        <v>895</v>
      </c>
      <c r="BU17" s="136" t="s">
        <v>895</v>
      </c>
      <c r="BV17" s="2"/>
    </row>
    <row r="18" spans="1:74" ht="41.45" customHeight="1">
      <c r="A18" s="11" t="s">
        <v>245</v>
      </c>
      <c r="C18" s="12"/>
      <c r="D18" s="12" t="s">
        <v>64</v>
      </c>
      <c r="E18" s="88">
        <v>198.40203714799281</v>
      </c>
      <c r="F18" s="75">
        <v>99.65373134328358</v>
      </c>
      <c r="G18" s="107" t="str">
        <f>HYPERLINK("https://pbs.twimg.com/profile_images/486221724870926337/cS0048NP_normal.png")</f>
        <v>https://pbs.twimg.com/profile_images/486221724870926337/cS0048NP_normal.png</v>
      </c>
      <c r="H18" s="12"/>
      <c r="I18" s="13" t="s">
        <v>245</v>
      </c>
      <c r="J18" s="63"/>
      <c r="K18" s="63"/>
      <c r="L18" s="110" t="s">
        <v>411</v>
      </c>
      <c r="M18" s="89">
        <v>116.39980099502488</v>
      </c>
      <c r="N18" s="90">
        <v>4579.32275390625</v>
      </c>
      <c r="O18" s="90">
        <v>3651.46728515625</v>
      </c>
      <c r="P18" s="74"/>
      <c r="Q18" s="91"/>
      <c r="R18" s="91"/>
      <c r="S18" s="92"/>
      <c r="T18" s="47">
        <v>1</v>
      </c>
      <c r="U18" s="47">
        <v>1</v>
      </c>
      <c r="V18" s="48">
        <v>0</v>
      </c>
      <c r="W18" s="48">
        <v>0.111111</v>
      </c>
      <c r="X18" s="48">
        <v>0</v>
      </c>
      <c r="Y18" s="48">
        <v>0.052632</v>
      </c>
      <c r="Z18" s="48">
        <v>0.5</v>
      </c>
      <c r="AA18" s="48">
        <v>0</v>
      </c>
      <c r="AB18" s="76">
        <v>18</v>
      </c>
      <c r="AC18" s="76"/>
      <c r="AD18" s="93"/>
      <c r="AE18" s="78" t="s">
        <v>354</v>
      </c>
      <c r="AF18" s="87">
        <v>2610118488</v>
      </c>
      <c r="AG18" s="78">
        <v>159</v>
      </c>
      <c r="AH18" s="78">
        <v>293</v>
      </c>
      <c r="AI18" s="78">
        <v>320</v>
      </c>
      <c r="AJ18" s="78">
        <v>83</v>
      </c>
      <c r="AK18" s="78"/>
      <c r="AL18" s="78" t="s">
        <v>378</v>
      </c>
      <c r="AM18" s="78" t="s">
        <v>393</v>
      </c>
      <c r="AN18" s="82" t="str">
        <f>HYPERLINK("https://t.co/eaYerpg04c")</f>
        <v>https://t.co/eaYerpg04c</v>
      </c>
      <c r="AO18" s="78"/>
      <c r="AP18" s="80">
        <v>41827.71931712963</v>
      </c>
      <c r="AQ18" s="82" t="str">
        <f>HYPERLINK("https://pbs.twimg.com/profile_banners/2610118488/1545243188")</f>
        <v>https://pbs.twimg.com/profile_banners/2610118488/1545243188</v>
      </c>
      <c r="AR18" s="78" t="b">
        <v>1</v>
      </c>
      <c r="AS18" s="78" t="b">
        <v>0</v>
      </c>
      <c r="AT18" s="78" t="b">
        <v>0</v>
      </c>
      <c r="AU18" s="78"/>
      <c r="AV18" s="78">
        <v>9</v>
      </c>
      <c r="AW18" s="82" t="str">
        <f>HYPERLINK("https://abs.twimg.com/images/themes/theme1/bg.png")</f>
        <v>https://abs.twimg.com/images/themes/theme1/bg.png</v>
      </c>
      <c r="AX18" s="78" t="b">
        <v>0</v>
      </c>
      <c r="AY18" s="78" t="s">
        <v>397</v>
      </c>
      <c r="AZ18" s="82" t="str">
        <f>HYPERLINK("https://twitter.com/hmtmetabolomics")</f>
        <v>https://twitter.com/hmtmetabolomics</v>
      </c>
      <c r="BA18" s="78" t="s">
        <v>66</v>
      </c>
      <c r="BB18" s="78" t="str">
        <f>REPLACE(INDEX(GroupVertices[Group],MATCH(Vertices[[#This Row],[Vertex]],GroupVertices[Vertex],0)),1,1,"")</f>
        <v>2</v>
      </c>
      <c r="BC18" s="47">
        <v>0</v>
      </c>
      <c r="BD18" s="48">
        <v>0</v>
      </c>
      <c r="BE18" s="47">
        <v>0</v>
      </c>
      <c r="BF18" s="48">
        <v>0</v>
      </c>
      <c r="BG18" s="47">
        <v>0</v>
      </c>
      <c r="BH18" s="48">
        <v>0</v>
      </c>
      <c r="BI18" s="47">
        <v>13</v>
      </c>
      <c r="BJ18" s="48">
        <v>61.904761904761905</v>
      </c>
      <c r="BK18" s="47">
        <v>21</v>
      </c>
      <c r="BL18" s="47" t="s">
        <v>450</v>
      </c>
      <c r="BM18" s="47" t="s">
        <v>450</v>
      </c>
      <c r="BN18" s="47" t="s">
        <v>272</v>
      </c>
      <c r="BO18" s="47" t="s">
        <v>272</v>
      </c>
      <c r="BP18" s="47" t="s">
        <v>276</v>
      </c>
      <c r="BQ18" s="47" t="s">
        <v>276</v>
      </c>
      <c r="BR18" s="136" t="s">
        <v>950</v>
      </c>
      <c r="BS18" s="136" t="s">
        <v>950</v>
      </c>
      <c r="BT18" s="136" t="s">
        <v>894</v>
      </c>
      <c r="BU18" s="136" t="s">
        <v>894</v>
      </c>
      <c r="BV18" s="2"/>
    </row>
    <row r="19" spans="1:74" ht="41.45" customHeight="1">
      <c r="A19" s="11" t="s">
        <v>251</v>
      </c>
      <c r="C19" s="12"/>
      <c r="D19" s="12" t="s">
        <v>64</v>
      </c>
      <c r="E19" s="88">
        <v>685.3106650689035</v>
      </c>
      <c r="F19" s="75">
        <v>95.02208955223881</v>
      </c>
      <c r="G19" s="107" t="str">
        <f>HYPERLINK("https://pbs.twimg.com/profile_images/1032774523739762694/6PxyeNw5_normal.jpg")</f>
        <v>https://pbs.twimg.com/profile_images/1032774523739762694/6PxyeNw5_normal.jpg</v>
      </c>
      <c r="H19" s="12"/>
      <c r="I19" s="13" t="s">
        <v>251</v>
      </c>
      <c r="J19" s="63"/>
      <c r="K19" s="63"/>
      <c r="L19" s="110" t="s">
        <v>412</v>
      </c>
      <c r="M19" s="89">
        <v>1659.9716218905473</v>
      </c>
      <c r="N19" s="90">
        <v>5919.01806640625</v>
      </c>
      <c r="O19" s="90">
        <v>3651.46728515625</v>
      </c>
      <c r="P19" s="74"/>
      <c r="Q19" s="91"/>
      <c r="R19" s="91"/>
      <c r="S19" s="92"/>
      <c r="T19" s="47">
        <v>2</v>
      </c>
      <c r="U19" s="47">
        <v>0</v>
      </c>
      <c r="V19" s="48">
        <v>0</v>
      </c>
      <c r="W19" s="48">
        <v>0.111111</v>
      </c>
      <c r="X19" s="48">
        <v>0</v>
      </c>
      <c r="Y19" s="48">
        <v>0.052632</v>
      </c>
      <c r="Z19" s="48">
        <v>0.5</v>
      </c>
      <c r="AA19" s="48">
        <v>0</v>
      </c>
      <c r="AB19" s="76">
        <v>19</v>
      </c>
      <c r="AC19" s="76"/>
      <c r="AD19" s="93"/>
      <c r="AE19" s="78" t="s">
        <v>355</v>
      </c>
      <c r="AF19" s="87">
        <v>9.40456876675817E+17</v>
      </c>
      <c r="AG19" s="78">
        <v>1701</v>
      </c>
      <c r="AH19" s="78">
        <v>4172</v>
      </c>
      <c r="AI19" s="78">
        <v>5394</v>
      </c>
      <c r="AJ19" s="78">
        <v>4813</v>
      </c>
      <c r="AK19" s="78"/>
      <c r="AL19" s="78" t="s">
        <v>379</v>
      </c>
      <c r="AM19" s="78" t="s">
        <v>394</v>
      </c>
      <c r="AN19" s="82" t="str">
        <f>HYPERLINK("https://t.co/GJGW9n11Qi")</f>
        <v>https://t.co/GJGW9n11Qi</v>
      </c>
      <c r="AO19" s="78"/>
      <c r="AP19" s="80">
        <v>43081.23804398148</v>
      </c>
      <c r="AQ19" s="82" t="str">
        <f>HYPERLINK("https://pbs.twimg.com/profile_banners/940456876675817473/1513620286")</f>
        <v>https://pbs.twimg.com/profile_banners/940456876675817473/1513620286</v>
      </c>
      <c r="AR19" s="78" t="b">
        <v>0</v>
      </c>
      <c r="AS19" s="78" t="b">
        <v>0</v>
      </c>
      <c r="AT19" s="78" t="b">
        <v>1</v>
      </c>
      <c r="AU19" s="78"/>
      <c r="AV19" s="78">
        <v>112</v>
      </c>
      <c r="AW19" s="82" t="str">
        <f>HYPERLINK("https://abs.twimg.com/images/themes/theme1/bg.png")</f>
        <v>https://abs.twimg.com/images/themes/theme1/bg.png</v>
      </c>
      <c r="AX19" s="78" t="b">
        <v>0</v>
      </c>
      <c r="AY19" s="78" t="s">
        <v>397</v>
      </c>
      <c r="AZ19" s="82" t="str">
        <f>HYPERLINK("https://twitter.com/cellagritech")</f>
        <v>https://twitter.com/cellagritech</v>
      </c>
      <c r="BA19" s="78" t="s">
        <v>65</v>
      </c>
      <c r="BB19" s="78" t="str">
        <f>REPLACE(INDEX(GroupVertices[Group],MATCH(Vertices[[#This Row],[Vertex]],GroupVertices[Vertex],0)),1,1,"")</f>
        <v>2</v>
      </c>
      <c r="BC19" s="47"/>
      <c r="BD19" s="48"/>
      <c r="BE19" s="47"/>
      <c r="BF19" s="48"/>
      <c r="BG19" s="47"/>
      <c r="BH19" s="48"/>
      <c r="BI19" s="47"/>
      <c r="BJ19" s="48"/>
      <c r="BK19" s="47"/>
      <c r="BL19" s="47"/>
      <c r="BM19" s="47"/>
      <c r="BN19" s="47"/>
      <c r="BO19" s="47"/>
      <c r="BP19" s="47"/>
      <c r="BQ19" s="47"/>
      <c r="BR19" s="47"/>
      <c r="BS19" s="47"/>
      <c r="BT19" s="47"/>
      <c r="BU19" s="47"/>
      <c r="BV19" s="2"/>
    </row>
    <row r="20" spans="1:74" ht="41.45" customHeight="1">
      <c r="A20" s="94" t="s">
        <v>246</v>
      </c>
      <c r="C20" s="95"/>
      <c r="D20" s="95" t="s">
        <v>64</v>
      </c>
      <c r="E20" s="96">
        <v>1000</v>
      </c>
      <c r="F20" s="97">
        <v>92.02865671641791</v>
      </c>
      <c r="G20" s="108" t="str">
        <f>HYPERLINK("https://pbs.twimg.com/profile_images/1342903725782953986/_tvytAU6_normal.png")</f>
        <v>https://pbs.twimg.com/profile_images/1342903725782953986/_tvytAU6_normal.png</v>
      </c>
      <c r="H20" s="95"/>
      <c r="I20" s="98" t="s">
        <v>246</v>
      </c>
      <c r="J20" s="99"/>
      <c r="K20" s="99"/>
      <c r="L20" s="111" t="s">
        <v>413</v>
      </c>
      <c r="M20" s="100">
        <v>2657.5830049751244</v>
      </c>
      <c r="N20" s="101">
        <v>4579.32275390625</v>
      </c>
      <c r="O20" s="101">
        <v>1819.4517822265625</v>
      </c>
      <c r="P20" s="102"/>
      <c r="Q20" s="103"/>
      <c r="R20" s="103"/>
      <c r="S20" s="104"/>
      <c r="T20" s="47">
        <v>0</v>
      </c>
      <c r="U20" s="47">
        <v>2</v>
      </c>
      <c r="V20" s="48">
        <v>0</v>
      </c>
      <c r="W20" s="48">
        <v>0.111111</v>
      </c>
      <c r="X20" s="48">
        <v>0</v>
      </c>
      <c r="Y20" s="48">
        <v>0.052632</v>
      </c>
      <c r="Z20" s="48">
        <v>0.5</v>
      </c>
      <c r="AA20" s="48">
        <v>0</v>
      </c>
      <c r="AB20" s="105">
        <v>20</v>
      </c>
      <c r="AC20" s="105"/>
      <c r="AD20" s="106"/>
      <c r="AE20" s="78" t="s">
        <v>356</v>
      </c>
      <c r="AF20" s="87">
        <v>1.34256709421545E+18</v>
      </c>
      <c r="AG20" s="78">
        <v>9</v>
      </c>
      <c r="AH20" s="78">
        <v>6679</v>
      </c>
      <c r="AI20" s="78">
        <v>109907</v>
      </c>
      <c r="AJ20" s="78">
        <v>107240</v>
      </c>
      <c r="AK20" s="78"/>
      <c r="AL20" s="78" t="s">
        <v>380</v>
      </c>
      <c r="AM20" s="78" t="s">
        <v>395</v>
      </c>
      <c r="AN20" s="78"/>
      <c r="AO20" s="78"/>
      <c r="AP20" s="80">
        <v>44190.85114583333</v>
      </c>
      <c r="AQ20" s="82" t="str">
        <f>HYPERLINK("https://pbs.twimg.com/profile_banners/1342567094215454720/1609009698")</f>
        <v>https://pbs.twimg.com/profile_banners/1342567094215454720/1609009698</v>
      </c>
      <c r="AR20" s="78" t="b">
        <v>1</v>
      </c>
      <c r="AS20" s="78" t="b">
        <v>0</v>
      </c>
      <c r="AT20" s="78" t="b">
        <v>0</v>
      </c>
      <c r="AU20" s="78"/>
      <c r="AV20" s="78">
        <v>53</v>
      </c>
      <c r="AW20" s="78"/>
      <c r="AX20" s="78" t="b">
        <v>0</v>
      </c>
      <c r="AY20" s="78" t="s">
        <v>397</v>
      </c>
      <c r="AZ20" s="82" t="str">
        <f>HYPERLINK("https://twitter.com/binfotrends")</f>
        <v>https://twitter.com/binfotrends</v>
      </c>
      <c r="BA20" s="78" t="s">
        <v>66</v>
      </c>
      <c r="BB20" s="78" t="str">
        <f>REPLACE(INDEX(GroupVertices[Group],MATCH(Vertices[[#This Row],[Vertex]],GroupVertices[Vertex],0)),1,1,"")</f>
        <v>2</v>
      </c>
      <c r="BC20" s="47">
        <v>0</v>
      </c>
      <c r="BD20" s="48">
        <v>0</v>
      </c>
      <c r="BE20" s="47">
        <v>0</v>
      </c>
      <c r="BF20" s="48">
        <v>0</v>
      </c>
      <c r="BG20" s="47">
        <v>0</v>
      </c>
      <c r="BH20" s="48">
        <v>0</v>
      </c>
      <c r="BI20" s="47">
        <v>13</v>
      </c>
      <c r="BJ20" s="48">
        <v>61.904761904761905</v>
      </c>
      <c r="BK20" s="47">
        <v>21</v>
      </c>
      <c r="BL20" s="47" t="s">
        <v>450</v>
      </c>
      <c r="BM20" s="47" t="s">
        <v>450</v>
      </c>
      <c r="BN20" s="47" t="s">
        <v>272</v>
      </c>
      <c r="BO20" s="47" t="s">
        <v>272</v>
      </c>
      <c r="BP20" s="47" t="s">
        <v>276</v>
      </c>
      <c r="BQ20" s="47" t="s">
        <v>276</v>
      </c>
      <c r="BR20" s="136" t="s">
        <v>950</v>
      </c>
      <c r="BS20" s="136" t="s">
        <v>950</v>
      </c>
      <c r="BT20" s="136" t="s">
        <v>894</v>
      </c>
      <c r="BU20" s="136" t="s">
        <v>894</v>
      </c>
      <c r="BV20" s="2"/>
    </row>
    <row r="21" spans="1:73" ht="41.45" customHeight="1">
      <c r="A21" s="94" t="s">
        <v>417</v>
      </c>
      <c r="C21" s="95"/>
      <c r="D21" s="95" t="s">
        <v>64</v>
      </c>
      <c r="E21" s="96">
        <v>687.6956261234272</v>
      </c>
      <c r="F21" s="97">
        <v>94.99940298507462</v>
      </c>
      <c r="G21" s="108" t="str">
        <f>HYPERLINK("https://pbs.twimg.com/profile_images/1430059625915854895/wltKSzhZ_normal.jpg")</f>
        <v>https://pbs.twimg.com/profile_images/1430059625915854895/wltKSzhZ_normal.jpg</v>
      </c>
      <c r="H21" s="95"/>
      <c r="I21" s="98" t="s">
        <v>417</v>
      </c>
      <c r="J21" s="99"/>
      <c r="K21" s="99"/>
      <c r="L21" s="111" t="s">
        <v>427</v>
      </c>
      <c r="M21" s="100">
        <v>1667.5322985074627</v>
      </c>
      <c r="N21" s="101">
        <v>733.117919921875</v>
      </c>
      <c r="O21" s="101">
        <v>8181.9013671875</v>
      </c>
      <c r="P21" s="102"/>
      <c r="Q21" s="103"/>
      <c r="R21" s="103"/>
      <c r="S21" s="104"/>
      <c r="T21" s="47">
        <v>1</v>
      </c>
      <c r="U21" s="47">
        <v>0</v>
      </c>
      <c r="V21" s="48">
        <v>0</v>
      </c>
      <c r="W21" s="48">
        <v>0.197531</v>
      </c>
      <c r="X21" s="48">
        <v>0.132384</v>
      </c>
      <c r="Y21" s="48">
        <v>0.046311</v>
      </c>
      <c r="Z21" s="48">
        <v>0</v>
      </c>
      <c r="AA21" s="48">
        <v>0</v>
      </c>
      <c r="AB21" s="105">
        <v>21</v>
      </c>
      <c r="AC21" s="105"/>
      <c r="AD21" s="106"/>
      <c r="AE21" s="119" t="s">
        <v>422</v>
      </c>
      <c r="AF21" s="122" t="s">
        <v>423</v>
      </c>
      <c r="AG21" s="119">
        <v>114</v>
      </c>
      <c r="AH21" s="119">
        <v>4191</v>
      </c>
      <c r="AI21" s="119">
        <v>1399</v>
      </c>
      <c r="AJ21" s="119">
        <v>2291</v>
      </c>
      <c r="AK21" s="119"/>
      <c r="AL21" s="119" t="s">
        <v>424</v>
      </c>
      <c r="AM21" s="119" t="s">
        <v>425</v>
      </c>
      <c r="AN21" s="121" t="str">
        <f>HYPERLINK("https://t.co/5uG6wtRIii")</f>
        <v>https://t.co/5uG6wtRIii</v>
      </c>
      <c r="AO21" s="119"/>
      <c r="AP21" s="120">
        <v>43440.40993055556</v>
      </c>
      <c r="AQ21" s="121" t="str">
        <f>HYPERLINK("https://pbs.twimg.com/profile_banners/1070616411951779840/1625671620")</f>
        <v>https://pbs.twimg.com/profile_banners/1070616411951779840/1625671620</v>
      </c>
      <c r="AR21" s="119" t="b">
        <v>0</v>
      </c>
      <c r="AS21" s="119" t="b">
        <v>0</v>
      </c>
      <c r="AT21" s="119" t="b">
        <v>1</v>
      </c>
      <c r="AU21" s="119"/>
      <c r="AV21" s="119">
        <v>131</v>
      </c>
      <c r="AW21" s="121" t="str">
        <f>HYPERLINK("https://abs.twimg.com/images/themes/theme1/bg.png")</f>
        <v>https://abs.twimg.com/images/themes/theme1/bg.png</v>
      </c>
      <c r="AX21" s="119" t="b">
        <v>0</v>
      </c>
      <c r="AY21" s="119" t="s">
        <v>397</v>
      </c>
      <c r="AZ21" s="121" t="str">
        <f>HYPERLINK("https://twitter.com/alephfarms")</f>
        <v>https://twitter.com/alephfarms</v>
      </c>
      <c r="BA21" s="119" t="s">
        <v>65</v>
      </c>
      <c r="BB21" s="78" t="str">
        <f>REPLACE(INDEX(GroupVertices[Group],MATCH(Vertices[[#This Row],[Vertex]],GroupVertices[Vertex],0)),1,1,"")</f>
        <v>1</v>
      </c>
      <c r="BC21" s="47"/>
      <c r="BD21" s="48"/>
      <c r="BE21" s="47"/>
      <c r="BF21" s="48"/>
      <c r="BG21" s="47"/>
      <c r="BH21" s="48"/>
      <c r="BI21" s="47"/>
      <c r="BJ21" s="48"/>
      <c r="BK21" s="47"/>
      <c r="BL21" s="47"/>
      <c r="BM21" s="47"/>
      <c r="BN21" s="47"/>
      <c r="BO21" s="47"/>
      <c r="BP21" s="47"/>
      <c r="BQ21" s="47"/>
      <c r="BR21" s="47"/>
      <c r="BS21" s="47"/>
      <c r="BT21" s="47"/>
      <c r="BU21" s="47"/>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1"/>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1"/>
    <dataValidation allowBlank="1" showInputMessage="1" promptTitle="Vertex Tooltip" prompt="Enter optional text that will pop up when the mouse is hovered over the vertex." errorTitle="Invalid Vertex Image Key" sqref="L3:L2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1"/>
    <dataValidation allowBlank="1" showInputMessage="1" promptTitle="Vertex Label Fill Color" prompt="To select an optional fill color for the Label shape, right-click and select Select Color on the right-click menu." sqref="J3:J21"/>
    <dataValidation allowBlank="1" showInputMessage="1" promptTitle="Vertex Image File" prompt="Enter the path to an image file.  Hover over the column header for examples." errorTitle="Invalid Vertex Image Key" sqref="G3:G21"/>
    <dataValidation allowBlank="1" showInputMessage="1" promptTitle="Vertex Color" prompt="To select an optional vertex color, right-click and select Select Color on the right-click menu." sqref="C3:C21"/>
    <dataValidation allowBlank="1" showInputMessage="1" promptTitle="Vertex Opacity" prompt="Enter an optional vertex opacity between 0 (transparent) and 100 (opaque)." errorTitle="Invalid Vertex Opacity" error="The optional vertex opacity must be a whole number between 0 and 10." sqref="F3:F21"/>
    <dataValidation type="list" allowBlank="1" showInputMessage="1" showErrorMessage="1" promptTitle="Vertex Shape" prompt="Select an optional vertex shape." errorTitle="Invalid Vertex Shape" error="You have entered an invalid vertex shape.  Try selecting from the drop-down list instead." sqref="D3:D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1">
      <formula1>ValidVertexLabelPositions</formula1>
    </dataValidation>
    <dataValidation allowBlank="1" showInputMessage="1" showErrorMessage="1" promptTitle="Vertex Name" prompt="Enter the name of the vertex." sqref="A3:A21"/>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735</v>
      </c>
      <c r="Z2" s="64" t="s">
        <v>736</v>
      </c>
      <c r="AA2" s="64" t="s">
        <v>737</v>
      </c>
      <c r="AB2" s="64" t="s">
        <v>738</v>
      </c>
      <c r="AC2" s="64" t="s">
        <v>739</v>
      </c>
      <c r="AD2" s="64" t="s">
        <v>740</v>
      </c>
      <c r="AE2" s="64" t="s">
        <v>741</v>
      </c>
      <c r="AF2" s="64" t="s">
        <v>742</v>
      </c>
      <c r="AG2" s="64" t="s">
        <v>745</v>
      </c>
      <c r="AH2" s="7" t="s">
        <v>798</v>
      </c>
      <c r="AI2" s="7" t="s">
        <v>811</v>
      </c>
      <c r="AJ2" s="7" t="s">
        <v>829</v>
      </c>
      <c r="AK2" s="7" t="s">
        <v>837</v>
      </c>
      <c r="AL2" s="7" t="s">
        <v>892</v>
      </c>
      <c r="AM2" s="7" t="s">
        <v>911</v>
      </c>
      <c r="AN2" s="7" t="s">
        <v>912</v>
      </c>
      <c r="AO2" s="7" t="s">
        <v>922</v>
      </c>
    </row>
    <row r="3" spans="1:41" ht="15">
      <c r="A3" s="77" t="s">
        <v>429</v>
      </c>
      <c r="B3" s="124" t="s">
        <v>435</v>
      </c>
      <c r="C3" s="124" t="s">
        <v>56</v>
      </c>
      <c r="D3" s="12"/>
      <c r="E3" s="12"/>
      <c r="F3" s="13" t="s">
        <v>969</v>
      </c>
      <c r="G3" s="74"/>
      <c r="H3" s="74"/>
      <c r="I3" s="76">
        <v>3</v>
      </c>
      <c r="J3" s="60"/>
      <c r="K3" s="47">
        <v>7</v>
      </c>
      <c r="L3" s="47">
        <v>12</v>
      </c>
      <c r="M3" s="47">
        <v>0</v>
      </c>
      <c r="N3" s="47">
        <v>12</v>
      </c>
      <c r="O3" s="47">
        <v>0</v>
      </c>
      <c r="P3" s="48">
        <v>0</v>
      </c>
      <c r="Q3" s="48">
        <v>0</v>
      </c>
      <c r="R3" s="47">
        <v>1</v>
      </c>
      <c r="S3" s="47">
        <v>0</v>
      </c>
      <c r="T3" s="47">
        <v>7</v>
      </c>
      <c r="U3" s="47">
        <v>12</v>
      </c>
      <c r="V3" s="47">
        <v>2</v>
      </c>
      <c r="W3" s="48">
        <v>1.22449</v>
      </c>
      <c r="X3" s="48">
        <v>0.2857142857142857</v>
      </c>
      <c r="Y3" s="47">
        <v>0</v>
      </c>
      <c r="Z3" s="48">
        <v>0</v>
      </c>
      <c r="AA3" s="47">
        <v>0</v>
      </c>
      <c r="AB3" s="48">
        <v>0</v>
      </c>
      <c r="AC3" s="47">
        <v>0</v>
      </c>
      <c r="AD3" s="48">
        <v>0</v>
      </c>
      <c r="AE3" s="47">
        <v>115</v>
      </c>
      <c r="AF3" s="48">
        <v>64.97175141242938</v>
      </c>
      <c r="AG3" s="47">
        <v>177</v>
      </c>
      <c r="AH3" s="78" t="s">
        <v>799</v>
      </c>
      <c r="AI3" s="78" t="s">
        <v>812</v>
      </c>
      <c r="AJ3" s="78" t="s">
        <v>420</v>
      </c>
      <c r="AK3" s="87" t="s">
        <v>838</v>
      </c>
      <c r="AL3" s="87" t="s">
        <v>893</v>
      </c>
      <c r="AM3" s="87"/>
      <c r="AN3" s="87" t="s">
        <v>913</v>
      </c>
      <c r="AO3" s="87" t="s">
        <v>923</v>
      </c>
    </row>
    <row r="4" spans="1:41" ht="15">
      <c r="A4" s="77" t="s">
        <v>430</v>
      </c>
      <c r="B4" s="124" t="s">
        <v>436</v>
      </c>
      <c r="C4" s="124" t="s">
        <v>56</v>
      </c>
      <c r="D4" s="12"/>
      <c r="E4" s="12"/>
      <c r="F4" s="13" t="s">
        <v>970</v>
      </c>
      <c r="G4" s="74"/>
      <c r="H4" s="74"/>
      <c r="I4" s="76">
        <v>4</v>
      </c>
      <c r="J4" s="76"/>
      <c r="K4" s="47">
        <v>3</v>
      </c>
      <c r="L4" s="47">
        <v>3</v>
      </c>
      <c r="M4" s="47">
        <v>0</v>
      </c>
      <c r="N4" s="47">
        <v>3</v>
      </c>
      <c r="O4" s="47">
        <v>0</v>
      </c>
      <c r="P4" s="48">
        <v>0</v>
      </c>
      <c r="Q4" s="48">
        <v>0</v>
      </c>
      <c r="R4" s="47">
        <v>1</v>
      </c>
      <c r="S4" s="47">
        <v>0</v>
      </c>
      <c r="T4" s="47">
        <v>3</v>
      </c>
      <c r="U4" s="47">
        <v>3</v>
      </c>
      <c r="V4" s="47">
        <v>1</v>
      </c>
      <c r="W4" s="48">
        <v>0.666667</v>
      </c>
      <c r="X4" s="48">
        <v>0.5</v>
      </c>
      <c r="Y4" s="47">
        <v>0</v>
      </c>
      <c r="Z4" s="48">
        <v>0</v>
      </c>
      <c r="AA4" s="47">
        <v>0</v>
      </c>
      <c r="AB4" s="48">
        <v>0</v>
      </c>
      <c r="AC4" s="47">
        <v>0</v>
      </c>
      <c r="AD4" s="48">
        <v>0</v>
      </c>
      <c r="AE4" s="47">
        <v>26</v>
      </c>
      <c r="AF4" s="48">
        <v>61.904761904761905</v>
      </c>
      <c r="AG4" s="47">
        <v>42</v>
      </c>
      <c r="AH4" s="78" t="s">
        <v>450</v>
      </c>
      <c r="AI4" s="78" t="s">
        <v>272</v>
      </c>
      <c r="AJ4" s="78" t="s">
        <v>276</v>
      </c>
      <c r="AK4" s="87" t="s">
        <v>839</v>
      </c>
      <c r="AL4" s="87" t="s">
        <v>894</v>
      </c>
      <c r="AM4" s="87"/>
      <c r="AN4" s="87" t="s">
        <v>251</v>
      </c>
      <c r="AO4" s="87" t="s">
        <v>924</v>
      </c>
    </row>
    <row r="5" spans="1:41" ht="15">
      <c r="A5" s="77" t="s">
        <v>431</v>
      </c>
      <c r="B5" s="124" t="s">
        <v>437</v>
      </c>
      <c r="C5" s="124" t="s">
        <v>56</v>
      </c>
      <c r="D5" s="12"/>
      <c r="E5" s="12"/>
      <c r="F5" s="13" t="s">
        <v>971</v>
      </c>
      <c r="G5" s="74"/>
      <c r="H5" s="74"/>
      <c r="I5" s="76">
        <v>5</v>
      </c>
      <c r="J5" s="76"/>
      <c r="K5" s="47">
        <v>3</v>
      </c>
      <c r="L5" s="47">
        <v>3</v>
      </c>
      <c r="M5" s="47">
        <v>0</v>
      </c>
      <c r="N5" s="47">
        <v>3</v>
      </c>
      <c r="O5" s="47">
        <v>3</v>
      </c>
      <c r="P5" s="48" t="s">
        <v>444</v>
      </c>
      <c r="Q5" s="48" t="s">
        <v>444</v>
      </c>
      <c r="R5" s="47">
        <v>3</v>
      </c>
      <c r="S5" s="47">
        <v>3</v>
      </c>
      <c r="T5" s="47">
        <v>1</v>
      </c>
      <c r="U5" s="47">
        <v>1</v>
      </c>
      <c r="V5" s="47">
        <v>0</v>
      </c>
      <c r="W5" s="48">
        <v>0</v>
      </c>
      <c r="X5" s="48">
        <v>0</v>
      </c>
      <c r="Y5" s="47">
        <v>5</v>
      </c>
      <c r="Z5" s="48">
        <v>4.424778761061947</v>
      </c>
      <c r="AA5" s="47">
        <v>0</v>
      </c>
      <c r="AB5" s="48">
        <v>0</v>
      </c>
      <c r="AC5" s="47">
        <v>0</v>
      </c>
      <c r="AD5" s="48">
        <v>0</v>
      </c>
      <c r="AE5" s="47">
        <v>72</v>
      </c>
      <c r="AF5" s="48">
        <v>63.716814159292035</v>
      </c>
      <c r="AG5" s="47">
        <v>113</v>
      </c>
      <c r="AH5" s="78" t="s">
        <v>800</v>
      </c>
      <c r="AI5" s="78" t="s">
        <v>813</v>
      </c>
      <c r="AJ5" s="78" t="s">
        <v>275</v>
      </c>
      <c r="AK5" s="87" t="s">
        <v>840</v>
      </c>
      <c r="AL5" s="87" t="s">
        <v>853</v>
      </c>
      <c r="AM5" s="87"/>
      <c r="AN5" s="87"/>
      <c r="AO5" s="87" t="s">
        <v>925</v>
      </c>
    </row>
    <row r="6" spans="1:41" ht="15">
      <c r="A6" s="77" t="s">
        <v>432</v>
      </c>
      <c r="B6" s="124" t="s">
        <v>438</v>
      </c>
      <c r="C6" s="124" t="s">
        <v>56</v>
      </c>
      <c r="D6" s="12"/>
      <c r="E6" s="12"/>
      <c r="F6" s="13" t="s">
        <v>972</v>
      </c>
      <c r="G6" s="74"/>
      <c r="H6" s="74"/>
      <c r="I6" s="76">
        <v>6</v>
      </c>
      <c r="J6" s="76"/>
      <c r="K6" s="47">
        <v>2</v>
      </c>
      <c r="L6" s="47">
        <v>2</v>
      </c>
      <c r="M6" s="47">
        <v>0</v>
      </c>
      <c r="N6" s="47">
        <v>2</v>
      </c>
      <c r="O6" s="47">
        <v>1</v>
      </c>
      <c r="P6" s="48">
        <v>0</v>
      </c>
      <c r="Q6" s="48">
        <v>0</v>
      </c>
      <c r="R6" s="47">
        <v>1</v>
      </c>
      <c r="S6" s="47">
        <v>0</v>
      </c>
      <c r="T6" s="47">
        <v>2</v>
      </c>
      <c r="U6" s="47">
        <v>2</v>
      </c>
      <c r="V6" s="47">
        <v>1</v>
      </c>
      <c r="W6" s="48">
        <v>0.5</v>
      </c>
      <c r="X6" s="48">
        <v>0.5</v>
      </c>
      <c r="Y6" s="47">
        <v>0</v>
      </c>
      <c r="Z6" s="48">
        <v>0</v>
      </c>
      <c r="AA6" s="47">
        <v>0</v>
      </c>
      <c r="AB6" s="48">
        <v>0</v>
      </c>
      <c r="AC6" s="47">
        <v>0</v>
      </c>
      <c r="AD6" s="48">
        <v>0</v>
      </c>
      <c r="AE6" s="47">
        <v>58</v>
      </c>
      <c r="AF6" s="48">
        <v>70.73170731707317</v>
      </c>
      <c r="AG6" s="47">
        <v>82</v>
      </c>
      <c r="AH6" s="78" t="s">
        <v>451</v>
      </c>
      <c r="AI6" s="78" t="s">
        <v>271</v>
      </c>
      <c r="AJ6" s="78"/>
      <c r="AK6" s="87" t="s">
        <v>841</v>
      </c>
      <c r="AL6" s="87" t="s">
        <v>895</v>
      </c>
      <c r="AM6" s="87"/>
      <c r="AN6" s="87"/>
      <c r="AO6" s="87" t="s">
        <v>926</v>
      </c>
    </row>
    <row r="7" spans="1:41" ht="15">
      <c r="A7" s="77" t="s">
        <v>433</v>
      </c>
      <c r="B7" s="124" t="s">
        <v>439</v>
      </c>
      <c r="C7" s="124" t="s">
        <v>56</v>
      </c>
      <c r="D7" s="12"/>
      <c r="E7" s="12"/>
      <c r="F7" s="13" t="s">
        <v>433</v>
      </c>
      <c r="G7" s="74"/>
      <c r="H7" s="74"/>
      <c r="I7" s="76">
        <v>7</v>
      </c>
      <c r="J7" s="76"/>
      <c r="K7" s="47">
        <v>2</v>
      </c>
      <c r="L7" s="47">
        <v>1</v>
      </c>
      <c r="M7" s="47">
        <v>0</v>
      </c>
      <c r="N7" s="47">
        <v>1</v>
      </c>
      <c r="O7" s="47">
        <v>0</v>
      </c>
      <c r="P7" s="48">
        <v>0</v>
      </c>
      <c r="Q7" s="48">
        <v>0</v>
      </c>
      <c r="R7" s="47">
        <v>1</v>
      </c>
      <c r="S7" s="47">
        <v>0</v>
      </c>
      <c r="T7" s="47">
        <v>2</v>
      </c>
      <c r="U7" s="47">
        <v>1</v>
      </c>
      <c r="V7" s="47">
        <v>1</v>
      </c>
      <c r="W7" s="48">
        <v>0.5</v>
      </c>
      <c r="X7" s="48">
        <v>0.5</v>
      </c>
      <c r="Y7" s="47">
        <v>2</v>
      </c>
      <c r="Z7" s="48">
        <v>6.0606060606060606</v>
      </c>
      <c r="AA7" s="47">
        <v>0</v>
      </c>
      <c r="AB7" s="48">
        <v>0</v>
      </c>
      <c r="AC7" s="47">
        <v>0</v>
      </c>
      <c r="AD7" s="48">
        <v>0</v>
      </c>
      <c r="AE7" s="47">
        <v>21</v>
      </c>
      <c r="AF7" s="48">
        <v>63.63636363636363</v>
      </c>
      <c r="AG7" s="47">
        <v>33</v>
      </c>
      <c r="AH7" s="78" t="s">
        <v>454</v>
      </c>
      <c r="AI7" s="78" t="s">
        <v>268</v>
      </c>
      <c r="AJ7" s="78" t="s">
        <v>274</v>
      </c>
      <c r="AK7" s="87" t="s">
        <v>308</v>
      </c>
      <c r="AL7" s="87" t="s">
        <v>308</v>
      </c>
      <c r="AM7" s="87"/>
      <c r="AN7" s="87" t="s">
        <v>914</v>
      </c>
      <c r="AO7" s="87" t="s">
        <v>927</v>
      </c>
    </row>
    <row r="8" spans="1:41" ht="15">
      <c r="A8" s="77" t="s">
        <v>434</v>
      </c>
      <c r="B8" s="124" t="s">
        <v>440</v>
      </c>
      <c r="C8" s="124" t="s">
        <v>56</v>
      </c>
      <c r="D8" s="12"/>
      <c r="E8" s="12"/>
      <c r="F8" s="13" t="s">
        <v>973</v>
      </c>
      <c r="G8" s="74"/>
      <c r="H8" s="74"/>
      <c r="I8" s="76">
        <v>8</v>
      </c>
      <c r="J8" s="76"/>
      <c r="K8" s="47">
        <v>2</v>
      </c>
      <c r="L8" s="47">
        <v>3</v>
      </c>
      <c r="M8" s="47">
        <v>0</v>
      </c>
      <c r="N8" s="47">
        <v>3</v>
      </c>
      <c r="O8" s="47">
        <v>2</v>
      </c>
      <c r="P8" s="48">
        <v>0</v>
      </c>
      <c r="Q8" s="48">
        <v>0</v>
      </c>
      <c r="R8" s="47">
        <v>1</v>
      </c>
      <c r="S8" s="47">
        <v>0</v>
      </c>
      <c r="T8" s="47">
        <v>2</v>
      </c>
      <c r="U8" s="47">
        <v>3</v>
      </c>
      <c r="V8" s="47">
        <v>1</v>
      </c>
      <c r="W8" s="48">
        <v>0.5</v>
      </c>
      <c r="X8" s="48">
        <v>0.5</v>
      </c>
      <c r="Y8" s="47">
        <v>8</v>
      </c>
      <c r="Z8" s="48">
        <v>8.602150537634408</v>
      </c>
      <c r="AA8" s="47">
        <v>0</v>
      </c>
      <c r="AB8" s="48">
        <v>0</v>
      </c>
      <c r="AC8" s="47">
        <v>0</v>
      </c>
      <c r="AD8" s="48">
        <v>0</v>
      </c>
      <c r="AE8" s="47">
        <v>54</v>
      </c>
      <c r="AF8" s="48">
        <v>58.064516129032256</v>
      </c>
      <c r="AG8" s="47">
        <v>93</v>
      </c>
      <c r="AH8" s="78" t="s">
        <v>801</v>
      </c>
      <c r="AI8" s="78" t="s">
        <v>814</v>
      </c>
      <c r="AJ8" s="78"/>
      <c r="AK8" s="87" t="s">
        <v>842</v>
      </c>
      <c r="AL8" s="87" t="s">
        <v>896</v>
      </c>
      <c r="AM8" s="87"/>
      <c r="AN8" s="87"/>
      <c r="AO8" s="87" t="s">
        <v>928</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8" t="s">
        <v>429</v>
      </c>
      <c r="B2" s="87" t="s">
        <v>240</v>
      </c>
      <c r="C2" s="78">
        <f>VLOOKUP(GroupVertices[[#This Row],[Vertex]],Vertices[],MATCH("ID",Vertices[[#Headers],[Vertex]:[Top Word Pairs in Tweet by Salience]],0),FALSE)</f>
        <v>12</v>
      </c>
    </row>
    <row r="3" spans="1:3" ht="15">
      <c r="A3" s="79" t="s">
        <v>429</v>
      </c>
      <c r="B3" s="87" t="s">
        <v>417</v>
      </c>
      <c r="C3" s="78">
        <f>VLOOKUP(GroupVertices[[#This Row],[Vertex]],Vertices[],MATCH("ID",Vertices[[#Headers],[Vertex]:[Top Word Pairs in Tweet by Salience]],0),FALSE)</f>
        <v>21</v>
      </c>
    </row>
    <row r="4" spans="1:3" ht="15">
      <c r="A4" s="79" t="s">
        <v>429</v>
      </c>
      <c r="B4" s="87" t="s">
        <v>241</v>
      </c>
      <c r="C4" s="78">
        <f>VLOOKUP(GroupVertices[[#This Row],[Vertex]],Vertices[],MATCH("ID",Vertices[[#Headers],[Vertex]:[Top Word Pairs in Tweet by Salience]],0),FALSE)</f>
        <v>14</v>
      </c>
    </row>
    <row r="5" spans="1:3" ht="15">
      <c r="A5" s="79" t="s">
        <v>429</v>
      </c>
      <c r="B5" s="87" t="s">
        <v>249</v>
      </c>
      <c r="C5" s="78">
        <f>VLOOKUP(GroupVertices[[#This Row],[Vertex]],Vertices[],MATCH("ID",Vertices[[#Headers],[Vertex]:[Top Word Pairs in Tweet by Salience]],0),FALSE)</f>
        <v>9</v>
      </c>
    </row>
    <row r="6" spans="1:3" ht="15">
      <c r="A6" s="79" t="s">
        <v>429</v>
      </c>
      <c r="B6" s="87" t="s">
        <v>250</v>
      </c>
      <c r="C6" s="78">
        <f>VLOOKUP(GroupVertices[[#This Row],[Vertex]],Vertices[],MATCH("ID",Vertices[[#Headers],[Vertex]:[Top Word Pairs in Tweet by Salience]],0),FALSE)</f>
        <v>11</v>
      </c>
    </row>
    <row r="7" spans="1:3" ht="15">
      <c r="A7" s="79" t="s">
        <v>429</v>
      </c>
      <c r="B7" s="87" t="s">
        <v>239</v>
      </c>
      <c r="C7" s="78">
        <f>VLOOKUP(GroupVertices[[#This Row],[Vertex]],Vertices[],MATCH("ID",Vertices[[#Headers],[Vertex]:[Top Word Pairs in Tweet by Salience]],0),FALSE)</f>
        <v>13</v>
      </c>
    </row>
    <row r="8" spans="1:3" ht="15">
      <c r="A8" s="79" t="s">
        <v>429</v>
      </c>
      <c r="B8" s="87" t="s">
        <v>238</v>
      </c>
      <c r="C8" s="78">
        <f>VLOOKUP(GroupVertices[[#This Row],[Vertex]],Vertices[],MATCH("ID",Vertices[[#Headers],[Vertex]:[Top Word Pairs in Tweet by Salience]],0),FALSE)</f>
        <v>10</v>
      </c>
    </row>
    <row r="9" spans="1:3" ht="15">
      <c r="A9" s="79" t="s">
        <v>430</v>
      </c>
      <c r="B9" s="87" t="s">
        <v>246</v>
      </c>
      <c r="C9" s="78">
        <f>VLOOKUP(GroupVertices[[#This Row],[Vertex]],Vertices[],MATCH("ID",Vertices[[#Headers],[Vertex]:[Top Word Pairs in Tweet by Salience]],0),FALSE)</f>
        <v>20</v>
      </c>
    </row>
    <row r="10" spans="1:3" ht="15">
      <c r="A10" s="79" t="s">
        <v>430</v>
      </c>
      <c r="B10" s="87" t="s">
        <v>245</v>
      </c>
      <c r="C10" s="78">
        <f>VLOOKUP(GroupVertices[[#This Row],[Vertex]],Vertices[],MATCH("ID",Vertices[[#Headers],[Vertex]:[Top Word Pairs in Tweet by Salience]],0),FALSE)</f>
        <v>18</v>
      </c>
    </row>
    <row r="11" spans="1:3" ht="15">
      <c r="A11" s="79" t="s">
        <v>430</v>
      </c>
      <c r="B11" s="87" t="s">
        <v>251</v>
      </c>
      <c r="C11" s="78">
        <f>VLOOKUP(GroupVertices[[#This Row],[Vertex]],Vertices[],MATCH("ID",Vertices[[#Headers],[Vertex]:[Top Word Pairs in Tweet by Salience]],0),FALSE)</f>
        <v>19</v>
      </c>
    </row>
    <row r="12" spans="1:3" ht="15">
      <c r="A12" s="79" t="s">
        <v>431</v>
      </c>
      <c r="B12" s="87" t="s">
        <v>247</v>
      </c>
      <c r="C12" s="78">
        <f>VLOOKUP(GroupVertices[[#This Row],[Vertex]],Vertices[],MATCH("ID",Vertices[[#Headers],[Vertex]:[Top Word Pairs in Tweet by Salience]],0),FALSE)</f>
        <v>3</v>
      </c>
    </row>
    <row r="13" spans="1:3" ht="15">
      <c r="A13" s="79" t="s">
        <v>431</v>
      </c>
      <c r="B13" s="87" t="s">
        <v>236</v>
      </c>
      <c r="C13" s="78">
        <f>VLOOKUP(GroupVertices[[#This Row],[Vertex]],Vertices[],MATCH("ID",Vertices[[#Headers],[Vertex]:[Top Word Pairs in Tweet by Salience]],0),FALSE)</f>
        <v>6</v>
      </c>
    </row>
    <row r="14" spans="1:3" ht="15">
      <c r="A14" s="79" t="s">
        <v>431</v>
      </c>
      <c r="B14" s="87" t="s">
        <v>242</v>
      </c>
      <c r="C14" s="78">
        <f>VLOOKUP(GroupVertices[[#This Row],[Vertex]],Vertices[],MATCH("ID",Vertices[[#Headers],[Vertex]:[Top Word Pairs in Tweet by Salience]],0),FALSE)</f>
        <v>15</v>
      </c>
    </row>
    <row r="15" spans="1:3" ht="15">
      <c r="A15" s="79" t="s">
        <v>432</v>
      </c>
      <c r="B15" s="87" t="s">
        <v>244</v>
      </c>
      <c r="C15" s="78">
        <f>VLOOKUP(GroupVertices[[#This Row],[Vertex]],Vertices[],MATCH("ID",Vertices[[#Headers],[Vertex]:[Top Word Pairs in Tweet by Salience]],0),FALSE)</f>
        <v>17</v>
      </c>
    </row>
    <row r="16" spans="1:3" ht="15">
      <c r="A16" s="79" t="s">
        <v>432</v>
      </c>
      <c r="B16" s="87" t="s">
        <v>243</v>
      </c>
      <c r="C16" s="78">
        <f>VLOOKUP(GroupVertices[[#This Row],[Vertex]],Vertices[],MATCH("ID",Vertices[[#Headers],[Vertex]:[Top Word Pairs in Tweet by Salience]],0),FALSE)</f>
        <v>16</v>
      </c>
    </row>
    <row r="17" spans="1:3" ht="15">
      <c r="A17" s="79" t="s">
        <v>433</v>
      </c>
      <c r="B17" s="87" t="s">
        <v>237</v>
      </c>
      <c r="C17" s="78">
        <f>VLOOKUP(GroupVertices[[#This Row],[Vertex]],Vertices[],MATCH("ID",Vertices[[#Headers],[Vertex]:[Top Word Pairs in Tweet by Salience]],0),FALSE)</f>
        <v>7</v>
      </c>
    </row>
    <row r="18" spans="1:3" ht="15">
      <c r="A18" s="79" t="s">
        <v>433</v>
      </c>
      <c r="B18" s="87" t="s">
        <v>248</v>
      </c>
      <c r="C18" s="78">
        <f>VLOOKUP(GroupVertices[[#This Row],[Vertex]],Vertices[],MATCH("ID",Vertices[[#Headers],[Vertex]:[Top Word Pairs in Tweet by Salience]],0),FALSE)</f>
        <v>8</v>
      </c>
    </row>
    <row r="19" spans="1:3" ht="15">
      <c r="A19" s="79" t="s">
        <v>434</v>
      </c>
      <c r="B19" s="87" t="s">
        <v>235</v>
      </c>
      <c r="C19" s="78">
        <f>VLOOKUP(GroupVertices[[#This Row],[Vertex]],Vertices[],MATCH("ID",Vertices[[#Headers],[Vertex]:[Top Word Pairs in Tweet by Salience]],0),FALSE)</f>
        <v>5</v>
      </c>
    </row>
    <row r="20" spans="1:3" ht="15">
      <c r="A20" s="79" t="s">
        <v>434</v>
      </c>
      <c r="B20" s="87" t="s">
        <v>234</v>
      </c>
      <c r="C20"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0"/>
    <dataValidation allowBlank="1" showInputMessage="1" showErrorMessage="1" promptTitle="Vertex Name" prompt="Enter the name of a vertex to include in the group." sqref="B2:B20"/>
    <dataValidation allowBlank="1" showInputMessage="1" promptTitle="Vertex ID" prompt="This is the value of the hidden ID cell in the Vertices worksheet.  It gets filled in by the items on the NodeXL, Analysis, Groups menu." sqref="C2:C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749</v>
      </c>
      <c r="B2" s="32" t="s">
        <v>191</v>
      </c>
      <c r="D2" s="30">
        <f>MIN(Vertices[Degree])</f>
        <v>0</v>
      </c>
      <c r="E2">
        <f>COUNTIF(Vertices[Degree],"&gt;= "&amp;D2)-COUNTIF(Vertices[Degree],"&gt;="&amp;D3)</f>
        <v>0</v>
      </c>
      <c r="F2" s="35">
        <f>MIN(Vertices[In-Degree])</f>
        <v>0</v>
      </c>
      <c r="G2" s="36">
        <f>COUNTIF(Vertices[In-Degree],"&gt;= "&amp;F2)-COUNTIF(Vertices[In-Degree],"&gt;="&amp;F3)</f>
        <v>6</v>
      </c>
      <c r="H2" s="35">
        <f>MIN(Vertices[Out-Degree])</f>
        <v>0</v>
      </c>
      <c r="I2" s="36">
        <f>COUNTIF(Vertices[Out-Degree],"&gt;= "&amp;H2)-COUNTIF(Vertices[Out-Degree],"&gt;="&amp;H3)</f>
        <v>5</v>
      </c>
      <c r="J2" s="35">
        <f>MIN(Vertices[Betweenness Centrality])</f>
        <v>0</v>
      </c>
      <c r="K2" s="36">
        <f>COUNTIF(Vertices[Betweenness Centrality],"&gt;= "&amp;J2)-COUNTIF(Vertices[Betweenness Centrality],"&gt;="&amp;J3)</f>
        <v>12</v>
      </c>
      <c r="L2" s="35">
        <f>MIN(Vertices[Closeness Centrality])</f>
        <v>0</v>
      </c>
      <c r="M2" s="36">
        <f>COUNTIF(Vertices[Closeness Centrality],"&gt;= "&amp;L2)-COUNTIF(Vertices[Closeness Centrality],"&gt;="&amp;L3)</f>
        <v>3</v>
      </c>
      <c r="N2" s="35">
        <f>MIN(Vertices[Eigenvector Centrality])</f>
        <v>0</v>
      </c>
      <c r="O2" s="36">
        <f>COUNTIF(Vertices[Eigenvector Centrality],"&gt;= "&amp;N2)-COUNTIF(Vertices[Eigenvector Centrality],"&gt;="&amp;N3)</f>
        <v>10</v>
      </c>
      <c r="P2" s="35">
        <f>MIN(Vertices[PageRank])</f>
        <v>0.046311</v>
      </c>
      <c r="Q2" s="36">
        <f>COUNTIF(Vertices[PageRank],"&gt;= "&amp;P2)-COUNTIF(Vertices[PageRank],"&gt;="&amp;P3)</f>
        <v>1</v>
      </c>
      <c r="R2" s="35">
        <f>MIN(Vertices[Clustering Coefficient])</f>
        <v>0</v>
      </c>
      <c r="S2" s="41">
        <f>COUNTIF(Vertices[Clustering Coefficient],"&gt;= "&amp;R2)-COUNTIF(Vertices[Clustering Coefficient],"&gt;="&amp;R3)</f>
        <v>10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35"/>
      <c r="B3" s="135"/>
      <c r="D3" s="30">
        <f aca="true" t="shared" si="1" ref="D3:D35">D2+($D$36-$D$2)/BinDivisor</f>
        <v>0</v>
      </c>
      <c r="E3">
        <f>COUNTIF(Vertices[Degree],"&gt;= "&amp;D3)-COUNTIF(Vertices[Degree],"&gt;="&amp;D4)</f>
        <v>0</v>
      </c>
      <c r="F3" s="37">
        <f aca="true" t="shared" si="2" ref="F3:F35">F2+($F$36-$F$2)/BinDivisor</f>
        <v>0.14705882352941177</v>
      </c>
      <c r="G3" s="38">
        <f>COUNTIF(Vertices[In-Degree],"&gt;= "&amp;F3)-COUNTIF(Vertices[In-Degree],"&gt;="&amp;F4)</f>
        <v>0</v>
      </c>
      <c r="H3" s="37">
        <f aca="true" t="shared" si="3" ref="H3:H35">H2+($H$36-$H$2)/BinDivisor</f>
        <v>0.08823529411764706</v>
      </c>
      <c r="I3" s="38">
        <f>COUNTIF(Vertices[Out-Degree],"&gt;= "&amp;H3)-COUNTIF(Vertices[Out-Degree],"&gt;="&amp;H4)</f>
        <v>0</v>
      </c>
      <c r="J3" s="37">
        <f aca="true" t="shared" si="4" ref="J3:J35">J2+($J$36-$J$2)/BinDivisor</f>
        <v>0.7647058823529411</v>
      </c>
      <c r="K3" s="38">
        <f>COUNTIF(Vertices[Betweenness Centrality],"&gt;= "&amp;J3)-COUNTIF(Vertices[Betweenness Centrality],"&gt;="&amp;J4)</f>
        <v>3</v>
      </c>
      <c r="L3" s="37">
        <f aca="true" t="shared" si="5" ref="L3:L35">L2+($L$36-$L$2)/BinDivisor</f>
        <v>0.009506823529411765</v>
      </c>
      <c r="M3" s="38">
        <f>COUNTIF(Vertices[Closeness Centrality],"&gt;= "&amp;L3)-COUNTIF(Vertices[Closeness Centrality],"&gt;="&amp;L4)</f>
        <v>0</v>
      </c>
      <c r="N3" s="37">
        <f aca="true" t="shared" si="6" ref="N3:N35">N2+($N$36-$N$2)/BinDivisor</f>
        <v>0.015129764705882353</v>
      </c>
      <c r="O3" s="38">
        <f>COUNTIF(Vertices[Eigenvector Centrality],"&gt;= "&amp;N3)-COUNTIF(Vertices[Eigenvector Centrality],"&gt;="&amp;N4)</f>
        <v>0</v>
      </c>
      <c r="P3" s="37">
        <f aca="true" t="shared" si="7" ref="P3:P35">P2+($P$36-$P$2)/BinDivisor</f>
        <v>0.046800264705882354</v>
      </c>
      <c r="Q3" s="38">
        <f>COUNTIF(Vertices[PageRank],"&gt;= "&amp;P3)-COUNTIF(Vertices[PageRank],"&gt;="&amp;P4)</f>
        <v>0</v>
      </c>
      <c r="R3" s="37">
        <f aca="true" t="shared" si="8" ref="R3:R35">R2+($R$36-$R$2)/BinDivisor</f>
        <v>0.014705882352941176</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19</v>
      </c>
      <c r="D4" s="30">
        <f t="shared" si="1"/>
        <v>0</v>
      </c>
      <c r="E4">
        <f>COUNTIF(Vertices[Degree],"&gt;= "&amp;D4)-COUNTIF(Vertices[Degree],"&gt;="&amp;D5)</f>
        <v>0</v>
      </c>
      <c r="F4" s="35">
        <f t="shared" si="2"/>
        <v>0.29411764705882354</v>
      </c>
      <c r="G4" s="36">
        <f>COUNTIF(Vertices[In-Degree],"&gt;= "&amp;F4)-COUNTIF(Vertices[In-Degree],"&gt;="&amp;F5)</f>
        <v>0</v>
      </c>
      <c r="H4" s="35">
        <f t="shared" si="3"/>
        <v>0.17647058823529413</v>
      </c>
      <c r="I4" s="36">
        <f>COUNTIF(Vertices[Out-Degree],"&gt;= "&amp;H4)-COUNTIF(Vertices[Out-Degree],"&gt;="&amp;H5)</f>
        <v>0</v>
      </c>
      <c r="J4" s="35">
        <f t="shared" si="4"/>
        <v>1.5294117647058822</v>
      </c>
      <c r="K4" s="36">
        <f>COUNTIF(Vertices[Betweenness Centrality],"&gt;= "&amp;J4)-COUNTIF(Vertices[Betweenness Centrality],"&gt;="&amp;J5)</f>
        <v>1</v>
      </c>
      <c r="L4" s="35">
        <f t="shared" si="5"/>
        <v>0.01901364705882353</v>
      </c>
      <c r="M4" s="36">
        <f>COUNTIF(Vertices[Closeness Centrality],"&gt;= "&amp;L4)-COUNTIF(Vertices[Closeness Centrality],"&gt;="&amp;L5)</f>
        <v>0</v>
      </c>
      <c r="N4" s="35">
        <f t="shared" si="6"/>
        <v>0.030259529411764706</v>
      </c>
      <c r="O4" s="36">
        <f>COUNTIF(Vertices[Eigenvector Centrality],"&gt;= "&amp;N4)-COUNTIF(Vertices[Eigenvector Centrality],"&gt;="&amp;N5)</f>
        <v>1</v>
      </c>
      <c r="P4" s="35">
        <f t="shared" si="7"/>
        <v>0.04728952941176471</v>
      </c>
      <c r="Q4" s="36">
        <f>COUNTIF(Vertices[PageRank],"&gt;= "&amp;P4)-COUNTIF(Vertices[PageRank],"&gt;="&amp;P5)</f>
        <v>0</v>
      </c>
      <c r="R4" s="35">
        <f t="shared" si="8"/>
        <v>0.029411764705882353</v>
      </c>
      <c r="S4" s="41">
        <f>COUNTIF(Vertices[Clustering Coefficient],"&gt;= "&amp;R4)-COUNTIF(Vertices[Clustering Coefficient],"&gt;="&amp;R5)</f>
        <v>0</v>
      </c>
      <c r="T4" s="35" t="e">
        <f ca="1" t="shared" si="9"/>
        <v>#REF!</v>
      </c>
      <c r="U4" s="36" t="e">
        <f ca="1" t="shared" si="0"/>
        <v>#REF!</v>
      </c>
      <c r="W4" t="s">
        <v>126</v>
      </c>
      <c r="X4" t="s">
        <v>128</v>
      </c>
    </row>
    <row r="5" spans="1:21" ht="15">
      <c r="A5" s="135"/>
      <c r="B5" s="135"/>
      <c r="D5" s="30">
        <f t="shared" si="1"/>
        <v>0</v>
      </c>
      <c r="E5">
        <f>COUNTIF(Vertices[Degree],"&gt;= "&amp;D5)-COUNTIF(Vertices[Degree],"&gt;="&amp;D6)</f>
        <v>0</v>
      </c>
      <c r="F5" s="37">
        <f t="shared" si="2"/>
        <v>0.4411764705882353</v>
      </c>
      <c r="G5" s="38">
        <f>COUNTIF(Vertices[In-Degree],"&gt;= "&amp;F5)-COUNTIF(Vertices[In-Degree],"&gt;="&amp;F6)</f>
        <v>0</v>
      </c>
      <c r="H5" s="37">
        <f t="shared" si="3"/>
        <v>0.2647058823529412</v>
      </c>
      <c r="I5" s="38">
        <f>COUNTIF(Vertices[Out-Degree],"&gt;= "&amp;H5)-COUNTIF(Vertices[Out-Degree],"&gt;="&amp;H6)</f>
        <v>0</v>
      </c>
      <c r="J5" s="37">
        <f t="shared" si="4"/>
        <v>2.2941176470588234</v>
      </c>
      <c r="K5" s="38">
        <f>COUNTIF(Vertices[Betweenness Centrality],"&gt;= "&amp;J5)-COUNTIF(Vertices[Betweenness Centrality],"&gt;="&amp;J6)</f>
        <v>0</v>
      </c>
      <c r="L5" s="37">
        <f t="shared" si="5"/>
        <v>0.028520470588235296</v>
      </c>
      <c r="M5" s="38">
        <f>COUNTIF(Vertices[Closeness Centrality],"&gt;= "&amp;L5)-COUNTIF(Vertices[Closeness Centrality],"&gt;="&amp;L6)</f>
        <v>0</v>
      </c>
      <c r="N5" s="37">
        <f t="shared" si="6"/>
        <v>0.045389294117647055</v>
      </c>
      <c r="O5" s="38">
        <f>COUNTIF(Vertices[Eigenvector Centrality],"&gt;= "&amp;N5)-COUNTIF(Vertices[Eigenvector Centrality],"&gt;="&amp;N6)</f>
        <v>0</v>
      </c>
      <c r="P5" s="37">
        <f t="shared" si="7"/>
        <v>0.047778794117647065</v>
      </c>
      <c r="Q5" s="38">
        <f>COUNTIF(Vertices[PageRank],"&gt;= "&amp;P5)-COUNTIF(Vertices[PageRank],"&gt;="&amp;P6)</f>
        <v>0</v>
      </c>
      <c r="R5" s="37">
        <f t="shared" si="8"/>
        <v>0.044117647058823525</v>
      </c>
      <c r="S5" s="42">
        <f>COUNTIF(Vertices[Clustering Coefficient],"&gt;= "&amp;R5)-COUNTIF(Vertices[Clustering Coefficient],"&gt;="&amp;R6)</f>
        <v>0</v>
      </c>
      <c r="T5" s="37" t="e">
        <f ca="1" t="shared" si="9"/>
        <v>#REF!</v>
      </c>
      <c r="U5" s="38" t="e">
        <f ca="1" t="shared" si="0"/>
        <v>#REF!</v>
      </c>
    </row>
    <row r="6" spans="1:21" ht="15">
      <c r="A6" s="32" t="s">
        <v>148</v>
      </c>
      <c r="B6" s="32">
        <v>25</v>
      </c>
      <c r="D6" s="30">
        <f t="shared" si="1"/>
        <v>0</v>
      </c>
      <c r="E6">
        <f>COUNTIF(Vertices[Degree],"&gt;= "&amp;D6)-COUNTIF(Vertices[Degree],"&gt;="&amp;D7)</f>
        <v>0</v>
      </c>
      <c r="F6" s="35">
        <f t="shared" si="2"/>
        <v>0.5882352941176471</v>
      </c>
      <c r="G6" s="36">
        <f>COUNTIF(Vertices[In-Degree],"&gt;= "&amp;F6)-COUNTIF(Vertices[In-Degree],"&gt;="&amp;F7)</f>
        <v>0</v>
      </c>
      <c r="H6" s="35">
        <f t="shared" si="3"/>
        <v>0.35294117647058826</v>
      </c>
      <c r="I6" s="36">
        <f>COUNTIF(Vertices[Out-Degree],"&gt;= "&amp;H6)-COUNTIF(Vertices[Out-Degree],"&gt;="&amp;H7)</f>
        <v>0</v>
      </c>
      <c r="J6" s="35">
        <f t="shared" si="4"/>
        <v>3.0588235294117645</v>
      </c>
      <c r="K6" s="36">
        <f>COUNTIF(Vertices[Betweenness Centrality],"&gt;= "&amp;J6)-COUNTIF(Vertices[Betweenness Centrality],"&gt;="&amp;J7)</f>
        <v>0</v>
      </c>
      <c r="L6" s="35">
        <f t="shared" si="5"/>
        <v>0.03802729411764706</v>
      </c>
      <c r="M6" s="36">
        <f>COUNTIF(Vertices[Closeness Centrality],"&gt;= "&amp;L6)-COUNTIF(Vertices[Closeness Centrality],"&gt;="&amp;L7)</f>
        <v>0</v>
      </c>
      <c r="N6" s="35">
        <f t="shared" si="6"/>
        <v>0.06051905882352941</v>
      </c>
      <c r="O6" s="36">
        <f>COUNTIF(Vertices[Eigenvector Centrality],"&gt;= "&amp;N6)-COUNTIF(Vertices[Eigenvector Centrality],"&gt;="&amp;N7)</f>
        <v>0</v>
      </c>
      <c r="P6" s="35">
        <f t="shared" si="7"/>
        <v>0.04826805882352942</v>
      </c>
      <c r="Q6" s="36">
        <f>COUNTIF(Vertices[PageRank],"&gt;= "&amp;P6)-COUNTIF(Vertices[PageRank],"&gt;="&amp;P7)</f>
        <v>0</v>
      </c>
      <c r="R6" s="35">
        <f t="shared" si="8"/>
        <v>0.058823529411764705</v>
      </c>
      <c r="S6" s="41">
        <f>COUNTIF(Vertices[Clustering Coefficient],"&gt;= "&amp;R6)-COUNTIF(Vertices[Clustering Coefficient],"&gt;="&amp;R7)</f>
        <v>0</v>
      </c>
      <c r="T6" s="35" t="e">
        <f ca="1" t="shared" si="9"/>
        <v>#REF!</v>
      </c>
      <c r="U6" s="36" t="e">
        <f ca="1" t="shared" si="0"/>
        <v>#REF!</v>
      </c>
    </row>
    <row r="7" spans="1:21" ht="15">
      <c r="A7" s="32" t="s">
        <v>149</v>
      </c>
      <c r="B7" s="32">
        <v>0</v>
      </c>
      <c r="D7" s="30">
        <f t="shared" si="1"/>
        <v>0</v>
      </c>
      <c r="E7">
        <f>COUNTIF(Vertices[Degree],"&gt;= "&amp;D7)-COUNTIF(Vertices[Degree],"&gt;="&amp;D8)</f>
        <v>0</v>
      </c>
      <c r="F7" s="37">
        <f t="shared" si="2"/>
        <v>0.7352941176470589</v>
      </c>
      <c r="G7" s="38">
        <f>COUNTIF(Vertices[In-Degree],"&gt;= "&amp;F7)-COUNTIF(Vertices[In-Degree],"&gt;="&amp;F8)</f>
        <v>0</v>
      </c>
      <c r="H7" s="37">
        <f t="shared" si="3"/>
        <v>0.44117647058823534</v>
      </c>
      <c r="I7" s="38">
        <f>COUNTIF(Vertices[Out-Degree],"&gt;= "&amp;H7)-COUNTIF(Vertices[Out-Degree],"&gt;="&amp;H8)</f>
        <v>0</v>
      </c>
      <c r="J7" s="37">
        <f t="shared" si="4"/>
        <v>3.8235294117647056</v>
      </c>
      <c r="K7" s="38">
        <f>COUNTIF(Vertices[Betweenness Centrality],"&gt;= "&amp;J7)-COUNTIF(Vertices[Betweenness Centrality],"&gt;="&amp;J8)</f>
        <v>0</v>
      </c>
      <c r="L7" s="37">
        <f t="shared" si="5"/>
        <v>0.047534117647058824</v>
      </c>
      <c r="M7" s="38">
        <f>COUNTIF(Vertices[Closeness Centrality],"&gt;= "&amp;L7)-COUNTIF(Vertices[Closeness Centrality],"&gt;="&amp;L8)</f>
        <v>4</v>
      </c>
      <c r="N7" s="37">
        <f t="shared" si="6"/>
        <v>0.07564882352941177</v>
      </c>
      <c r="O7" s="38">
        <f>COUNTIF(Vertices[Eigenvector Centrality],"&gt;= "&amp;N7)-COUNTIF(Vertices[Eigenvector Centrality],"&gt;="&amp;N8)</f>
        <v>0</v>
      </c>
      <c r="P7" s="37">
        <f t="shared" si="7"/>
        <v>0.04875732352941178</v>
      </c>
      <c r="Q7" s="38">
        <f>COUNTIF(Vertices[PageRank],"&gt;= "&amp;P7)-COUNTIF(Vertices[PageRank],"&gt;="&amp;P8)</f>
        <v>2</v>
      </c>
      <c r="R7" s="37">
        <f t="shared" si="8"/>
        <v>0.07352941176470588</v>
      </c>
      <c r="S7" s="42">
        <f>COUNTIF(Vertices[Clustering Coefficient],"&gt;= "&amp;R7)-COUNTIF(Vertices[Clustering Coefficient],"&gt;="&amp;R8)</f>
        <v>0</v>
      </c>
      <c r="T7" s="37" t="e">
        <f ca="1" t="shared" si="9"/>
        <v>#REF!</v>
      </c>
      <c r="U7" s="38" t="e">
        <f ca="1" t="shared" si="0"/>
        <v>#REF!</v>
      </c>
    </row>
    <row r="8" spans="1:21" ht="15">
      <c r="A8" s="32" t="s">
        <v>150</v>
      </c>
      <c r="B8" s="32">
        <v>25</v>
      </c>
      <c r="D8" s="30">
        <f t="shared" si="1"/>
        <v>0</v>
      </c>
      <c r="E8">
        <f>COUNTIF(Vertices[Degree],"&gt;= "&amp;D8)-COUNTIF(Vertices[Degree],"&gt;="&amp;D9)</f>
        <v>0</v>
      </c>
      <c r="F8" s="35">
        <f t="shared" si="2"/>
        <v>0.8823529411764707</v>
      </c>
      <c r="G8" s="36">
        <f>COUNTIF(Vertices[In-Degree],"&gt;= "&amp;F8)-COUNTIF(Vertices[In-Degree],"&gt;="&amp;F9)</f>
        <v>7</v>
      </c>
      <c r="H8" s="35">
        <f t="shared" si="3"/>
        <v>0.5294117647058824</v>
      </c>
      <c r="I8" s="36">
        <f>COUNTIF(Vertices[Out-Degree],"&gt;= "&amp;H8)-COUNTIF(Vertices[Out-Degree],"&gt;="&amp;H9)</f>
        <v>0</v>
      </c>
      <c r="J8" s="35">
        <f t="shared" si="4"/>
        <v>4.588235294117647</v>
      </c>
      <c r="K8" s="36">
        <f>COUNTIF(Vertices[Betweenness Centrality],"&gt;= "&amp;J8)-COUNTIF(Vertices[Betweenness Centrality],"&gt;="&amp;J9)</f>
        <v>0</v>
      </c>
      <c r="L8" s="35">
        <f t="shared" si="5"/>
        <v>0.057040941176470586</v>
      </c>
      <c r="M8" s="36">
        <f>COUNTIF(Vertices[Closeness Centrality],"&gt;= "&amp;L8)-COUNTIF(Vertices[Closeness Centrality],"&gt;="&amp;L9)</f>
        <v>0</v>
      </c>
      <c r="N8" s="35">
        <f t="shared" si="6"/>
        <v>0.09077858823529412</v>
      </c>
      <c r="O8" s="36">
        <f>COUNTIF(Vertices[Eigenvector Centrality],"&gt;= "&amp;N8)-COUNTIF(Vertices[Eigenvector Centrality],"&gt;="&amp;N9)</f>
        <v>0</v>
      </c>
      <c r="P8" s="35">
        <f t="shared" si="7"/>
        <v>0.04924658823529413</v>
      </c>
      <c r="Q8" s="36">
        <f>COUNTIF(Vertices[PageRank],"&gt;= "&amp;P8)-COUNTIF(Vertices[PageRank],"&gt;="&amp;P9)</f>
        <v>0</v>
      </c>
      <c r="R8" s="35">
        <f t="shared" si="8"/>
        <v>0.08823529411764706</v>
      </c>
      <c r="S8" s="41">
        <f>COUNTIF(Vertices[Clustering Coefficient],"&gt;= "&amp;R8)-COUNTIF(Vertices[Clustering Coefficient],"&gt;="&amp;R9)</f>
        <v>0</v>
      </c>
      <c r="T8" s="35" t="e">
        <f ca="1" t="shared" si="9"/>
        <v>#REF!</v>
      </c>
      <c r="U8" s="36" t="e">
        <f ca="1" t="shared" si="0"/>
        <v>#REF!</v>
      </c>
    </row>
    <row r="9" spans="1:21" ht="15">
      <c r="A9" s="135"/>
      <c r="B9" s="135"/>
      <c r="D9" s="30">
        <f t="shared" si="1"/>
        <v>0</v>
      </c>
      <c r="E9">
        <f>COUNTIF(Vertices[Degree],"&gt;= "&amp;D9)-COUNTIF(Vertices[Degree],"&gt;="&amp;D10)</f>
        <v>0</v>
      </c>
      <c r="F9" s="37">
        <f t="shared" si="2"/>
        <v>1.0294117647058825</v>
      </c>
      <c r="G9" s="38">
        <f>COUNTIF(Vertices[In-Degree],"&gt;= "&amp;F9)-COUNTIF(Vertices[In-Degree],"&gt;="&amp;F10)</f>
        <v>0</v>
      </c>
      <c r="H9" s="37">
        <f t="shared" si="3"/>
        <v>0.6176470588235294</v>
      </c>
      <c r="I9" s="38">
        <f>COUNTIF(Vertices[Out-Degree],"&gt;= "&amp;H9)-COUNTIF(Vertices[Out-Degree],"&gt;="&amp;H10)</f>
        <v>0</v>
      </c>
      <c r="J9" s="37">
        <f t="shared" si="4"/>
        <v>5.352941176470588</v>
      </c>
      <c r="K9" s="38">
        <f>COUNTIF(Vertices[Betweenness Centrality],"&gt;= "&amp;J9)-COUNTIF(Vertices[Betweenness Centrality],"&gt;="&amp;J10)</f>
        <v>0</v>
      </c>
      <c r="L9" s="37">
        <f t="shared" si="5"/>
        <v>0.06654776470588235</v>
      </c>
      <c r="M9" s="38">
        <f>COUNTIF(Vertices[Closeness Centrality],"&gt;= "&amp;L9)-COUNTIF(Vertices[Closeness Centrality],"&gt;="&amp;L10)</f>
        <v>0</v>
      </c>
      <c r="N9" s="37">
        <f t="shared" si="6"/>
        <v>0.10590835294117648</v>
      </c>
      <c r="O9" s="38">
        <f>COUNTIF(Vertices[Eigenvector Centrality],"&gt;= "&amp;N9)-COUNTIF(Vertices[Eigenvector Centrality],"&gt;="&amp;N10)</f>
        <v>1</v>
      </c>
      <c r="P9" s="37">
        <f t="shared" si="7"/>
        <v>0.04973585294117649</v>
      </c>
      <c r="Q9" s="38">
        <f>COUNTIF(Vertices[PageRank],"&gt;= "&amp;P9)-COUNTIF(Vertices[PageRank],"&gt;="&amp;P10)</f>
        <v>3</v>
      </c>
      <c r="R9" s="37">
        <f t="shared" si="8"/>
        <v>0.10294117647058824</v>
      </c>
      <c r="S9" s="42">
        <f>COUNTIF(Vertices[Clustering Coefficient],"&gt;= "&amp;R9)-COUNTIF(Vertices[Clustering Coefficient],"&gt;="&amp;R10)</f>
        <v>0</v>
      </c>
      <c r="T9" s="37" t="e">
        <f ca="1" t="shared" si="9"/>
        <v>#REF!</v>
      </c>
      <c r="U9" s="38" t="e">
        <f ca="1" t="shared" si="0"/>
        <v>#REF!</v>
      </c>
    </row>
    <row r="10" spans="1:21" ht="15">
      <c r="A10" s="32" t="s">
        <v>750</v>
      </c>
      <c r="B10" s="32">
        <v>4</v>
      </c>
      <c r="D10" s="30">
        <f t="shared" si="1"/>
        <v>0</v>
      </c>
      <c r="E10">
        <f>COUNTIF(Vertices[Degree],"&gt;= "&amp;D10)-COUNTIF(Vertices[Degree],"&gt;="&amp;D11)</f>
        <v>0</v>
      </c>
      <c r="F10" s="35">
        <f t="shared" si="2"/>
        <v>1.1764705882352942</v>
      </c>
      <c r="G10" s="36">
        <f>COUNTIF(Vertices[In-Degree],"&gt;= "&amp;F10)-COUNTIF(Vertices[In-Degree],"&gt;="&amp;F11)</f>
        <v>0</v>
      </c>
      <c r="H10" s="35">
        <f t="shared" si="3"/>
        <v>0.7058823529411765</v>
      </c>
      <c r="I10" s="36">
        <f>COUNTIF(Vertices[Out-Degree],"&gt;= "&amp;H10)-COUNTIF(Vertices[Out-Degree],"&gt;="&amp;H11)</f>
        <v>0</v>
      </c>
      <c r="J10" s="35">
        <f t="shared" si="4"/>
        <v>6.117647058823529</v>
      </c>
      <c r="K10" s="36">
        <f>COUNTIF(Vertices[Betweenness Centrality],"&gt;= "&amp;J10)-COUNTIF(Vertices[Betweenness Centrality],"&gt;="&amp;J11)</f>
        <v>0</v>
      </c>
      <c r="L10" s="35">
        <f t="shared" si="5"/>
        <v>0.07605458823529411</v>
      </c>
      <c r="M10" s="36">
        <f>COUNTIF(Vertices[Closeness Centrality],"&gt;= "&amp;L10)-COUNTIF(Vertices[Closeness Centrality],"&gt;="&amp;L11)</f>
        <v>0</v>
      </c>
      <c r="N10" s="35">
        <f t="shared" si="6"/>
        <v>0.12103811764705884</v>
      </c>
      <c r="O10" s="36">
        <f>COUNTIF(Vertices[Eigenvector Centrality],"&gt;= "&amp;N10)-COUNTIF(Vertices[Eigenvector Centrality],"&gt;="&amp;N11)</f>
        <v>1</v>
      </c>
      <c r="P10" s="35">
        <f t="shared" si="7"/>
        <v>0.050225117647058844</v>
      </c>
      <c r="Q10" s="36">
        <f>COUNTIF(Vertices[PageRank],"&gt;= "&amp;P10)-COUNTIF(Vertices[PageRank],"&gt;="&amp;P11)</f>
        <v>0</v>
      </c>
      <c r="R10" s="35">
        <f t="shared" si="8"/>
        <v>0.11764705882352942</v>
      </c>
      <c r="S10" s="41">
        <f>COUNTIF(Vertices[Clustering Coefficient],"&gt;= "&amp;R10)-COUNTIF(Vertices[Clustering Coefficient],"&gt;="&amp;R11)</f>
        <v>0</v>
      </c>
      <c r="T10" s="35" t="e">
        <f ca="1" t="shared" si="9"/>
        <v>#REF!</v>
      </c>
      <c r="U10" s="36" t="e">
        <f ca="1" t="shared" si="0"/>
        <v>#REF!</v>
      </c>
    </row>
    <row r="11" spans="1:21" ht="15">
      <c r="A11" s="135"/>
      <c r="B11" s="135"/>
      <c r="D11" s="30">
        <f t="shared" si="1"/>
        <v>0</v>
      </c>
      <c r="E11">
        <f>COUNTIF(Vertices[Degree],"&gt;= "&amp;D11)-COUNTIF(Vertices[Degree],"&gt;="&amp;D12)</f>
        <v>0</v>
      </c>
      <c r="F11" s="37">
        <f t="shared" si="2"/>
        <v>1.3235294117647058</v>
      </c>
      <c r="G11" s="38">
        <f>COUNTIF(Vertices[In-Degree],"&gt;= "&amp;F11)-COUNTIF(Vertices[In-Degree],"&gt;="&amp;F12)</f>
        <v>0</v>
      </c>
      <c r="H11" s="37">
        <f t="shared" si="3"/>
        <v>0.7941176470588236</v>
      </c>
      <c r="I11" s="38">
        <f>COUNTIF(Vertices[Out-Degree],"&gt;= "&amp;H11)-COUNTIF(Vertices[Out-Degree],"&gt;="&amp;H12)</f>
        <v>0</v>
      </c>
      <c r="J11" s="37">
        <f t="shared" si="4"/>
        <v>6.88235294117647</v>
      </c>
      <c r="K11" s="38">
        <f>COUNTIF(Vertices[Betweenness Centrality],"&gt;= "&amp;J11)-COUNTIF(Vertices[Betweenness Centrality],"&gt;="&amp;J12)</f>
        <v>0</v>
      </c>
      <c r="L11" s="37">
        <f t="shared" si="5"/>
        <v>0.08556141176470587</v>
      </c>
      <c r="M11" s="38">
        <f>COUNTIF(Vertices[Closeness Centrality],"&gt;= "&amp;L11)-COUNTIF(Vertices[Closeness Centrality],"&gt;="&amp;L12)</f>
        <v>0</v>
      </c>
      <c r="N11" s="37">
        <f t="shared" si="6"/>
        <v>0.1361678823529412</v>
      </c>
      <c r="O11" s="38">
        <f>COUNTIF(Vertices[Eigenvector Centrality],"&gt;= "&amp;N11)-COUNTIF(Vertices[Eigenvector Centrality],"&gt;="&amp;N12)</f>
        <v>0</v>
      </c>
      <c r="P11" s="37">
        <f t="shared" si="7"/>
        <v>0.0507143823529412</v>
      </c>
      <c r="Q11" s="38">
        <f>COUNTIF(Vertices[PageRank],"&gt;= "&amp;P11)-COUNTIF(Vertices[PageRank],"&gt;="&amp;P12)</f>
        <v>0</v>
      </c>
      <c r="R11" s="37">
        <f t="shared" si="8"/>
        <v>0.1323529411764706</v>
      </c>
      <c r="S11" s="42">
        <f>COUNTIF(Vertices[Clustering Coefficient],"&gt;= "&amp;R11)-COUNTIF(Vertices[Clustering Coefficient],"&gt;="&amp;R12)</f>
        <v>0</v>
      </c>
      <c r="T11" s="37" t="e">
        <f ca="1" t="shared" si="9"/>
        <v>#REF!</v>
      </c>
      <c r="U11" s="38" t="e">
        <f ca="1" t="shared" si="0"/>
        <v>#REF!</v>
      </c>
    </row>
    <row r="12" spans="1:21" ht="15">
      <c r="A12" s="32" t="s">
        <v>253</v>
      </c>
      <c r="B12" s="32">
        <v>6</v>
      </c>
      <c r="D12" s="30">
        <f t="shared" si="1"/>
        <v>0</v>
      </c>
      <c r="E12">
        <f>COUNTIF(Vertices[Degree],"&gt;= "&amp;D12)-COUNTIF(Vertices[Degree],"&gt;="&amp;D13)</f>
        <v>0</v>
      </c>
      <c r="F12" s="35">
        <f t="shared" si="2"/>
        <v>1.4705882352941175</v>
      </c>
      <c r="G12" s="36">
        <f>COUNTIF(Vertices[In-Degree],"&gt;= "&amp;F12)-COUNTIF(Vertices[In-Degree],"&gt;="&amp;F13)</f>
        <v>0</v>
      </c>
      <c r="H12" s="35">
        <f t="shared" si="3"/>
        <v>0.8823529411764707</v>
      </c>
      <c r="I12" s="36">
        <f>COUNTIF(Vertices[Out-Degree],"&gt;= "&amp;H12)-COUNTIF(Vertices[Out-Degree],"&gt;="&amp;H13)</f>
        <v>0</v>
      </c>
      <c r="J12" s="35">
        <f t="shared" si="4"/>
        <v>7.647058823529411</v>
      </c>
      <c r="K12" s="36">
        <f>COUNTIF(Vertices[Betweenness Centrality],"&gt;= "&amp;J12)-COUNTIF(Vertices[Betweenness Centrality],"&gt;="&amp;J13)</f>
        <v>0</v>
      </c>
      <c r="L12" s="35">
        <f t="shared" si="5"/>
        <v>0.09506823529411763</v>
      </c>
      <c r="M12" s="36">
        <f>COUNTIF(Vertices[Closeness Centrality],"&gt;= "&amp;L12)-COUNTIF(Vertices[Closeness Centrality],"&gt;="&amp;L13)</f>
        <v>0</v>
      </c>
      <c r="N12" s="35">
        <f t="shared" si="6"/>
        <v>0.15129764705882354</v>
      </c>
      <c r="O12" s="36">
        <f>COUNTIF(Vertices[Eigenvector Centrality],"&gt;= "&amp;N12)-COUNTIF(Vertices[Eigenvector Centrality],"&gt;="&amp;N13)</f>
        <v>0</v>
      </c>
      <c r="P12" s="35">
        <f t="shared" si="7"/>
        <v>0.051203647058823555</v>
      </c>
      <c r="Q12" s="36">
        <f>COUNTIF(Vertices[PageRank],"&gt;= "&amp;P12)-COUNTIF(Vertices[PageRank],"&gt;="&amp;P13)</f>
        <v>0</v>
      </c>
      <c r="R12" s="35">
        <f t="shared" si="8"/>
        <v>0.14705882352941177</v>
      </c>
      <c r="S12" s="41">
        <f>COUNTIF(Vertices[Clustering Coefficient],"&gt;= "&amp;R12)-COUNTIF(Vertices[Clustering Coefficient],"&gt;="&amp;R13)</f>
        <v>1</v>
      </c>
      <c r="T12" s="35" t="e">
        <f ca="1" t="shared" si="9"/>
        <v>#REF!</v>
      </c>
      <c r="U12" s="36" t="e">
        <f ca="1" t="shared" si="0"/>
        <v>#REF!</v>
      </c>
    </row>
    <row r="13" spans="1:21" ht="15">
      <c r="A13" s="32" t="s">
        <v>252</v>
      </c>
      <c r="B13" s="32">
        <v>6</v>
      </c>
      <c r="D13" s="30">
        <f t="shared" si="1"/>
        <v>0</v>
      </c>
      <c r="E13">
        <f>COUNTIF(Vertices[Degree],"&gt;= "&amp;D13)-COUNTIF(Vertices[Degree],"&gt;="&amp;D14)</f>
        <v>0</v>
      </c>
      <c r="F13" s="37">
        <f t="shared" si="2"/>
        <v>1.6176470588235292</v>
      </c>
      <c r="G13" s="38">
        <f>COUNTIF(Vertices[In-Degree],"&gt;= "&amp;F13)-COUNTIF(Vertices[In-Degree],"&gt;="&amp;F14)</f>
        <v>0</v>
      </c>
      <c r="H13" s="37">
        <f t="shared" si="3"/>
        <v>0.9705882352941178</v>
      </c>
      <c r="I13" s="38">
        <f>COUNTIF(Vertices[Out-Degree],"&gt;= "&amp;H13)-COUNTIF(Vertices[Out-Degree],"&gt;="&amp;H14)</f>
        <v>7</v>
      </c>
      <c r="J13" s="37">
        <f t="shared" si="4"/>
        <v>8.411764705882351</v>
      </c>
      <c r="K13" s="38">
        <f>COUNTIF(Vertices[Betweenness Centrality],"&gt;= "&amp;J13)-COUNTIF(Vertices[Betweenness Centrality],"&gt;="&amp;J14)</f>
        <v>0</v>
      </c>
      <c r="L13" s="37">
        <f t="shared" si="5"/>
        <v>0.1045750588235294</v>
      </c>
      <c r="M13" s="38">
        <f>COUNTIF(Vertices[Closeness Centrality],"&gt;= "&amp;L13)-COUNTIF(Vertices[Closeness Centrality],"&gt;="&amp;L14)</f>
        <v>3</v>
      </c>
      <c r="N13" s="37">
        <f t="shared" si="6"/>
        <v>0.16642741176470588</v>
      </c>
      <c r="O13" s="38">
        <f>COUNTIF(Vertices[Eigenvector Centrality],"&gt;= "&amp;N13)-COUNTIF(Vertices[Eigenvector Centrality],"&gt;="&amp;N14)</f>
        <v>0</v>
      </c>
      <c r="P13" s="37">
        <f t="shared" si="7"/>
        <v>0.05169291176470591</v>
      </c>
      <c r="Q13" s="38">
        <f>COUNTIF(Vertices[PageRank],"&gt;= "&amp;P13)-COUNTIF(Vertices[PageRank],"&gt;="&amp;P14)</f>
        <v>0</v>
      </c>
      <c r="R13" s="37">
        <f t="shared" si="8"/>
        <v>0.16176470588235295</v>
      </c>
      <c r="S13" s="42">
        <f>COUNTIF(Vertices[Clustering Coefficient],"&gt;= "&amp;R13)-COUNTIF(Vertices[Clustering Coefficient],"&gt;="&amp;R14)</f>
        <v>0</v>
      </c>
      <c r="T13" s="37" t="e">
        <f ca="1" t="shared" si="9"/>
        <v>#REF!</v>
      </c>
      <c r="U13" s="38" t="e">
        <f ca="1" t="shared" si="0"/>
        <v>#REF!</v>
      </c>
    </row>
    <row r="14" spans="1:21" ht="15">
      <c r="A14" s="32" t="s">
        <v>254</v>
      </c>
      <c r="B14" s="32">
        <v>7</v>
      </c>
      <c r="D14" s="30">
        <f t="shared" si="1"/>
        <v>0</v>
      </c>
      <c r="E14">
        <f>COUNTIF(Vertices[Degree],"&gt;= "&amp;D14)-COUNTIF(Vertices[Degree],"&gt;="&amp;D15)</f>
        <v>0</v>
      </c>
      <c r="F14" s="35">
        <f t="shared" si="2"/>
        <v>1.764705882352941</v>
      </c>
      <c r="G14" s="36">
        <f>COUNTIF(Vertices[In-Degree],"&gt;= "&amp;F14)-COUNTIF(Vertices[In-Degree],"&gt;="&amp;F15)</f>
        <v>0</v>
      </c>
      <c r="H14" s="35">
        <f t="shared" si="3"/>
        <v>1.0588235294117647</v>
      </c>
      <c r="I14" s="36">
        <f>COUNTIF(Vertices[Out-Degree],"&gt;= "&amp;H14)-COUNTIF(Vertices[Out-Degree],"&gt;="&amp;H15)</f>
        <v>0</v>
      </c>
      <c r="J14" s="35">
        <f t="shared" si="4"/>
        <v>9.176470588235293</v>
      </c>
      <c r="K14" s="36">
        <f>COUNTIF(Vertices[Betweenness Centrality],"&gt;= "&amp;J14)-COUNTIF(Vertices[Betweenness Centrality],"&gt;="&amp;J15)</f>
        <v>0</v>
      </c>
      <c r="L14" s="35">
        <f t="shared" si="5"/>
        <v>0.11408188235294116</v>
      </c>
      <c r="M14" s="36">
        <f>COUNTIF(Vertices[Closeness Centrality],"&gt;= "&amp;L14)-COUNTIF(Vertices[Closeness Centrality],"&gt;="&amp;L15)</f>
        <v>0</v>
      </c>
      <c r="N14" s="35">
        <f t="shared" si="6"/>
        <v>0.18155717647058822</v>
      </c>
      <c r="O14" s="36">
        <f>COUNTIF(Vertices[Eigenvector Centrality],"&gt;= "&amp;N14)-COUNTIF(Vertices[Eigenvector Centrality],"&gt;="&amp;N15)</f>
        <v>0</v>
      </c>
      <c r="P14" s="35">
        <f t="shared" si="7"/>
        <v>0.052182176470588267</v>
      </c>
      <c r="Q14" s="36">
        <f>COUNTIF(Vertices[PageRank],"&gt;= "&amp;P14)-COUNTIF(Vertices[PageRank],"&gt;="&amp;P15)</f>
        <v>8</v>
      </c>
      <c r="R14" s="35">
        <f t="shared" si="8"/>
        <v>0.17647058823529413</v>
      </c>
      <c r="S14" s="41">
        <f>COUNTIF(Vertices[Clustering Coefficient],"&gt;= "&amp;R14)-COUNTIF(Vertices[Clustering Coefficient],"&gt;="&amp;R15)</f>
        <v>0</v>
      </c>
      <c r="T14" s="35" t="e">
        <f ca="1" t="shared" si="9"/>
        <v>#REF!</v>
      </c>
      <c r="U14" s="36" t="e">
        <f ca="1" t="shared" si="0"/>
        <v>#REF!</v>
      </c>
    </row>
    <row r="15" spans="1:21" ht="15">
      <c r="A15" s="32" t="s">
        <v>196</v>
      </c>
      <c r="B15" s="32">
        <v>6</v>
      </c>
      <c r="D15" s="30">
        <f t="shared" si="1"/>
        <v>0</v>
      </c>
      <c r="E15">
        <f>COUNTIF(Vertices[Degree],"&gt;= "&amp;D15)-COUNTIF(Vertices[Degree],"&gt;="&amp;D16)</f>
        <v>0</v>
      </c>
      <c r="F15" s="37">
        <f t="shared" si="2"/>
        <v>1.9117647058823526</v>
      </c>
      <c r="G15" s="38">
        <f>COUNTIF(Vertices[In-Degree],"&gt;= "&amp;F15)-COUNTIF(Vertices[In-Degree],"&gt;="&amp;F16)</f>
        <v>3</v>
      </c>
      <c r="H15" s="37">
        <f t="shared" si="3"/>
        <v>1.1470588235294117</v>
      </c>
      <c r="I15" s="38">
        <f>COUNTIF(Vertices[Out-Degree],"&gt;= "&amp;H15)-COUNTIF(Vertices[Out-Degree],"&gt;="&amp;H16)</f>
        <v>0</v>
      </c>
      <c r="J15" s="37">
        <f t="shared" si="4"/>
        <v>9.941176470588236</v>
      </c>
      <c r="K15" s="38">
        <f>COUNTIF(Vertices[Betweenness Centrality],"&gt;= "&amp;J15)-COUNTIF(Vertices[Betweenness Centrality],"&gt;="&amp;J16)</f>
        <v>0</v>
      </c>
      <c r="L15" s="37">
        <f t="shared" si="5"/>
        <v>0.12358870588235292</v>
      </c>
      <c r="M15" s="38">
        <f>COUNTIF(Vertices[Closeness Centrality],"&gt;= "&amp;L15)-COUNTIF(Vertices[Closeness Centrality],"&gt;="&amp;L16)</f>
        <v>0</v>
      </c>
      <c r="N15" s="37">
        <f t="shared" si="6"/>
        <v>0.19668694117647056</v>
      </c>
      <c r="O15" s="38">
        <f>COUNTIF(Vertices[Eigenvector Centrality],"&gt;= "&amp;N15)-COUNTIF(Vertices[Eigenvector Centrality],"&gt;="&amp;N16)</f>
        <v>0</v>
      </c>
      <c r="P15" s="37">
        <f t="shared" si="7"/>
        <v>0.05267144117647062</v>
      </c>
      <c r="Q15" s="38">
        <f>COUNTIF(Vertices[PageRank],"&gt;= "&amp;P15)-COUNTIF(Vertices[PageRank],"&gt;="&amp;P16)</f>
        <v>0</v>
      </c>
      <c r="R15" s="37">
        <f t="shared" si="8"/>
        <v>0.1911764705882353</v>
      </c>
      <c r="S15" s="42">
        <f>COUNTIF(Vertices[Clustering Coefficient],"&gt;= "&amp;R15)-COUNTIF(Vertices[Clustering Coefficient],"&gt;="&amp;R16)</f>
        <v>1</v>
      </c>
      <c r="T15" s="37" t="e">
        <f ca="1" t="shared" si="9"/>
        <v>#REF!</v>
      </c>
      <c r="U15" s="38" t="e">
        <f ca="1" t="shared" si="0"/>
        <v>#REF!</v>
      </c>
    </row>
    <row r="16" spans="1:21" ht="15">
      <c r="A16" s="135"/>
      <c r="B16" s="135"/>
      <c r="D16" s="30">
        <f t="shared" si="1"/>
        <v>0</v>
      </c>
      <c r="E16">
        <f>COUNTIF(Vertices[Degree],"&gt;= "&amp;D16)-COUNTIF(Vertices[Degree],"&gt;="&amp;D17)</f>
        <v>0</v>
      </c>
      <c r="F16" s="35">
        <f t="shared" si="2"/>
        <v>2.0588235294117645</v>
      </c>
      <c r="G16" s="36">
        <f>COUNTIF(Vertices[In-Degree],"&gt;= "&amp;F16)-COUNTIF(Vertices[In-Degree],"&gt;="&amp;F17)</f>
        <v>0</v>
      </c>
      <c r="H16" s="35">
        <f t="shared" si="3"/>
        <v>1.2352941176470587</v>
      </c>
      <c r="I16" s="36">
        <f>COUNTIF(Vertices[Out-Degree],"&gt;= "&amp;H16)-COUNTIF(Vertices[Out-Degree],"&gt;="&amp;H17)</f>
        <v>0</v>
      </c>
      <c r="J16" s="35">
        <f t="shared" si="4"/>
        <v>10.705882352941178</v>
      </c>
      <c r="K16" s="36">
        <f>COUNTIF(Vertices[Betweenness Centrality],"&gt;= "&amp;J16)-COUNTIF(Vertices[Betweenness Centrality],"&gt;="&amp;J17)</f>
        <v>0</v>
      </c>
      <c r="L16" s="35">
        <f t="shared" si="5"/>
        <v>0.1330955294117647</v>
      </c>
      <c r="M16" s="36">
        <f>COUNTIF(Vertices[Closeness Centrality],"&gt;= "&amp;L16)-COUNTIF(Vertices[Closeness Centrality],"&gt;="&amp;L17)</f>
        <v>0</v>
      </c>
      <c r="N16" s="35">
        <f t="shared" si="6"/>
        <v>0.2118167058823529</v>
      </c>
      <c r="O16" s="36">
        <f>COUNTIF(Vertices[Eigenvector Centrality],"&gt;= "&amp;N16)-COUNTIF(Vertices[Eigenvector Centrality],"&gt;="&amp;N17)</f>
        <v>0</v>
      </c>
      <c r="P16" s="35">
        <f t="shared" si="7"/>
        <v>0.05316070588235298</v>
      </c>
      <c r="Q16" s="36">
        <f>COUNTIF(Vertices[PageRank],"&gt;= "&amp;P16)-COUNTIF(Vertices[PageRank],"&gt;="&amp;P17)</f>
        <v>0</v>
      </c>
      <c r="R16" s="35">
        <f t="shared" si="8"/>
        <v>0.2058823529411765</v>
      </c>
      <c r="S16" s="41">
        <f>COUNTIF(Vertices[Clustering Coefficient],"&gt;= "&amp;R16)-COUNTIF(Vertices[Clustering Coefficient],"&gt;="&amp;R17)</f>
        <v>0</v>
      </c>
      <c r="T16" s="35" t="e">
        <f ca="1" t="shared" si="9"/>
        <v>#REF!</v>
      </c>
      <c r="U16" s="36" t="e">
        <f ca="1" t="shared" si="0"/>
        <v>#REF!</v>
      </c>
    </row>
    <row r="17" spans="1:21" ht="15">
      <c r="A17" s="32" t="s">
        <v>151</v>
      </c>
      <c r="B17" s="32">
        <v>6</v>
      </c>
      <c r="D17" s="30">
        <f t="shared" si="1"/>
        <v>0</v>
      </c>
      <c r="E17">
        <f>COUNTIF(Vertices[Degree],"&gt;= "&amp;D17)-COUNTIF(Vertices[Degree],"&gt;="&amp;D18)</f>
        <v>0</v>
      </c>
      <c r="F17" s="37">
        <f t="shared" si="2"/>
        <v>2.205882352941176</v>
      </c>
      <c r="G17" s="38">
        <f>COUNTIF(Vertices[In-Degree],"&gt;= "&amp;F17)-COUNTIF(Vertices[In-Degree],"&gt;="&amp;F18)</f>
        <v>0</v>
      </c>
      <c r="H17" s="37">
        <f t="shared" si="3"/>
        <v>1.3235294117647056</v>
      </c>
      <c r="I17" s="38">
        <f>COUNTIF(Vertices[Out-Degree],"&gt;= "&amp;H17)-COUNTIF(Vertices[Out-Degree],"&gt;="&amp;H18)</f>
        <v>0</v>
      </c>
      <c r="J17" s="37">
        <f t="shared" si="4"/>
        <v>11.47058823529412</v>
      </c>
      <c r="K17" s="38">
        <f>COUNTIF(Vertices[Betweenness Centrality],"&gt;= "&amp;J17)-COUNTIF(Vertices[Betweenness Centrality],"&gt;="&amp;J18)</f>
        <v>0</v>
      </c>
      <c r="L17" s="37">
        <f t="shared" si="5"/>
        <v>0.14260235294117646</v>
      </c>
      <c r="M17" s="38">
        <f>COUNTIF(Vertices[Closeness Centrality],"&gt;= "&amp;L17)-COUNTIF(Vertices[Closeness Centrality],"&gt;="&amp;L18)</f>
        <v>0</v>
      </c>
      <c r="N17" s="37">
        <f t="shared" si="6"/>
        <v>0.22694647058823525</v>
      </c>
      <c r="O17" s="38">
        <f>COUNTIF(Vertices[Eigenvector Centrality],"&gt;= "&amp;N17)-COUNTIF(Vertices[Eigenvector Centrality],"&gt;="&amp;N18)</f>
        <v>0</v>
      </c>
      <c r="P17" s="37">
        <f t="shared" si="7"/>
        <v>0.053649970588235334</v>
      </c>
      <c r="Q17" s="38">
        <f>COUNTIF(Vertices[PageRank],"&gt;= "&amp;P17)-COUNTIF(Vertices[PageRank],"&gt;="&amp;P18)</f>
        <v>2</v>
      </c>
      <c r="R17" s="37">
        <f t="shared" si="8"/>
        <v>0.22058823529411767</v>
      </c>
      <c r="S17" s="42">
        <f>COUNTIF(Vertices[Clustering Coefficient],"&gt;= "&amp;R17)-COUNTIF(Vertices[Clustering Coefficient],"&gt;="&amp;R18)</f>
        <v>0</v>
      </c>
      <c r="T17" s="37" t="e">
        <f ca="1" t="shared" si="9"/>
        <v>#REF!</v>
      </c>
      <c r="U17" s="38" t="e">
        <f ca="1" t="shared" si="0"/>
        <v>#REF!</v>
      </c>
    </row>
    <row r="18" spans="1:21" ht="15">
      <c r="A18" s="135"/>
      <c r="B18" s="135"/>
      <c r="D18" s="30">
        <f t="shared" si="1"/>
        <v>0</v>
      </c>
      <c r="E18">
        <f>COUNTIF(Vertices[Degree],"&gt;= "&amp;D18)-COUNTIF(Vertices[Degree],"&gt;="&amp;D19)</f>
        <v>0</v>
      </c>
      <c r="F18" s="35">
        <f t="shared" si="2"/>
        <v>2.352941176470588</v>
      </c>
      <c r="G18" s="36">
        <f>COUNTIF(Vertices[In-Degree],"&gt;= "&amp;F18)-COUNTIF(Vertices[In-Degree],"&gt;="&amp;F19)</f>
        <v>0</v>
      </c>
      <c r="H18" s="35">
        <f t="shared" si="3"/>
        <v>1.4117647058823526</v>
      </c>
      <c r="I18" s="36">
        <f>COUNTIF(Vertices[Out-Degree],"&gt;= "&amp;H18)-COUNTIF(Vertices[Out-Degree],"&gt;="&amp;H19)</f>
        <v>0</v>
      </c>
      <c r="J18" s="35">
        <f t="shared" si="4"/>
        <v>12.235294117647062</v>
      </c>
      <c r="K18" s="36">
        <f>COUNTIF(Vertices[Betweenness Centrality],"&gt;= "&amp;J18)-COUNTIF(Vertices[Betweenness Centrality],"&gt;="&amp;J19)</f>
        <v>0</v>
      </c>
      <c r="L18" s="35">
        <f t="shared" si="5"/>
        <v>0.15210917647058822</v>
      </c>
      <c r="M18" s="36">
        <f>COUNTIF(Vertices[Closeness Centrality],"&gt;= "&amp;L18)-COUNTIF(Vertices[Closeness Centrality],"&gt;="&amp;L19)</f>
        <v>1</v>
      </c>
      <c r="N18" s="35">
        <f t="shared" si="6"/>
        <v>0.2420762352941176</v>
      </c>
      <c r="O18" s="36">
        <f>COUNTIF(Vertices[Eigenvector Centrality],"&gt;= "&amp;N18)-COUNTIF(Vertices[Eigenvector Centrality],"&gt;="&amp;N19)</f>
        <v>0</v>
      </c>
      <c r="P18" s="35">
        <f t="shared" si="7"/>
        <v>0.05413923529411769</v>
      </c>
      <c r="Q18" s="36">
        <f>COUNTIF(Vertices[PageRank],"&gt;= "&amp;P18)-COUNTIF(Vertices[PageRank],"&gt;="&amp;P19)</f>
        <v>0</v>
      </c>
      <c r="R18" s="35">
        <f t="shared" si="8"/>
        <v>0.23529411764705885</v>
      </c>
      <c r="S18" s="41">
        <f>COUNTIF(Vertices[Clustering Coefficient],"&gt;= "&amp;R18)-COUNTIF(Vertices[Clustering Coefficient],"&gt;="&amp;R19)</f>
        <v>0</v>
      </c>
      <c r="T18" s="35" t="e">
        <f ca="1" t="shared" si="9"/>
        <v>#REF!</v>
      </c>
      <c r="U18" s="36" t="e">
        <f ca="1" t="shared" si="0"/>
        <v>#REF!</v>
      </c>
    </row>
    <row r="19" spans="1:21" ht="15">
      <c r="A19" s="32" t="s">
        <v>170</v>
      </c>
      <c r="B19" s="32">
        <v>0</v>
      </c>
      <c r="D19" s="30">
        <f t="shared" si="1"/>
        <v>0</v>
      </c>
      <c r="E19">
        <f>COUNTIF(Vertices[Degree],"&gt;= "&amp;D19)-COUNTIF(Vertices[Degree],"&gt;="&amp;D20)</f>
        <v>0</v>
      </c>
      <c r="F19" s="37">
        <f t="shared" si="2"/>
        <v>2.4999999999999996</v>
      </c>
      <c r="G19" s="38">
        <f>COUNTIF(Vertices[In-Degree],"&gt;= "&amp;F19)-COUNTIF(Vertices[In-Degree],"&gt;="&amp;F20)</f>
        <v>0</v>
      </c>
      <c r="H19" s="37">
        <f t="shared" si="3"/>
        <v>1.4999999999999996</v>
      </c>
      <c r="I19" s="38">
        <f>COUNTIF(Vertices[Out-Degree],"&gt;= "&amp;H19)-COUNTIF(Vertices[Out-Degree],"&gt;="&amp;H20)</f>
        <v>0</v>
      </c>
      <c r="J19" s="37">
        <f t="shared" si="4"/>
        <v>13.000000000000004</v>
      </c>
      <c r="K19" s="38">
        <f>COUNTIF(Vertices[Betweenness Centrality],"&gt;= "&amp;J19)-COUNTIF(Vertices[Betweenness Centrality],"&gt;="&amp;J20)</f>
        <v>0</v>
      </c>
      <c r="L19" s="37">
        <f t="shared" si="5"/>
        <v>0.16161599999999998</v>
      </c>
      <c r="M19" s="38">
        <f>COUNTIF(Vertices[Closeness Centrality],"&gt;= "&amp;L19)-COUNTIF(Vertices[Closeness Centrality],"&gt;="&amp;L20)</f>
        <v>0</v>
      </c>
      <c r="N19" s="37">
        <f t="shared" si="6"/>
        <v>0.25720599999999993</v>
      </c>
      <c r="O19" s="38">
        <f>COUNTIF(Vertices[Eigenvector Centrality],"&gt;= "&amp;N19)-COUNTIF(Vertices[Eigenvector Centrality],"&gt;="&amp;N20)</f>
        <v>0</v>
      </c>
      <c r="P19" s="37">
        <f t="shared" si="7"/>
        <v>0.054628500000000045</v>
      </c>
      <c r="Q19" s="38">
        <f>COUNTIF(Vertices[PageRank],"&gt;= "&amp;P19)-COUNTIF(Vertices[PageRank],"&gt;="&amp;P20)</f>
        <v>0</v>
      </c>
      <c r="R19" s="37">
        <f t="shared" si="8"/>
        <v>0.25</v>
      </c>
      <c r="S19" s="42">
        <f>COUNTIF(Vertices[Clustering Coefficient],"&gt;= "&amp;R19)-COUNTIF(Vertices[Clustering Coefficient],"&gt;="&amp;R20)</f>
        <v>1</v>
      </c>
      <c r="T19" s="37" t="e">
        <f ca="1" t="shared" si="9"/>
        <v>#REF!</v>
      </c>
      <c r="U19" s="38" t="e">
        <f ca="1" t="shared" si="0"/>
        <v>#REF!</v>
      </c>
    </row>
    <row r="20" spans="1:21" ht="15">
      <c r="A20" s="32" t="s">
        <v>171</v>
      </c>
      <c r="B20" s="32">
        <v>0</v>
      </c>
      <c r="D20" s="30">
        <f t="shared" si="1"/>
        <v>0</v>
      </c>
      <c r="E20">
        <f>COUNTIF(Vertices[Degree],"&gt;= "&amp;D20)-COUNTIF(Vertices[Degree],"&gt;="&amp;D21)</f>
        <v>0</v>
      </c>
      <c r="F20" s="35">
        <f t="shared" si="2"/>
        <v>2.6470588235294112</v>
      </c>
      <c r="G20" s="36">
        <f>COUNTIF(Vertices[In-Degree],"&gt;= "&amp;F20)-COUNTIF(Vertices[In-Degree],"&gt;="&amp;F21)</f>
        <v>0</v>
      </c>
      <c r="H20" s="35">
        <f t="shared" si="3"/>
        <v>1.5882352941176465</v>
      </c>
      <c r="I20" s="36">
        <f>COUNTIF(Vertices[Out-Degree],"&gt;= "&amp;H20)-COUNTIF(Vertices[Out-Degree],"&gt;="&amp;H21)</f>
        <v>0</v>
      </c>
      <c r="J20" s="35">
        <f t="shared" si="4"/>
        <v>13.764705882352946</v>
      </c>
      <c r="K20" s="36">
        <f>COUNTIF(Vertices[Betweenness Centrality],"&gt;= "&amp;J20)-COUNTIF(Vertices[Betweenness Centrality],"&gt;="&amp;J21)</f>
        <v>1</v>
      </c>
      <c r="L20" s="35">
        <f t="shared" si="5"/>
        <v>0.17112282352941174</v>
      </c>
      <c r="M20" s="36">
        <f>COUNTIF(Vertices[Closeness Centrality],"&gt;= "&amp;L20)-COUNTIF(Vertices[Closeness Centrality],"&gt;="&amp;L21)</f>
        <v>0</v>
      </c>
      <c r="N20" s="35">
        <f t="shared" si="6"/>
        <v>0.2723357647058823</v>
      </c>
      <c r="O20" s="36">
        <f>COUNTIF(Vertices[Eigenvector Centrality],"&gt;= "&amp;N20)-COUNTIF(Vertices[Eigenvector Centrality],"&gt;="&amp;N21)</f>
        <v>0</v>
      </c>
      <c r="P20" s="35">
        <f t="shared" si="7"/>
        <v>0.0551177647058824</v>
      </c>
      <c r="Q20" s="36">
        <f>COUNTIF(Vertices[PageRank],"&gt;= "&amp;P20)-COUNTIF(Vertices[PageRank],"&gt;="&amp;P21)</f>
        <v>0</v>
      </c>
      <c r="R20" s="35">
        <f t="shared" si="8"/>
        <v>0.2647058823529412</v>
      </c>
      <c r="S20" s="41">
        <f>COUNTIF(Vertices[Clustering Coefficient],"&gt;= "&amp;R20)-COUNTIF(Vertices[Clustering Coefficient],"&gt;="&amp;R21)</f>
        <v>0</v>
      </c>
      <c r="T20" s="35" t="e">
        <f ca="1" t="shared" si="9"/>
        <v>#REF!</v>
      </c>
      <c r="U20" s="36" t="e">
        <f ca="1" t="shared" si="0"/>
        <v>#REF!</v>
      </c>
    </row>
    <row r="21" spans="1:21" ht="15">
      <c r="A21" s="135"/>
      <c r="B21" s="135"/>
      <c r="D21" s="30">
        <f t="shared" si="1"/>
        <v>0</v>
      </c>
      <c r="E21">
        <f>COUNTIF(Vertices[Degree],"&gt;= "&amp;D21)-COUNTIF(Vertices[Degree],"&gt;="&amp;D22)</f>
        <v>0</v>
      </c>
      <c r="F21" s="37">
        <f t="shared" si="2"/>
        <v>2.794117647058823</v>
      </c>
      <c r="G21" s="38">
        <f>COUNTIF(Vertices[In-Degree],"&gt;= "&amp;F21)-COUNTIF(Vertices[In-Degree],"&gt;="&amp;F22)</f>
        <v>0</v>
      </c>
      <c r="H21" s="37">
        <f t="shared" si="3"/>
        <v>1.6764705882352935</v>
      </c>
      <c r="I21" s="38">
        <f>COUNTIF(Vertices[Out-Degree],"&gt;= "&amp;H21)-COUNTIF(Vertices[Out-Degree],"&gt;="&amp;H22)</f>
        <v>0</v>
      </c>
      <c r="J21" s="37">
        <f t="shared" si="4"/>
        <v>14.529411764705888</v>
      </c>
      <c r="K21" s="38">
        <f>COUNTIF(Vertices[Betweenness Centrality],"&gt;= "&amp;J21)-COUNTIF(Vertices[Betweenness Centrality],"&gt;="&amp;J22)</f>
        <v>0</v>
      </c>
      <c r="L21" s="37">
        <f t="shared" si="5"/>
        <v>0.1806296470588235</v>
      </c>
      <c r="M21" s="38">
        <f>COUNTIF(Vertices[Closeness Centrality],"&gt;= "&amp;L21)-COUNTIF(Vertices[Closeness Centrality],"&gt;="&amp;L22)</f>
        <v>0</v>
      </c>
      <c r="N21" s="37">
        <f t="shared" si="6"/>
        <v>0.2874655294117646</v>
      </c>
      <c r="O21" s="38">
        <f>COUNTIF(Vertices[Eigenvector Centrality],"&gt;= "&amp;N21)-COUNTIF(Vertices[Eigenvector Centrality],"&gt;="&amp;N22)</f>
        <v>0</v>
      </c>
      <c r="P21" s="37">
        <f t="shared" si="7"/>
        <v>0.055607029411764756</v>
      </c>
      <c r="Q21" s="38">
        <f>COUNTIF(Vertices[PageRank],"&gt;= "&amp;P21)-COUNTIF(Vertices[PageRank],"&gt;="&amp;P22)</f>
        <v>0</v>
      </c>
      <c r="R21" s="37">
        <f t="shared" si="8"/>
        <v>0.27941176470588236</v>
      </c>
      <c r="S21" s="42">
        <f>COUNTIF(Vertices[Clustering Coefficient],"&gt;= "&amp;R21)-COUNTIF(Vertices[Clustering Coefficient],"&gt;="&amp;R22)</f>
        <v>0</v>
      </c>
      <c r="T21" s="37" t="e">
        <f ca="1" t="shared" si="9"/>
        <v>#REF!</v>
      </c>
      <c r="U21" s="38" t="e">
        <f ca="1" t="shared" si="0"/>
        <v>#REF!</v>
      </c>
    </row>
    <row r="22" spans="1:21" ht="15">
      <c r="A22" s="32" t="s">
        <v>152</v>
      </c>
      <c r="B22" s="32">
        <v>7</v>
      </c>
      <c r="D22" s="30">
        <f t="shared" si="1"/>
        <v>0</v>
      </c>
      <c r="E22">
        <f>COUNTIF(Vertices[Degree],"&gt;= "&amp;D22)-COUNTIF(Vertices[Degree],"&gt;="&amp;D23)</f>
        <v>0</v>
      </c>
      <c r="F22" s="35">
        <f t="shared" si="2"/>
        <v>2.9411764705882346</v>
      </c>
      <c r="G22" s="36">
        <f>COUNTIF(Vertices[In-Degree],"&gt;= "&amp;F22)-COUNTIF(Vertices[In-Degree],"&gt;="&amp;F23)</f>
        <v>1</v>
      </c>
      <c r="H22" s="35">
        <f t="shared" si="3"/>
        <v>1.7647058823529405</v>
      </c>
      <c r="I22" s="36">
        <f>COUNTIF(Vertices[Out-Degree],"&gt;= "&amp;H22)-COUNTIF(Vertices[Out-Degree],"&gt;="&amp;H23)</f>
        <v>0</v>
      </c>
      <c r="J22" s="35">
        <f t="shared" si="4"/>
        <v>15.29411764705883</v>
      </c>
      <c r="K22" s="36">
        <f>COUNTIF(Vertices[Betweenness Centrality],"&gt;= "&amp;J22)-COUNTIF(Vertices[Betweenness Centrality],"&gt;="&amp;J23)</f>
        <v>0</v>
      </c>
      <c r="L22" s="35">
        <f t="shared" si="5"/>
        <v>0.19013647058823527</v>
      </c>
      <c r="M22" s="36">
        <f>COUNTIF(Vertices[Closeness Centrality],"&gt;= "&amp;L22)-COUNTIF(Vertices[Closeness Centrality],"&gt;="&amp;L23)</f>
        <v>1</v>
      </c>
      <c r="N22" s="35">
        <f t="shared" si="6"/>
        <v>0.30259529411764696</v>
      </c>
      <c r="O22" s="36">
        <f>COUNTIF(Vertices[Eigenvector Centrality],"&gt;= "&amp;N22)-COUNTIF(Vertices[Eigenvector Centrality],"&gt;="&amp;N23)</f>
        <v>0</v>
      </c>
      <c r="P22" s="35">
        <f t="shared" si="7"/>
        <v>0.05609629411764711</v>
      </c>
      <c r="Q22" s="36">
        <f>COUNTIF(Vertices[PageRank],"&gt;= "&amp;P22)-COUNTIF(Vertices[PageRank],"&gt;="&amp;P23)</f>
        <v>1</v>
      </c>
      <c r="R22" s="35">
        <f t="shared" si="8"/>
        <v>0.29411764705882354</v>
      </c>
      <c r="S22" s="41">
        <f>COUNTIF(Vertices[Clustering Coefficient],"&gt;= "&amp;R22)-COUNTIF(Vertices[Clustering Coefficient],"&gt;="&amp;R23)</f>
        <v>0</v>
      </c>
      <c r="T22" s="35" t="e">
        <f ca="1" t="shared" si="9"/>
        <v>#REF!</v>
      </c>
      <c r="U22" s="36" t="e">
        <f ca="1" t="shared" si="0"/>
        <v>#REF!</v>
      </c>
    </row>
    <row r="23" spans="1:21" ht="15">
      <c r="A23" s="32" t="s">
        <v>153</v>
      </c>
      <c r="B23" s="32">
        <v>3</v>
      </c>
      <c r="D23" s="30">
        <f t="shared" si="1"/>
        <v>0</v>
      </c>
      <c r="E23">
        <f>COUNTIF(Vertices[Degree],"&gt;= "&amp;D23)-COUNTIF(Vertices[Degree],"&gt;="&amp;D24)</f>
        <v>0</v>
      </c>
      <c r="F23" s="37">
        <f t="shared" si="2"/>
        <v>3.0882352941176463</v>
      </c>
      <c r="G23" s="38">
        <f>COUNTIF(Vertices[In-Degree],"&gt;= "&amp;F23)-COUNTIF(Vertices[In-Degree],"&gt;="&amp;F24)</f>
        <v>0</v>
      </c>
      <c r="H23" s="37">
        <f t="shared" si="3"/>
        <v>1.8529411764705874</v>
      </c>
      <c r="I23" s="38">
        <f>COUNTIF(Vertices[Out-Degree],"&gt;= "&amp;H23)-COUNTIF(Vertices[Out-Degree],"&gt;="&amp;H24)</f>
        <v>0</v>
      </c>
      <c r="J23" s="37">
        <f t="shared" si="4"/>
        <v>16.05882352941177</v>
      </c>
      <c r="K23" s="38">
        <f>COUNTIF(Vertices[Betweenness Centrality],"&gt;= "&amp;J23)-COUNTIF(Vertices[Betweenness Centrality],"&gt;="&amp;J24)</f>
        <v>0</v>
      </c>
      <c r="L23" s="37">
        <f t="shared" si="5"/>
        <v>0.19964329411764703</v>
      </c>
      <c r="M23" s="38">
        <f>COUNTIF(Vertices[Closeness Centrality],"&gt;= "&amp;L23)-COUNTIF(Vertices[Closeness Centrality],"&gt;="&amp;L24)</f>
        <v>0</v>
      </c>
      <c r="N23" s="37">
        <f t="shared" si="6"/>
        <v>0.3177250588235293</v>
      </c>
      <c r="O23" s="38">
        <f>COUNTIF(Vertices[Eigenvector Centrality],"&gt;= "&amp;N23)-COUNTIF(Vertices[Eigenvector Centrality],"&gt;="&amp;N24)</f>
        <v>0</v>
      </c>
      <c r="P23" s="37">
        <f t="shared" si="7"/>
        <v>0.05658555882352947</v>
      </c>
      <c r="Q23" s="38">
        <f>COUNTIF(Vertices[PageRank],"&gt;= "&amp;P23)-COUNTIF(Vertices[PageRank],"&gt;="&amp;P24)</f>
        <v>0</v>
      </c>
      <c r="R23" s="37">
        <f t="shared" si="8"/>
        <v>0.3088235294117647</v>
      </c>
      <c r="S23" s="42">
        <f>COUNTIF(Vertices[Clustering Coefficient],"&gt;= "&amp;R23)-COUNTIF(Vertices[Clustering Coefficient],"&gt;="&amp;R24)</f>
        <v>0</v>
      </c>
      <c r="T23" s="37" t="e">
        <f ca="1" t="shared" si="9"/>
        <v>#REF!</v>
      </c>
      <c r="U23" s="38" t="e">
        <f ca="1" t="shared" si="0"/>
        <v>#REF!</v>
      </c>
    </row>
    <row r="24" spans="1:21" ht="15">
      <c r="A24" s="32" t="s">
        <v>154</v>
      </c>
      <c r="B24" s="32">
        <v>9</v>
      </c>
      <c r="D24" s="30">
        <f t="shared" si="1"/>
        <v>0</v>
      </c>
      <c r="E24">
        <f>COUNTIF(Vertices[Degree],"&gt;= "&amp;D24)-COUNTIF(Vertices[Degree],"&gt;="&amp;D25)</f>
        <v>0</v>
      </c>
      <c r="F24" s="35">
        <f t="shared" si="2"/>
        <v>3.235294117647058</v>
      </c>
      <c r="G24" s="36">
        <f>COUNTIF(Vertices[In-Degree],"&gt;= "&amp;F24)-COUNTIF(Vertices[In-Degree],"&gt;="&amp;F25)</f>
        <v>0</v>
      </c>
      <c r="H24" s="35">
        <f t="shared" si="3"/>
        <v>1.9411764705882344</v>
      </c>
      <c r="I24" s="36">
        <f>COUNTIF(Vertices[Out-Degree],"&gt;= "&amp;H24)-COUNTIF(Vertices[Out-Degree],"&gt;="&amp;H25)</f>
        <v>3</v>
      </c>
      <c r="J24" s="35">
        <f t="shared" si="4"/>
        <v>16.823529411764714</v>
      </c>
      <c r="K24" s="36">
        <f>COUNTIF(Vertices[Betweenness Centrality],"&gt;= "&amp;J24)-COUNTIF(Vertices[Betweenness Centrality],"&gt;="&amp;J25)</f>
        <v>1</v>
      </c>
      <c r="L24" s="35">
        <f t="shared" si="5"/>
        <v>0.2091501176470588</v>
      </c>
      <c r="M24" s="36">
        <f>COUNTIF(Vertices[Closeness Centrality],"&gt;= "&amp;L24)-COUNTIF(Vertices[Closeness Centrality],"&gt;="&amp;L25)</f>
        <v>0</v>
      </c>
      <c r="N24" s="35">
        <f t="shared" si="6"/>
        <v>0.33285482352941165</v>
      </c>
      <c r="O24" s="36">
        <f>COUNTIF(Vertices[Eigenvector Centrality],"&gt;= "&amp;N24)-COUNTIF(Vertices[Eigenvector Centrality],"&gt;="&amp;N25)</f>
        <v>3</v>
      </c>
      <c r="P24" s="35">
        <f t="shared" si="7"/>
        <v>0.057074823529411824</v>
      </c>
      <c r="Q24" s="36">
        <f>COUNTIF(Vertices[PageRank],"&gt;= "&amp;P24)-COUNTIF(Vertices[PageRank],"&gt;="&amp;P25)</f>
        <v>0</v>
      </c>
      <c r="R24" s="35">
        <f t="shared" si="8"/>
        <v>0.3235294117647059</v>
      </c>
      <c r="S24" s="41">
        <f>COUNTIF(Vertices[Clustering Coefficient],"&gt;= "&amp;R24)-COUNTIF(Vertices[Clustering Coefficient],"&gt;="&amp;R25)</f>
        <v>3</v>
      </c>
      <c r="T24" s="35" t="e">
        <f ca="1" t="shared" si="9"/>
        <v>#REF!</v>
      </c>
      <c r="U24" s="36" t="e">
        <f ca="1" t="shared" si="0"/>
        <v>#REF!</v>
      </c>
    </row>
    <row r="25" spans="1:21" ht="15">
      <c r="A25" s="32" t="s">
        <v>155</v>
      </c>
      <c r="B25" s="32">
        <v>14</v>
      </c>
      <c r="D25" s="30">
        <f t="shared" si="1"/>
        <v>0</v>
      </c>
      <c r="E25">
        <f>COUNTIF(Vertices[Degree],"&gt;= "&amp;D25)-COUNTIF(Vertices[Degree],"&gt;="&amp;D26)</f>
        <v>0</v>
      </c>
      <c r="F25" s="37">
        <f t="shared" si="2"/>
        <v>3.3823529411764697</v>
      </c>
      <c r="G25" s="38">
        <f>COUNTIF(Vertices[In-Degree],"&gt;= "&amp;F25)-COUNTIF(Vertices[In-Degree],"&gt;="&amp;F26)</f>
        <v>0</v>
      </c>
      <c r="H25" s="37">
        <f t="shared" si="3"/>
        <v>2.0294117647058814</v>
      </c>
      <c r="I25" s="38">
        <f>COUNTIF(Vertices[Out-Degree],"&gt;= "&amp;H25)-COUNTIF(Vertices[Out-Degree],"&gt;="&amp;H26)</f>
        <v>0</v>
      </c>
      <c r="J25" s="37">
        <f t="shared" si="4"/>
        <v>17.588235294117656</v>
      </c>
      <c r="K25" s="38">
        <f>COUNTIF(Vertices[Betweenness Centrality],"&gt;= "&amp;J25)-COUNTIF(Vertices[Betweenness Centrality],"&gt;="&amp;J26)</f>
        <v>0</v>
      </c>
      <c r="L25" s="37">
        <f t="shared" si="5"/>
        <v>0.21865694117647055</v>
      </c>
      <c r="M25" s="38">
        <f>COUNTIF(Vertices[Closeness Centrality],"&gt;= "&amp;L25)-COUNTIF(Vertices[Closeness Centrality],"&gt;="&amp;L26)</f>
        <v>1</v>
      </c>
      <c r="N25" s="37">
        <f t="shared" si="6"/>
        <v>0.347984588235294</v>
      </c>
      <c r="O25" s="38">
        <f>COUNTIF(Vertices[Eigenvector Centrality],"&gt;= "&amp;N25)-COUNTIF(Vertices[Eigenvector Centrality],"&gt;="&amp;N26)</f>
        <v>0</v>
      </c>
      <c r="P25" s="37">
        <f t="shared" si="7"/>
        <v>0.05756408823529418</v>
      </c>
      <c r="Q25" s="38">
        <f>COUNTIF(Vertices[PageRank],"&gt;= "&amp;P25)-COUNTIF(Vertices[PageRank],"&gt;="&amp;P26)</f>
        <v>1</v>
      </c>
      <c r="R25" s="37">
        <f t="shared" si="8"/>
        <v>0.3382352941176471</v>
      </c>
      <c r="S25" s="42">
        <f>COUNTIF(Vertices[Clustering Coefficient],"&gt;= "&amp;R25)-COUNTIF(Vertices[Clustering Coefficient],"&gt;="&amp;R26)</f>
        <v>0</v>
      </c>
      <c r="T25" s="37" t="e">
        <f ca="1" t="shared" si="9"/>
        <v>#REF!</v>
      </c>
      <c r="U25" s="38" t="e">
        <f ca="1" t="shared" si="0"/>
        <v>#REF!</v>
      </c>
    </row>
    <row r="26" spans="1:21" ht="15">
      <c r="A26" s="135"/>
      <c r="B26" s="135"/>
      <c r="D26" s="30">
        <f t="shared" si="1"/>
        <v>0</v>
      </c>
      <c r="E26">
        <f>COUNTIF(Vertices[Degree],"&gt;= "&amp;D26)-COUNTIF(Vertices[Degree],"&gt;="&amp;D27)</f>
        <v>0</v>
      </c>
      <c r="F26" s="35">
        <f t="shared" si="2"/>
        <v>3.5294117647058814</v>
      </c>
      <c r="G26" s="36">
        <f>COUNTIF(Vertices[In-Degree],"&gt;= "&amp;F26)-COUNTIF(Vertices[In-Degree],"&gt;="&amp;F27)</f>
        <v>0</v>
      </c>
      <c r="H26" s="35">
        <f t="shared" si="3"/>
        <v>2.1176470588235285</v>
      </c>
      <c r="I26" s="36">
        <f>COUNTIF(Vertices[Out-Degree],"&gt;= "&amp;H26)-COUNTIF(Vertices[Out-Degree],"&gt;="&amp;H27)</f>
        <v>0</v>
      </c>
      <c r="J26" s="35">
        <f t="shared" si="4"/>
        <v>18.352941176470598</v>
      </c>
      <c r="K26" s="36">
        <f>COUNTIF(Vertices[Betweenness Centrality],"&gt;= "&amp;J26)-COUNTIF(Vertices[Betweenness Centrality],"&gt;="&amp;J27)</f>
        <v>0</v>
      </c>
      <c r="L26" s="35">
        <f t="shared" si="5"/>
        <v>0.22816376470588232</v>
      </c>
      <c r="M26" s="36">
        <f>COUNTIF(Vertices[Closeness Centrality],"&gt;= "&amp;L26)-COUNTIF(Vertices[Closeness Centrality],"&gt;="&amp;L27)</f>
        <v>1</v>
      </c>
      <c r="N26" s="35">
        <f t="shared" si="6"/>
        <v>0.36311435294117633</v>
      </c>
      <c r="O26" s="36">
        <f>COUNTIF(Vertices[Eigenvector Centrality],"&gt;= "&amp;N26)-COUNTIF(Vertices[Eigenvector Centrality],"&gt;="&amp;N27)</f>
        <v>0</v>
      </c>
      <c r="P26" s="35">
        <f t="shared" si="7"/>
        <v>0.058053352941176535</v>
      </c>
      <c r="Q26" s="36">
        <f>COUNTIF(Vertices[PageRank],"&gt;= "&amp;P26)-COUNTIF(Vertices[PageRank],"&gt;="&amp;P27)</f>
        <v>0</v>
      </c>
      <c r="R26" s="35">
        <f t="shared" si="8"/>
        <v>0.35294117647058826</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156</v>
      </c>
      <c r="B27" s="32">
        <v>4</v>
      </c>
      <c r="D27" s="30">
        <f t="shared" si="1"/>
        <v>0</v>
      </c>
      <c r="E27">
        <f>COUNTIF(Vertices[Degree],"&gt;= "&amp;D27)-COUNTIF(Vertices[Degree],"&gt;="&amp;D28)</f>
        <v>0</v>
      </c>
      <c r="F27" s="37">
        <f t="shared" si="2"/>
        <v>3.676470588235293</v>
      </c>
      <c r="G27" s="38">
        <f>COUNTIF(Vertices[In-Degree],"&gt;= "&amp;F27)-COUNTIF(Vertices[In-Degree],"&gt;="&amp;F28)</f>
        <v>0</v>
      </c>
      <c r="H27" s="37">
        <f t="shared" si="3"/>
        <v>2.2058823529411757</v>
      </c>
      <c r="I27" s="38">
        <f>COUNTIF(Vertices[Out-Degree],"&gt;= "&amp;H27)-COUNTIF(Vertices[Out-Degree],"&gt;="&amp;H28)</f>
        <v>0</v>
      </c>
      <c r="J27" s="37">
        <f t="shared" si="4"/>
        <v>19.11764705882354</v>
      </c>
      <c r="K27" s="38">
        <f>COUNTIF(Vertices[Betweenness Centrality],"&gt;= "&amp;J27)-COUNTIF(Vertices[Betweenness Centrality],"&gt;="&amp;J28)</f>
        <v>0</v>
      </c>
      <c r="L27" s="37">
        <f t="shared" si="5"/>
        <v>0.23767058823529408</v>
      </c>
      <c r="M27" s="38">
        <f>COUNTIF(Vertices[Closeness Centrality],"&gt;= "&amp;L27)-COUNTIF(Vertices[Closeness Centrality],"&gt;="&amp;L28)</f>
        <v>0</v>
      </c>
      <c r="N27" s="37">
        <f t="shared" si="6"/>
        <v>0.3782441176470587</v>
      </c>
      <c r="O27" s="38">
        <f>COUNTIF(Vertices[Eigenvector Centrality],"&gt;= "&amp;N27)-COUNTIF(Vertices[Eigenvector Centrality],"&gt;="&amp;N28)</f>
        <v>0</v>
      </c>
      <c r="P27" s="37">
        <f t="shared" si="7"/>
        <v>0.05854261764705889</v>
      </c>
      <c r="Q27" s="38">
        <f>COUNTIF(Vertices[PageRank],"&gt;= "&amp;P27)-COUNTIF(Vertices[PageRank],"&gt;="&amp;P28)</f>
        <v>0</v>
      </c>
      <c r="R27" s="37">
        <f t="shared" si="8"/>
        <v>0.36764705882352944</v>
      </c>
      <c r="S27" s="42">
        <f>COUNTIF(Vertices[Clustering Coefficient],"&gt;= "&amp;R27)-COUNTIF(Vertices[Clustering Coefficient],"&gt;="&amp;R28)</f>
        <v>0</v>
      </c>
      <c r="T27" s="37" t="e">
        <f ca="1" t="shared" si="9"/>
        <v>#REF!</v>
      </c>
      <c r="U27" s="38" t="e">
        <f ca="1" t="shared" si="10"/>
        <v>#REF!</v>
      </c>
    </row>
    <row r="28" spans="1:21" ht="15">
      <c r="A28" s="32" t="s">
        <v>157</v>
      </c>
      <c r="B28" s="32">
        <v>1.445545</v>
      </c>
      <c r="D28" s="30">
        <f t="shared" si="1"/>
        <v>0</v>
      </c>
      <c r="E28">
        <f>COUNTIF(Vertices[Degree],"&gt;= "&amp;D28)-COUNTIF(Vertices[Degree],"&gt;="&amp;D29)</f>
        <v>0</v>
      </c>
      <c r="F28" s="35">
        <f t="shared" si="2"/>
        <v>3.8235294117647047</v>
      </c>
      <c r="G28" s="36">
        <f>COUNTIF(Vertices[In-Degree],"&gt;= "&amp;F28)-COUNTIF(Vertices[In-Degree],"&gt;="&amp;F29)</f>
        <v>0</v>
      </c>
      <c r="H28" s="35">
        <f t="shared" si="3"/>
        <v>2.294117647058823</v>
      </c>
      <c r="I28" s="36">
        <f>COUNTIF(Vertices[Out-Degree],"&gt;= "&amp;H28)-COUNTIF(Vertices[Out-Degree],"&gt;="&amp;H29)</f>
        <v>0</v>
      </c>
      <c r="J28" s="35">
        <f t="shared" si="4"/>
        <v>19.88235294117648</v>
      </c>
      <c r="K28" s="36">
        <f>COUNTIF(Vertices[Betweenness Centrality],"&gt;= "&amp;J28)-COUNTIF(Vertices[Betweenness Centrality],"&gt;="&amp;J29)</f>
        <v>0</v>
      </c>
      <c r="L28" s="35">
        <f t="shared" si="5"/>
        <v>0.24717741176470584</v>
      </c>
      <c r="M28" s="36">
        <f>COUNTIF(Vertices[Closeness Centrality],"&gt;= "&amp;L28)-COUNTIF(Vertices[Closeness Centrality],"&gt;="&amp;L29)</f>
        <v>3</v>
      </c>
      <c r="N28" s="35">
        <f t="shared" si="6"/>
        <v>0.393373882352941</v>
      </c>
      <c r="O28" s="36">
        <f>COUNTIF(Vertices[Eigenvector Centrality],"&gt;= "&amp;N28)-COUNTIF(Vertices[Eigenvector Centrality],"&gt;="&amp;N29)</f>
        <v>1</v>
      </c>
      <c r="P28" s="35">
        <f t="shared" si="7"/>
        <v>0.059031882352941246</v>
      </c>
      <c r="Q28" s="36">
        <f>COUNTIF(Vertices[PageRank],"&gt;= "&amp;P28)-COUNTIF(Vertices[PageRank],"&gt;="&amp;P29)</f>
        <v>0</v>
      </c>
      <c r="R28" s="35">
        <f t="shared" si="8"/>
        <v>0.3823529411764706</v>
      </c>
      <c r="S28" s="41">
        <f>COUNTIF(Vertices[Clustering Coefficient],"&gt;= "&amp;R28)-COUNTIF(Vertices[Clustering Coefficient],"&gt;="&amp;R29)</f>
        <v>0</v>
      </c>
      <c r="T28" s="35" t="e">
        <f ca="1" t="shared" si="9"/>
        <v>#REF!</v>
      </c>
      <c r="U28" s="36" t="e">
        <f ca="1" t="shared" si="10"/>
        <v>#REF!</v>
      </c>
    </row>
    <row r="29" spans="1:21" ht="15">
      <c r="A29" s="135"/>
      <c r="B29" s="135"/>
      <c r="D29" s="30">
        <f t="shared" si="1"/>
        <v>0</v>
      </c>
      <c r="E29">
        <f>COUNTIF(Vertices[Degree],"&gt;= "&amp;D29)-COUNTIF(Vertices[Degree],"&gt;="&amp;D30)</f>
        <v>0</v>
      </c>
      <c r="F29" s="37">
        <f t="shared" si="2"/>
        <v>3.9705882352941164</v>
      </c>
      <c r="G29" s="38">
        <f>COUNTIF(Vertices[In-Degree],"&gt;= "&amp;F29)-COUNTIF(Vertices[In-Degree],"&gt;="&amp;F30)</f>
        <v>1</v>
      </c>
      <c r="H29" s="37">
        <f t="shared" si="3"/>
        <v>2.38235294117647</v>
      </c>
      <c r="I29" s="38">
        <f>COUNTIF(Vertices[Out-Degree],"&gt;= "&amp;H29)-COUNTIF(Vertices[Out-Degree],"&gt;="&amp;H30)</f>
        <v>0</v>
      </c>
      <c r="J29" s="37">
        <f t="shared" si="4"/>
        <v>20.647058823529424</v>
      </c>
      <c r="K29" s="38">
        <f>COUNTIF(Vertices[Betweenness Centrality],"&gt;= "&amp;J29)-COUNTIF(Vertices[Betweenness Centrality],"&gt;="&amp;J30)</f>
        <v>0</v>
      </c>
      <c r="L29" s="37">
        <f t="shared" si="5"/>
        <v>0.2566842352941176</v>
      </c>
      <c r="M29" s="38">
        <f>COUNTIF(Vertices[Closeness Centrality],"&gt;= "&amp;L29)-COUNTIF(Vertices[Closeness Centrality],"&gt;="&amp;L30)</f>
        <v>0</v>
      </c>
      <c r="N29" s="37">
        <f t="shared" si="6"/>
        <v>0.40850364705882336</v>
      </c>
      <c r="O29" s="38">
        <f>COUNTIF(Vertices[Eigenvector Centrality],"&gt;= "&amp;N29)-COUNTIF(Vertices[Eigenvector Centrality],"&gt;="&amp;N30)</f>
        <v>0</v>
      </c>
      <c r="P29" s="37">
        <f t="shared" si="7"/>
        <v>0.0595211470588236</v>
      </c>
      <c r="Q29" s="38">
        <f>COUNTIF(Vertices[PageRank],"&gt;= "&amp;P29)-COUNTIF(Vertices[PageRank],"&gt;="&amp;P30)</f>
        <v>0</v>
      </c>
      <c r="R29" s="37">
        <f t="shared" si="8"/>
        <v>0.3970588235294118</v>
      </c>
      <c r="S29" s="42">
        <f>COUNTIF(Vertices[Clustering Coefficient],"&gt;= "&amp;R29)-COUNTIF(Vertices[Clustering Coefficient],"&gt;="&amp;R30)</f>
        <v>0</v>
      </c>
      <c r="T29" s="37" t="e">
        <f ca="1" t="shared" si="9"/>
        <v>#REF!</v>
      </c>
      <c r="U29" s="38" t="e">
        <f ca="1" t="shared" si="10"/>
        <v>#REF!</v>
      </c>
    </row>
    <row r="30" spans="1:21" ht="15">
      <c r="A30" s="32" t="s">
        <v>158</v>
      </c>
      <c r="B30" s="32">
        <v>0.05555555555555555</v>
      </c>
      <c r="D30" s="30">
        <f t="shared" si="1"/>
        <v>0</v>
      </c>
      <c r="E30">
        <f>COUNTIF(Vertices[Degree],"&gt;= "&amp;D30)-COUNTIF(Vertices[Degree],"&gt;="&amp;D31)</f>
        <v>0</v>
      </c>
      <c r="F30" s="35">
        <f t="shared" si="2"/>
        <v>4.117647058823528</v>
      </c>
      <c r="G30" s="36">
        <f>COUNTIF(Vertices[In-Degree],"&gt;= "&amp;F30)-COUNTIF(Vertices[In-Degree],"&gt;="&amp;F31)</f>
        <v>0</v>
      </c>
      <c r="H30" s="35">
        <f t="shared" si="3"/>
        <v>2.4705882352941173</v>
      </c>
      <c r="I30" s="36">
        <f>COUNTIF(Vertices[Out-Degree],"&gt;= "&amp;H30)-COUNTIF(Vertices[Out-Degree],"&gt;="&amp;H31)</f>
        <v>0</v>
      </c>
      <c r="J30" s="35">
        <f t="shared" si="4"/>
        <v>21.411764705882366</v>
      </c>
      <c r="K30" s="36">
        <f>COUNTIF(Vertices[Betweenness Centrality],"&gt;= "&amp;J30)-COUNTIF(Vertices[Betweenness Centrality],"&gt;="&amp;J31)</f>
        <v>0</v>
      </c>
      <c r="L30" s="35">
        <f t="shared" si="5"/>
        <v>0.2661910588235294</v>
      </c>
      <c r="M30" s="36">
        <f>COUNTIF(Vertices[Closeness Centrality],"&gt;= "&amp;L30)-COUNTIF(Vertices[Closeness Centrality],"&gt;="&amp;L31)</f>
        <v>0</v>
      </c>
      <c r="N30" s="35">
        <f t="shared" si="6"/>
        <v>0.4236334117647057</v>
      </c>
      <c r="O30" s="36">
        <f>COUNTIF(Vertices[Eigenvector Centrality],"&gt;= "&amp;N30)-COUNTIF(Vertices[Eigenvector Centrality],"&gt;="&amp;N31)</f>
        <v>1</v>
      </c>
      <c r="P30" s="35">
        <f t="shared" si="7"/>
        <v>0.06001041176470596</v>
      </c>
      <c r="Q30" s="36">
        <f>COUNTIF(Vertices[PageRank],"&gt;= "&amp;P30)-COUNTIF(Vertices[PageRank],"&gt;="&amp;P31)</f>
        <v>0</v>
      </c>
      <c r="R30" s="35">
        <f t="shared" si="8"/>
        <v>0.411764705882353</v>
      </c>
      <c r="S30" s="41">
        <f>COUNTIF(Vertices[Clustering Coefficient],"&gt;= "&amp;R30)-COUNTIF(Vertices[Clustering Coefficient],"&gt;="&amp;R31)</f>
        <v>0</v>
      </c>
      <c r="T30" s="35" t="e">
        <f ca="1" t="shared" si="9"/>
        <v>#REF!</v>
      </c>
      <c r="U30" s="36" t="e">
        <f ca="1" t="shared" si="10"/>
        <v>#REF!</v>
      </c>
    </row>
    <row r="31" spans="1:21" ht="15">
      <c r="A31" s="32" t="s">
        <v>751</v>
      </c>
      <c r="B31" s="32">
        <v>0.5584</v>
      </c>
      <c r="D31" s="30">
        <f t="shared" si="1"/>
        <v>0</v>
      </c>
      <c r="E31">
        <f>COUNTIF(Vertices[Degree],"&gt;= "&amp;D31)-COUNTIF(Vertices[Degree],"&gt;="&amp;D32)</f>
        <v>0</v>
      </c>
      <c r="F31" s="37">
        <f t="shared" si="2"/>
        <v>4.26470588235294</v>
      </c>
      <c r="G31" s="38">
        <f>COUNTIF(Vertices[In-Degree],"&gt;= "&amp;F31)-COUNTIF(Vertices[In-Degree],"&gt;="&amp;F32)</f>
        <v>0</v>
      </c>
      <c r="H31" s="37">
        <f t="shared" si="3"/>
        <v>2.5588235294117645</v>
      </c>
      <c r="I31" s="38">
        <f>COUNTIF(Vertices[Out-Degree],"&gt;= "&amp;H31)-COUNTIF(Vertices[Out-Degree],"&gt;="&amp;H32)</f>
        <v>0</v>
      </c>
      <c r="J31" s="37">
        <f t="shared" si="4"/>
        <v>22.176470588235308</v>
      </c>
      <c r="K31" s="38">
        <f>COUNTIF(Vertices[Betweenness Centrality],"&gt;= "&amp;J31)-COUNTIF(Vertices[Betweenness Centrality],"&gt;="&amp;J32)</f>
        <v>0</v>
      </c>
      <c r="L31" s="37">
        <f t="shared" si="5"/>
        <v>0.2756978823529412</v>
      </c>
      <c r="M31" s="38">
        <f>COUNTIF(Vertices[Closeness Centrality],"&gt;= "&amp;L31)-COUNTIF(Vertices[Closeness Centrality],"&gt;="&amp;L32)</f>
        <v>0</v>
      </c>
      <c r="N31" s="37">
        <f t="shared" si="6"/>
        <v>0.43876317647058805</v>
      </c>
      <c r="O31" s="38">
        <f>COUNTIF(Vertices[Eigenvector Centrality],"&gt;= "&amp;N31)-COUNTIF(Vertices[Eigenvector Centrality],"&gt;="&amp;N32)</f>
        <v>0</v>
      </c>
      <c r="P31" s="37">
        <f t="shared" si="7"/>
        <v>0.060499676470588314</v>
      </c>
      <c r="Q31" s="38">
        <f>COUNTIF(Vertices[PageRank],"&gt;= "&amp;P31)-COUNTIF(Vertices[PageRank],"&gt;="&amp;P32)</f>
        <v>0</v>
      </c>
      <c r="R31" s="37">
        <f t="shared" si="8"/>
        <v>0.42647058823529416</v>
      </c>
      <c r="S31" s="42">
        <f>COUNTIF(Vertices[Clustering Coefficient],"&gt;= "&amp;R31)-COUNTIF(Vertices[Clustering Coefficient],"&gt;="&amp;R32)</f>
        <v>0</v>
      </c>
      <c r="T31" s="37" t="e">
        <f ca="1" t="shared" si="9"/>
        <v>#REF!</v>
      </c>
      <c r="U31" s="38" t="e">
        <f ca="1" t="shared" si="10"/>
        <v>#REF!</v>
      </c>
    </row>
    <row r="32" spans="1:21" ht="15">
      <c r="A32" s="135"/>
      <c r="B32" s="135"/>
      <c r="D32" s="30">
        <f t="shared" si="1"/>
        <v>0</v>
      </c>
      <c r="E32">
        <f>COUNTIF(Vertices[Degree],"&gt;= "&amp;D32)-COUNTIF(Vertices[Degree],"&gt;="&amp;D33)</f>
        <v>0</v>
      </c>
      <c r="F32" s="35">
        <f t="shared" si="2"/>
        <v>4.411764705882352</v>
      </c>
      <c r="G32" s="36">
        <f>COUNTIF(Vertices[In-Degree],"&gt;= "&amp;F32)-COUNTIF(Vertices[In-Degree],"&gt;="&amp;F33)</f>
        <v>0</v>
      </c>
      <c r="H32" s="35">
        <f t="shared" si="3"/>
        <v>2.6470588235294117</v>
      </c>
      <c r="I32" s="36">
        <f>COUNTIF(Vertices[Out-Degree],"&gt;= "&amp;H32)-COUNTIF(Vertices[Out-Degree],"&gt;="&amp;H33)</f>
        <v>0</v>
      </c>
      <c r="J32" s="35">
        <f t="shared" si="4"/>
        <v>22.94117647058825</v>
      </c>
      <c r="K32" s="36">
        <f>COUNTIF(Vertices[Betweenness Centrality],"&gt;= "&amp;J32)-COUNTIF(Vertices[Betweenness Centrality],"&gt;="&amp;J33)</f>
        <v>0</v>
      </c>
      <c r="L32" s="35">
        <f t="shared" si="5"/>
        <v>0.28520470588235297</v>
      </c>
      <c r="M32" s="36">
        <f>COUNTIF(Vertices[Closeness Centrality],"&gt;= "&amp;L32)-COUNTIF(Vertices[Closeness Centrality],"&gt;="&amp;L33)</f>
        <v>0</v>
      </c>
      <c r="N32" s="35">
        <f t="shared" si="6"/>
        <v>0.4538929411764704</v>
      </c>
      <c r="O32" s="36">
        <f>COUNTIF(Vertices[Eigenvector Centrality],"&gt;= "&amp;N32)-COUNTIF(Vertices[Eigenvector Centrality],"&gt;="&amp;N33)</f>
        <v>0</v>
      </c>
      <c r="P32" s="35">
        <f t="shared" si="7"/>
        <v>0.06098894117647067</v>
      </c>
      <c r="Q32" s="36">
        <f>COUNTIF(Vertices[PageRank],"&gt;= "&amp;P32)-COUNTIF(Vertices[PageRank],"&gt;="&amp;P33)</f>
        <v>0</v>
      </c>
      <c r="R32" s="35">
        <f t="shared" si="8"/>
        <v>0.44117647058823534</v>
      </c>
      <c r="S32" s="41">
        <f>COUNTIF(Vertices[Clustering Coefficient],"&gt;= "&amp;R32)-COUNTIF(Vertices[Clustering Coefficient],"&gt;="&amp;R33)</f>
        <v>0</v>
      </c>
      <c r="T32" s="35" t="e">
        <f ca="1" t="shared" si="9"/>
        <v>#REF!</v>
      </c>
      <c r="U32" s="36" t="e">
        <f ca="1" t="shared" si="10"/>
        <v>#REF!</v>
      </c>
    </row>
    <row r="33" spans="1:21" ht="15">
      <c r="A33" s="32" t="s">
        <v>752</v>
      </c>
      <c r="B33" s="32" t="s">
        <v>767</v>
      </c>
      <c r="D33" s="30">
        <f t="shared" si="1"/>
        <v>0</v>
      </c>
      <c r="E33">
        <f>COUNTIF(Vertices[Degree],"&gt;= "&amp;D33)-COUNTIF(Vertices[Degree],"&gt;="&amp;D34)</f>
        <v>0</v>
      </c>
      <c r="F33" s="37">
        <f t="shared" si="2"/>
        <v>4.5588235294117645</v>
      </c>
      <c r="G33" s="38">
        <f>COUNTIF(Vertices[In-Degree],"&gt;= "&amp;F33)-COUNTIF(Vertices[In-Degree],"&gt;="&amp;F34)</f>
        <v>0</v>
      </c>
      <c r="H33" s="37">
        <f t="shared" si="3"/>
        <v>2.735294117647059</v>
      </c>
      <c r="I33" s="38">
        <f>COUNTIF(Vertices[Out-Degree],"&gt;= "&amp;H33)-COUNTIF(Vertices[Out-Degree],"&gt;="&amp;H34)</f>
        <v>0</v>
      </c>
      <c r="J33" s="37">
        <f t="shared" si="4"/>
        <v>23.70588235294119</v>
      </c>
      <c r="K33" s="38">
        <f>COUNTIF(Vertices[Betweenness Centrality],"&gt;= "&amp;J33)-COUNTIF(Vertices[Betweenness Centrality],"&gt;="&amp;J34)</f>
        <v>0</v>
      </c>
      <c r="L33" s="37">
        <f t="shared" si="5"/>
        <v>0.29471152941176476</v>
      </c>
      <c r="M33" s="38">
        <f>COUNTIF(Vertices[Closeness Centrality],"&gt;= "&amp;L33)-COUNTIF(Vertices[Closeness Centrality],"&gt;="&amp;L34)</f>
        <v>0</v>
      </c>
      <c r="N33" s="37">
        <f t="shared" si="6"/>
        <v>0.46902270588235273</v>
      </c>
      <c r="O33" s="38">
        <f>COUNTIF(Vertices[Eigenvector Centrality],"&gt;= "&amp;N33)-COUNTIF(Vertices[Eigenvector Centrality],"&gt;="&amp;N34)</f>
        <v>0</v>
      </c>
      <c r="P33" s="37">
        <f t="shared" si="7"/>
        <v>0.061478205882353025</v>
      </c>
      <c r="Q33" s="38">
        <f>COUNTIF(Vertices[PageRank],"&gt;= "&amp;P33)-COUNTIF(Vertices[PageRank],"&gt;="&amp;P34)</f>
        <v>0</v>
      </c>
      <c r="R33" s="37">
        <f t="shared" si="8"/>
        <v>0.4558823529411765</v>
      </c>
      <c r="S33" s="42">
        <f>COUNTIF(Vertices[Clustering Coefficient],"&gt;= "&amp;R33)-COUNTIF(Vertices[Clustering Coefficient],"&gt;="&amp;R34)</f>
        <v>0</v>
      </c>
      <c r="T33" s="37" t="e">
        <f ca="1" t="shared" si="9"/>
        <v>#REF!</v>
      </c>
      <c r="U33" s="38" t="e">
        <f ca="1" t="shared" si="10"/>
        <v>#REF!</v>
      </c>
    </row>
    <row r="34" spans="1:21" ht="15">
      <c r="A34" s="135"/>
      <c r="B34" s="135"/>
      <c r="D34" s="30">
        <f t="shared" si="1"/>
        <v>0</v>
      </c>
      <c r="E34">
        <f>COUNTIF(Vertices[Degree],"&gt;= "&amp;D34)-COUNTIF(Vertices[Degree],"&gt;="&amp;D35)</f>
        <v>0</v>
      </c>
      <c r="F34" s="35">
        <f t="shared" si="2"/>
        <v>4.705882352941177</v>
      </c>
      <c r="G34" s="36">
        <f>COUNTIF(Vertices[In-Degree],"&gt;= "&amp;F34)-COUNTIF(Vertices[In-Degree],"&gt;="&amp;F35)</f>
        <v>0</v>
      </c>
      <c r="H34" s="35">
        <f t="shared" si="3"/>
        <v>2.823529411764706</v>
      </c>
      <c r="I34" s="36">
        <f>COUNTIF(Vertices[Out-Degree],"&gt;= "&amp;H34)-COUNTIF(Vertices[Out-Degree],"&gt;="&amp;H35)</f>
        <v>0</v>
      </c>
      <c r="J34" s="35">
        <f t="shared" si="4"/>
        <v>24.470588235294134</v>
      </c>
      <c r="K34" s="36">
        <f>COUNTIF(Vertices[Betweenness Centrality],"&gt;= "&amp;J34)-COUNTIF(Vertices[Betweenness Centrality],"&gt;="&amp;J35)</f>
        <v>0</v>
      </c>
      <c r="L34" s="35">
        <f t="shared" si="5"/>
        <v>0.30421835294117655</v>
      </c>
      <c r="M34" s="36">
        <f>COUNTIF(Vertices[Closeness Centrality],"&gt;= "&amp;L34)-COUNTIF(Vertices[Closeness Centrality],"&gt;="&amp;L35)</f>
        <v>0</v>
      </c>
      <c r="N34" s="35">
        <f t="shared" si="6"/>
        <v>0.4841524705882351</v>
      </c>
      <c r="O34" s="36">
        <f>COUNTIF(Vertices[Eigenvector Centrality],"&gt;= "&amp;N34)-COUNTIF(Vertices[Eigenvector Centrality],"&gt;="&amp;N35)</f>
        <v>0</v>
      </c>
      <c r="P34" s="35">
        <f t="shared" si="7"/>
        <v>0.06196747058823538</v>
      </c>
      <c r="Q34" s="36">
        <f>COUNTIF(Vertices[PageRank],"&gt;= "&amp;P34)-COUNTIF(Vertices[PageRank],"&gt;="&amp;P35)</f>
        <v>0</v>
      </c>
      <c r="R34" s="35">
        <f t="shared" si="8"/>
        <v>0.4705882352941177</v>
      </c>
      <c r="S34" s="41">
        <f>COUNTIF(Vertices[Clustering Coefficient],"&gt;= "&amp;R34)-COUNTIF(Vertices[Clustering Coefficient],"&gt;="&amp;R35)</f>
        <v>0</v>
      </c>
      <c r="T34" s="35" t="e">
        <f ca="1" t="shared" si="9"/>
        <v>#REF!</v>
      </c>
      <c r="U34" s="36" t="e">
        <f ca="1" t="shared" si="10"/>
        <v>#REF!</v>
      </c>
    </row>
    <row r="35" spans="1:21" ht="15">
      <c r="A35" s="32" t="s">
        <v>753</v>
      </c>
      <c r="B35" s="32" t="s">
        <v>998</v>
      </c>
      <c r="D35" s="30">
        <f t="shared" si="1"/>
        <v>0</v>
      </c>
      <c r="E35">
        <f>COUNTIF(Vertices[Degree],"&gt;= "&amp;D35)-COUNTIF(Vertices[Degree],"&gt;="&amp;D36)</f>
        <v>0</v>
      </c>
      <c r="F35" s="37">
        <f t="shared" si="2"/>
        <v>4.852941176470589</v>
      </c>
      <c r="G35" s="38">
        <f>COUNTIF(Vertices[In-Degree],"&gt;= "&amp;F35)-COUNTIF(Vertices[In-Degree],"&gt;="&amp;F36)</f>
        <v>0</v>
      </c>
      <c r="H35" s="37">
        <f t="shared" si="3"/>
        <v>2.9117647058823533</v>
      </c>
      <c r="I35" s="38">
        <f>COUNTIF(Vertices[Out-Degree],"&gt;= "&amp;H35)-COUNTIF(Vertices[Out-Degree],"&gt;="&amp;H36)</f>
        <v>0</v>
      </c>
      <c r="J35" s="37">
        <f t="shared" si="4"/>
        <v>25.235294117647076</v>
      </c>
      <c r="K35" s="38">
        <f>COUNTIF(Vertices[Betweenness Centrality],"&gt;= "&amp;J35)-COUNTIF(Vertices[Betweenness Centrality],"&gt;="&amp;J36)</f>
        <v>0</v>
      </c>
      <c r="L35" s="37">
        <f t="shared" si="5"/>
        <v>0.31372517647058834</v>
      </c>
      <c r="M35" s="38">
        <f>COUNTIF(Vertices[Closeness Centrality],"&gt;= "&amp;L35)-COUNTIF(Vertices[Closeness Centrality],"&gt;="&amp;L36)</f>
        <v>0</v>
      </c>
      <c r="N35" s="37">
        <f t="shared" si="6"/>
        <v>0.4992822352941174</v>
      </c>
      <c r="O35" s="38">
        <f>COUNTIF(Vertices[Eigenvector Centrality],"&gt;= "&amp;N35)-COUNTIF(Vertices[Eigenvector Centrality],"&gt;="&amp;N36)</f>
        <v>0</v>
      </c>
      <c r="P35" s="37">
        <f t="shared" si="7"/>
        <v>0.062456735294117736</v>
      </c>
      <c r="Q35" s="38">
        <f>COUNTIF(Vertices[PageRank],"&gt;= "&amp;P35)-COUNTIF(Vertices[PageRank],"&gt;="&amp;P36)</f>
        <v>0</v>
      </c>
      <c r="R35" s="37">
        <f t="shared" si="8"/>
        <v>0.4852941176470589</v>
      </c>
      <c r="S35" s="42">
        <f>COUNTIF(Vertices[Clustering Coefficient],"&gt;= "&amp;R35)-COUNTIF(Vertices[Clustering Coefficient],"&gt;="&amp;R36)</f>
        <v>0</v>
      </c>
      <c r="T35" s="37" t="e">
        <f ca="1" t="shared" si="9"/>
        <v>#REF!</v>
      </c>
      <c r="U35" s="38" t="e">
        <f ca="1" t="shared" si="10"/>
        <v>#REF!</v>
      </c>
    </row>
    <row r="36" spans="1:21" ht="15">
      <c r="A36" s="32" t="s">
        <v>754</v>
      </c>
      <c r="B36" s="32" t="s">
        <v>999</v>
      </c>
      <c r="D36" s="30">
        <f>MAX(Vertices[Degree])</f>
        <v>0</v>
      </c>
      <c r="E36">
        <f>COUNTIF(Vertices[Degree],"&gt;= "&amp;D36)-COUNTIF(Vertices[Degree],"&gt;="&amp;#REF!)</f>
        <v>0</v>
      </c>
      <c r="F36" s="39">
        <f>MAX(Vertices[In-Degree])</f>
        <v>5</v>
      </c>
      <c r="G36" s="40">
        <f>COUNTIF(Vertices[In-Degree],"&gt;= "&amp;F36)-COUNTIF(Vertices[In-Degree],"&gt;="&amp;#REF!)</f>
        <v>1</v>
      </c>
      <c r="H36" s="39">
        <f>MAX(Vertices[Out-Degree])</f>
        <v>3</v>
      </c>
      <c r="I36" s="40">
        <f>COUNTIF(Vertices[Out-Degree],"&gt;= "&amp;H36)-COUNTIF(Vertices[Out-Degree],"&gt;="&amp;#REF!)</f>
        <v>4</v>
      </c>
      <c r="J36" s="39">
        <f>MAX(Vertices[Betweenness Centrality])</f>
        <v>26</v>
      </c>
      <c r="K36" s="40">
        <f>COUNTIF(Vertices[Betweenness Centrality],"&gt;= "&amp;J36)-COUNTIF(Vertices[Betweenness Centrality],"&gt;="&amp;#REF!)</f>
        <v>1</v>
      </c>
      <c r="L36" s="39">
        <f>MAX(Vertices[Closeness Centrality])</f>
        <v>0.323232</v>
      </c>
      <c r="M36" s="40">
        <f>COUNTIF(Vertices[Closeness Centrality],"&gt;= "&amp;L36)-COUNTIF(Vertices[Closeness Centrality],"&gt;="&amp;#REF!)</f>
        <v>2</v>
      </c>
      <c r="N36" s="39">
        <f>MAX(Vertices[Eigenvector Centrality])</f>
        <v>0.514412</v>
      </c>
      <c r="O36" s="40">
        <f>COUNTIF(Vertices[Eigenvector Centrality],"&gt;= "&amp;N36)-COUNTIF(Vertices[Eigenvector Centrality],"&gt;="&amp;#REF!)</f>
        <v>1</v>
      </c>
      <c r="P36" s="39">
        <f>MAX(Vertices[PageRank])</f>
        <v>0.062946</v>
      </c>
      <c r="Q36" s="40">
        <f>COUNTIF(Vertices[PageRank],"&gt;= "&amp;P36)-COUNTIF(Vertices[PageRank],"&gt;="&amp;#REF!)</f>
        <v>1</v>
      </c>
      <c r="R36" s="39">
        <f>MAX(Vertices[Clustering Coefficient])</f>
        <v>0.5</v>
      </c>
      <c r="S36" s="43">
        <f>COUNTIF(Vertices[Clustering Coefficient],"&gt;= "&amp;R36)-COUNTIF(Vertices[Clustering Coefficient],"&gt;="&amp;#REF!)</f>
        <v>3</v>
      </c>
      <c r="T36" s="39" t="e">
        <f ca="1">MAX(INDIRECT(DynamicFilterSourceColumnRange))</f>
        <v>#REF!</v>
      </c>
      <c r="U36" s="40" t="e">
        <f ca="1">COUNTIF(INDIRECT(DynamicFilterSourceColumnRange),"&gt;= "&amp;T36)-COUNTIF(INDIRECT(DynamicFilterSourceColumnRange),"&gt;="&amp;#REF!)</f>
        <v>#REF!</v>
      </c>
    </row>
    <row r="37" spans="1:2" ht="15">
      <c r="A37" s="135"/>
      <c r="B37" s="135"/>
    </row>
    <row r="38" spans="1:2" ht="15">
      <c r="A38" s="32" t="s">
        <v>755</v>
      </c>
      <c r="B38" s="32" t="s">
        <v>993</v>
      </c>
    </row>
    <row r="39" spans="1:2" ht="15">
      <c r="A39" s="32" t="s">
        <v>756</v>
      </c>
      <c r="B39" s="32" t="s">
        <v>994</v>
      </c>
    </row>
    <row r="40" spans="1:2" ht="409.5">
      <c r="A40" s="32" t="s">
        <v>757</v>
      </c>
      <c r="B40" s="64" t="s">
        <v>995</v>
      </c>
    </row>
    <row r="41" spans="1:2" ht="15">
      <c r="A41" s="32" t="s">
        <v>758</v>
      </c>
      <c r="B41" s="32" t="s">
        <v>996</v>
      </c>
    </row>
    <row r="42" spans="1:2" ht="15">
      <c r="A42" s="32" t="s">
        <v>759</v>
      </c>
      <c r="B42" s="32" t="s">
        <v>997</v>
      </c>
    </row>
    <row r="43" spans="1:2" ht="15">
      <c r="A43" s="32" t="s">
        <v>760</v>
      </c>
      <c r="B43" s="32" t="s">
        <v>428</v>
      </c>
    </row>
    <row r="44" spans="1:2" ht="15">
      <c r="A44" s="32" t="s">
        <v>761</v>
      </c>
      <c r="B44" s="32" t="s">
        <v>428</v>
      </c>
    </row>
    <row r="45" spans="1:2" ht="15">
      <c r="A45" s="32" t="s">
        <v>762</v>
      </c>
      <c r="B45" s="32" t="s">
        <v>428</v>
      </c>
    </row>
    <row r="46" spans="1:2" ht="15">
      <c r="A46" s="32" t="s">
        <v>763</v>
      </c>
      <c r="B46" s="32" t="s">
        <v>322</v>
      </c>
    </row>
    <row r="47" spans="1:2" ht="15">
      <c r="A47" s="32" t="s">
        <v>21</v>
      </c>
      <c r="B47" s="32"/>
    </row>
    <row r="48" spans="1:2" ht="15">
      <c r="A48" s="32" t="s">
        <v>764</v>
      </c>
      <c r="B48" s="32" t="s">
        <v>322</v>
      </c>
    </row>
    <row r="49" spans="1:2" ht="15">
      <c r="A49" s="32" t="s">
        <v>765</v>
      </c>
      <c r="B49" s="32"/>
    </row>
    <row r="50" spans="1:2" ht="15">
      <c r="A50" s="32" t="s">
        <v>766</v>
      </c>
      <c r="B50"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5</v>
      </c>
    </row>
    <row r="90" spans="1:2" ht="15">
      <c r="A90" s="31" t="s">
        <v>90</v>
      </c>
      <c r="B90" s="45">
        <f>_xlfn.IFERROR(AVERAGE(Vertices[In-Degree]),NoMetricMessage)</f>
        <v>1.3157894736842106</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3</v>
      </c>
    </row>
    <row r="104" spans="1:2" ht="15">
      <c r="A104" s="31" t="s">
        <v>96</v>
      </c>
      <c r="B104" s="45">
        <f>_xlfn.IFERROR(AVERAGE(Vertices[Out-Degree]),NoMetricMessage)</f>
        <v>1.3157894736842106</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26</v>
      </c>
    </row>
    <row r="118" spans="1:2" ht="15">
      <c r="A118" s="31" t="s">
        <v>102</v>
      </c>
      <c r="B118" s="45">
        <f>_xlfn.IFERROR(AVERAGE(Vertices[Betweenness Centrality]),NoMetricMessage)</f>
        <v>3.3684210526315788</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0.323232</v>
      </c>
    </row>
    <row r="132" spans="1:2" ht="15">
      <c r="A132" s="31" t="s">
        <v>108</v>
      </c>
      <c r="B132" s="45">
        <f>_xlfn.IFERROR(AVERAGE(Vertices[Closeness Centrality]),NoMetricMessage)</f>
        <v>0.14606863157894742</v>
      </c>
    </row>
    <row r="133" spans="1:2" ht="15">
      <c r="A133" s="31" t="s">
        <v>109</v>
      </c>
      <c r="B133" s="45">
        <f>_xlfn.IFERROR(MEDIAN(Vertices[Closeness Centrality]),NoMetricMessage)</f>
        <v>0.111111</v>
      </c>
    </row>
    <row r="144" spans="1:2" ht="15">
      <c r="A144" s="31" t="s">
        <v>112</v>
      </c>
      <c r="B144" s="45">
        <f>IF(COUNT(Vertices[Eigenvector Centrality])&gt;0,N2,NoMetricMessage)</f>
        <v>0</v>
      </c>
    </row>
    <row r="145" spans="1:2" ht="15">
      <c r="A145" s="31" t="s">
        <v>113</v>
      </c>
      <c r="B145" s="45">
        <f>IF(COUNT(Vertices[Eigenvector Centrality])&gt;0,N36,NoMetricMessage)</f>
        <v>0.514412</v>
      </c>
    </row>
    <row r="146" spans="1:2" ht="15">
      <c r="A146" s="31" t="s">
        <v>114</v>
      </c>
      <c r="B146" s="45">
        <f>_xlfn.IFERROR(AVERAGE(Vertices[Eigenvector Centrality]),NoMetricMessage)</f>
        <v>0.14011663157894735</v>
      </c>
    </row>
    <row r="147" spans="1:2" ht="15">
      <c r="A147" s="31" t="s">
        <v>115</v>
      </c>
      <c r="B147" s="45">
        <f>_xlfn.IFERROR(MEDIAN(Vertices[Eigenvector Centrality]),NoMetricMessage)</f>
        <v>0</v>
      </c>
    </row>
    <row r="158" spans="1:2" ht="15">
      <c r="A158" s="31" t="s">
        <v>140</v>
      </c>
      <c r="B158" s="45">
        <f>IF(COUNT(Vertices[PageRank])&gt;0,P2,NoMetricMessage)</f>
        <v>0.046311</v>
      </c>
    </row>
    <row r="159" spans="1:2" ht="15">
      <c r="A159" s="31" t="s">
        <v>141</v>
      </c>
      <c r="B159" s="45">
        <f>IF(COUNT(Vertices[PageRank])&gt;0,P36,NoMetricMessage)</f>
        <v>0.062946</v>
      </c>
    </row>
    <row r="160" spans="1:2" ht="15">
      <c r="A160" s="31" t="s">
        <v>142</v>
      </c>
      <c r="B160" s="45">
        <f>_xlfn.IFERROR(AVERAGE(Vertices[PageRank]),NoMetricMessage)</f>
        <v>0.052631789473684215</v>
      </c>
    </row>
    <row r="161" spans="1:2" ht="15">
      <c r="A161" s="31" t="s">
        <v>143</v>
      </c>
      <c r="B161" s="45">
        <f>_xlfn.IFERROR(MEDIAN(Vertices[PageRank]),NoMetricMessage)</f>
        <v>0.052632</v>
      </c>
    </row>
    <row r="172" spans="1:2" ht="15">
      <c r="A172" s="31" t="s">
        <v>118</v>
      </c>
      <c r="B172" s="45">
        <f>IF(COUNT(Vertices[Clustering Coefficient])&gt;0,R2,NoMetricMessage)</f>
        <v>0</v>
      </c>
    </row>
    <row r="173" spans="1:2" ht="15">
      <c r="A173" s="31" t="s">
        <v>119</v>
      </c>
      <c r="B173" s="45">
        <f>IF(COUNT(Vertices[Clustering Coefficient])&gt;0,R36,NoMetricMessage)</f>
        <v>0.5</v>
      </c>
    </row>
    <row r="174" spans="1:2" ht="15">
      <c r="A174" s="31" t="s">
        <v>120</v>
      </c>
      <c r="B174" s="45">
        <f>_xlfn.IFERROR(AVERAGE(Vertices[Clustering Coefficient]),NoMetricMessage)</f>
        <v>0.16315789473684209</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415</v>
      </c>
    </row>
    <row r="6" spans="1:18" ht="409.5">
      <c r="A6">
        <v>0</v>
      </c>
      <c r="B6" s="1" t="s">
        <v>136</v>
      </c>
      <c r="C6">
        <v>1</v>
      </c>
      <c r="D6" t="s">
        <v>59</v>
      </c>
      <c r="E6" t="s">
        <v>59</v>
      </c>
      <c r="F6">
        <v>0</v>
      </c>
      <c r="H6" t="s">
        <v>71</v>
      </c>
      <c r="J6" t="s">
        <v>173</v>
      </c>
      <c r="K6" s="7" t="s">
        <v>416</v>
      </c>
      <c r="R6" t="s">
        <v>129</v>
      </c>
    </row>
    <row r="7" spans="1:11" ht="409.5">
      <c r="A7">
        <v>2</v>
      </c>
      <c r="B7">
        <v>1</v>
      </c>
      <c r="C7">
        <v>0</v>
      </c>
      <c r="D7" t="s">
        <v>60</v>
      </c>
      <c r="E7" t="s">
        <v>60</v>
      </c>
      <c r="F7">
        <v>2</v>
      </c>
      <c r="H7" t="s">
        <v>72</v>
      </c>
      <c r="J7" t="s">
        <v>174</v>
      </c>
      <c r="K7" s="7" t="s">
        <v>977</v>
      </c>
    </row>
    <row r="8" spans="1:11" ht="409.5">
      <c r="A8"/>
      <c r="B8">
        <v>2</v>
      </c>
      <c r="C8">
        <v>2</v>
      </c>
      <c r="D8" t="s">
        <v>61</v>
      </c>
      <c r="E8" t="s">
        <v>61</v>
      </c>
      <c r="H8" t="s">
        <v>73</v>
      </c>
      <c r="J8" t="s">
        <v>175</v>
      </c>
      <c r="K8" s="7" t="s">
        <v>978</v>
      </c>
    </row>
    <row r="9" spans="1:11" ht="409.5">
      <c r="A9"/>
      <c r="B9">
        <v>3</v>
      </c>
      <c r="C9">
        <v>4</v>
      </c>
      <c r="D9" t="s">
        <v>62</v>
      </c>
      <c r="E9" t="s">
        <v>62</v>
      </c>
      <c r="H9" t="s">
        <v>74</v>
      </c>
      <c r="J9" t="s">
        <v>176</v>
      </c>
      <c r="K9" s="7" t="s">
        <v>979</v>
      </c>
    </row>
    <row r="10" spans="1:11" ht="15">
      <c r="A10"/>
      <c r="B10">
        <v>4</v>
      </c>
      <c r="D10" t="s">
        <v>63</v>
      </c>
      <c r="E10" t="s">
        <v>63</v>
      </c>
      <c r="H10" t="s">
        <v>75</v>
      </c>
      <c r="J10" t="s">
        <v>177</v>
      </c>
      <c r="K10" t="s">
        <v>980</v>
      </c>
    </row>
    <row r="11" spans="1:11" ht="15">
      <c r="A11"/>
      <c r="B11">
        <v>5</v>
      </c>
      <c r="D11" t="s">
        <v>46</v>
      </c>
      <c r="E11">
        <v>1</v>
      </c>
      <c r="H11" t="s">
        <v>76</v>
      </c>
      <c r="J11" t="s">
        <v>178</v>
      </c>
      <c r="K11" t="s">
        <v>981</v>
      </c>
    </row>
    <row r="12" spans="1:11" ht="15">
      <c r="A12"/>
      <c r="B12"/>
      <c r="D12" t="s">
        <v>64</v>
      </c>
      <c r="E12">
        <v>2</v>
      </c>
      <c r="H12">
        <v>0</v>
      </c>
      <c r="J12" t="s">
        <v>179</v>
      </c>
      <c r="K12" t="s">
        <v>982</v>
      </c>
    </row>
    <row r="13" spans="1:11" ht="15">
      <c r="A13"/>
      <c r="B13"/>
      <c r="D13">
        <v>1</v>
      </c>
      <c r="E13">
        <v>3</v>
      </c>
      <c r="H13">
        <v>1</v>
      </c>
      <c r="J13" t="s">
        <v>180</v>
      </c>
      <c r="K13" t="s">
        <v>983</v>
      </c>
    </row>
    <row r="14" spans="4:11" ht="15">
      <c r="D14">
        <v>2</v>
      </c>
      <c r="E14">
        <v>4</v>
      </c>
      <c r="H14">
        <v>2</v>
      </c>
      <c r="J14" t="s">
        <v>181</v>
      </c>
      <c r="K14" t="s">
        <v>984</v>
      </c>
    </row>
    <row r="15" spans="4:11" ht="15">
      <c r="D15">
        <v>3</v>
      </c>
      <c r="E15">
        <v>5</v>
      </c>
      <c r="H15">
        <v>3</v>
      </c>
      <c r="J15" t="s">
        <v>182</v>
      </c>
      <c r="K15" t="s">
        <v>985</v>
      </c>
    </row>
    <row r="16" spans="4:11" ht="15">
      <c r="D16">
        <v>4</v>
      </c>
      <c r="E16">
        <v>6</v>
      </c>
      <c r="H16">
        <v>4</v>
      </c>
      <c r="J16" t="s">
        <v>183</v>
      </c>
      <c r="K16" t="s">
        <v>986</v>
      </c>
    </row>
    <row r="17" spans="4:11" ht="15">
      <c r="D17">
        <v>5</v>
      </c>
      <c r="E17">
        <v>7</v>
      </c>
      <c r="H17">
        <v>5</v>
      </c>
      <c r="J17" t="s">
        <v>184</v>
      </c>
      <c r="K17" t="s">
        <v>987</v>
      </c>
    </row>
    <row r="18" spans="4:11" ht="15">
      <c r="D18">
        <v>6</v>
      </c>
      <c r="E18">
        <v>8</v>
      </c>
      <c r="H18">
        <v>6</v>
      </c>
      <c r="J18" t="s">
        <v>185</v>
      </c>
      <c r="K18" t="s">
        <v>988</v>
      </c>
    </row>
    <row r="19" spans="4:11" ht="15">
      <c r="D19">
        <v>7</v>
      </c>
      <c r="E19">
        <v>9</v>
      </c>
      <c r="H19">
        <v>7</v>
      </c>
      <c r="J19" t="s">
        <v>186</v>
      </c>
      <c r="K19" t="s">
        <v>989</v>
      </c>
    </row>
    <row r="20" spans="4:11" ht="409.5">
      <c r="D20">
        <v>8</v>
      </c>
      <c r="H20">
        <v>8</v>
      </c>
      <c r="J20" t="s">
        <v>187</v>
      </c>
      <c r="K20" s="7" t="s">
        <v>990</v>
      </c>
    </row>
    <row r="21" spans="4:11" ht="409.5">
      <c r="D21">
        <v>9</v>
      </c>
      <c r="H21">
        <v>9</v>
      </c>
      <c r="J21" t="s">
        <v>188</v>
      </c>
      <c r="K21" s="7" t="s">
        <v>991</v>
      </c>
    </row>
    <row r="22" spans="4:11" ht="409.5">
      <c r="D22">
        <v>10</v>
      </c>
      <c r="J22" t="s">
        <v>189</v>
      </c>
      <c r="K22" s="7" t="s">
        <v>992</v>
      </c>
    </row>
    <row r="23" spans="4:11" ht="15">
      <c r="D23">
        <v>11</v>
      </c>
      <c r="J23" t="s">
        <v>190</v>
      </c>
      <c r="K23">
        <v>18</v>
      </c>
    </row>
    <row r="24" spans="10:11" ht="15">
      <c r="J24" t="s">
        <v>192</v>
      </c>
      <c r="K24" t="s">
        <v>974</v>
      </c>
    </row>
    <row r="25" spans="10:11" ht="409.5">
      <c r="J25" t="s">
        <v>193</v>
      </c>
      <c r="K25" s="7" t="s">
        <v>976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D05E4-17F1-4DAB-971A-DC09F03F27E2}">
  <dimension ref="A1:DN26"/>
  <sheetViews>
    <sheetView workbookViewId="0" topLeftCell="A1"/>
  </sheetViews>
  <sheetFormatPr defaultColWidth="9.140625" defaultRowHeight="15"/>
  <cols>
    <col min="1" max="2" width="15.140625" style="0" bestFit="1" customWidth="1"/>
    <col min="3" max="4" width="15.57421875" style="0" bestFit="1" customWidth="1"/>
    <col min="5" max="5" width="16.00390625" style="0" bestFit="1" customWidth="1"/>
    <col min="6" max="6" width="14.421875" style="0" bestFit="1" customWidth="1"/>
    <col min="7" max="7" width="24.7109375" style="0" bestFit="1" customWidth="1"/>
    <col min="8" max="8" width="8.8515625" style="0" bestFit="1" customWidth="1"/>
    <col min="9" max="9" width="15.7109375" style="0" bestFit="1" customWidth="1"/>
    <col min="10" max="10" width="19.28125" style="0" bestFit="1" customWidth="1"/>
    <col min="11" max="11" width="19.57421875" style="0" bestFit="1" customWidth="1"/>
    <col min="12" max="12" width="17.140625" style="0" bestFit="1" customWidth="1"/>
    <col min="13" max="13" width="18.57421875" style="0" bestFit="1" customWidth="1"/>
    <col min="14" max="14" width="18.8515625" style="0" bestFit="1" customWidth="1"/>
    <col min="15" max="15" width="7.421875" style="0" bestFit="1" customWidth="1"/>
    <col min="16" max="16" width="7.7109375" style="0" bestFit="1" customWidth="1"/>
    <col min="17" max="17" width="23.8515625" style="0" bestFit="1" customWidth="1"/>
    <col min="18" max="18" width="10.57421875" style="0" bestFit="1" customWidth="1"/>
    <col min="19" max="19" width="12.140625" style="0" bestFit="1" customWidth="1"/>
    <col min="20" max="20" width="13.8515625" style="0" bestFit="1" customWidth="1"/>
    <col min="21" max="21" width="22.140625" style="0" bestFit="1" customWidth="1"/>
    <col min="22" max="22" width="11.7109375" style="0" bestFit="1" customWidth="1"/>
    <col min="23" max="23" width="16.421875" style="0" bestFit="1" customWidth="1"/>
    <col min="24" max="24" width="20.57421875" style="0" bestFit="1" customWidth="1"/>
    <col min="25" max="25" width="16.7109375" style="0" bestFit="1" customWidth="1"/>
    <col min="26" max="26" width="11.57421875" style="0" bestFit="1" customWidth="1"/>
    <col min="27" max="27" width="19.28125" style="0" bestFit="1" customWidth="1"/>
    <col min="28" max="28" width="18.28125" style="0" bestFit="1" customWidth="1"/>
    <col min="29" max="29" width="13.140625" style="0" bestFit="1" customWidth="1"/>
    <col min="30" max="30" width="16.7109375" style="0" bestFit="1" customWidth="1"/>
    <col min="31" max="31" width="13.140625" style="0" bestFit="1" customWidth="1"/>
    <col min="32" max="32" width="9.28125" style="0" bestFit="1" customWidth="1"/>
    <col min="33" max="33" width="12.140625" style="0" bestFit="1" customWidth="1"/>
    <col min="34" max="34" width="19.140625" style="0" bestFit="1" customWidth="1"/>
    <col min="35" max="35" width="22.57421875" style="0" bestFit="1" customWidth="1"/>
    <col min="36" max="36" width="28.8515625" style="0" bestFit="1" customWidth="1"/>
    <col min="37" max="37" width="31.7109375" style="0" bestFit="1" customWidth="1"/>
    <col min="38" max="38" width="20.8515625" style="0" bestFit="1" customWidth="1"/>
    <col min="39" max="39" width="15.57421875" style="0" bestFit="1" customWidth="1"/>
    <col min="40" max="40" width="20.7109375" style="0" bestFit="1" customWidth="1"/>
    <col min="41" max="41" width="17.57421875" style="0" bestFit="1" customWidth="1"/>
    <col min="42" max="42" width="10.28125" style="0" bestFit="1" customWidth="1"/>
    <col min="43" max="43" width="13.7109375" style="0" bestFit="1" customWidth="1"/>
    <col min="44" max="44" width="12.7109375" style="0" bestFit="1" customWidth="1"/>
    <col min="45" max="45" width="11.7109375" style="0" bestFit="1" customWidth="1"/>
    <col min="46" max="46" width="14.421875" style="0" bestFit="1" customWidth="1"/>
    <col min="47" max="48" width="16.7109375" style="0" bestFit="1" customWidth="1"/>
    <col min="49" max="49" width="17.28125" style="0" bestFit="1" customWidth="1"/>
    <col min="50" max="50" width="17.7109375" style="0" bestFit="1" customWidth="1"/>
    <col min="51" max="51" width="20.28125" style="0" bestFit="1" customWidth="1"/>
    <col min="52" max="52" width="21.8515625" style="0" bestFit="1" customWidth="1"/>
    <col min="53" max="53" width="33.00390625" style="0" bestFit="1" customWidth="1"/>
    <col min="54" max="54" width="29.7109375" style="0" bestFit="1" customWidth="1"/>
    <col min="55" max="55" width="31.28125" style="0" bestFit="1" customWidth="1"/>
    <col min="56" max="56" width="20.00390625" style="0" bestFit="1" customWidth="1"/>
    <col min="57" max="57" width="31.00390625" style="0" bestFit="1" customWidth="1"/>
    <col min="58" max="58" width="38.8515625" style="0" bestFit="1" customWidth="1"/>
    <col min="59" max="59" width="16.57421875" style="0" bestFit="1" customWidth="1"/>
    <col min="60" max="60" width="17.57421875" style="0" bestFit="1" customWidth="1"/>
    <col min="61" max="61" width="19.7109375" style="0" bestFit="1" customWidth="1"/>
    <col min="62" max="62" width="20.140625" style="0" bestFit="1" customWidth="1"/>
    <col min="63" max="63" width="17.7109375" style="0" bestFit="1" customWidth="1"/>
    <col min="64" max="64" width="19.57421875" style="0" bestFit="1" customWidth="1"/>
    <col min="65" max="65" width="40.421875" style="0" bestFit="1" customWidth="1"/>
    <col min="66" max="66" width="21.57421875" style="0" bestFit="1" customWidth="1"/>
    <col min="67" max="67" width="18.7109375" style="0" bestFit="1" customWidth="1"/>
    <col min="68" max="68" width="15.421875" style="0" bestFit="1" customWidth="1"/>
    <col min="69" max="69" width="20.7109375" style="0" bestFit="1" customWidth="1"/>
    <col min="70" max="70" width="34.421875" style="0" bestFit="1" customWidth="1"/>
    <col min="71" max="71" width="27.28125" style="0" bestFit="1" customWidth="1"/>
    <col min="72" max="72" width="24.57421875" style="0" bestFit="1" customWidth="1"/>
    <col min="73" max="73" width="30.57421875" style="0" bestFit="1" customWidth="1"/>
    <col min="74" max="74" width="22.57421875" style="0" bestFit="1" customWidth="1"/>
    <col min="75" max="75" width="19.7109375" style="0" bestFit="1" customWidth="1"/>
    <col min="76" max="76" width="22.421875" style="0" bestFit="1" customWidth="1"/>
    <col min="77" max="77" width="37.57421875" style="0" bestFit="1" customWidth="1"/>
    <col min="78" max="78" width="18.57421875" style="0" bestFit="1" customWidth="1"/>
    <col min="79" max="79" width="32.00390625" style="0" bestFit="1" customWidth="1"/>
    <col min="80" max="80" width="23.28125" style="0" bestFit="1" customWidth="1"/>
    <col min="81" max="81" width="17.28125" style="0" bestFit="1" customWidth="1"/>
    <col min="82" max="82" width="17.7109375" style="0" bestFit="1" customWidth="1"/>
    <col min="83" max="83" width="20.28125" style="0" bestFit="1" customWidth="1"/>
    <col min="84" max="84" width="21.8515625" style="0" bestFit="1" customWidth="1"/>
    <col min="85" max="85" width="33.00390625" style="0" bestFit="1" customWidth="1"/>
    <col min="86" max="86" width="29.7109375" style="0" bestFit="1" customWidth="1"/>
    <col min="87" max="87" width="31.28125" style="0" bestFit="1" customWidth="1"/>
    <col min="88" max="88" width="20.00390625" style="0" bestFit="1" customWidth="1"/>
    <col min="89" max="89" width="31.00390625" style="0" bestFit="1" customWidth="1"/>
    <col min="90" max="90" width="38.8515625" style="0" bestFit="1" customWidth="1"/>
    <col min="91" max="91" width="16.57421875" style="0" bestFit="1" customWidth="1"/>
    <col min="92" max="92" width="17.57421875" style="0" bestFit="1" customWidth="1"/>
    <col min="93" max="93" width="19.7109375" style="0" bestFit="1" customWidth="1"/>
    <col min="94" max="94" width="20.140625" style="0" bestFit="1" customWidth="1"/>
    <col min="95" max="95" width="17.7109375" style="0" bestFit="1" customWidth="1"/>
    <col min="96" max="96" width="19.57421875" style="0" bestFit="1" customWidth="1"/>
    <col min="97" max="97" width="40.421875" style="0" bestFit="1" customWidth="1"/>
    <col min="98" max="98" width="21.57421875" style="0" bestFit="1" customWidth="1"/>
    <col min="99" max="99" width="18.7109375" style="0" bestFit="1" customWidth="1"/>
    <col min="100" max="100" width="15.421875" style="0" bestFit="1" customWidth="1"/>
    <col min="101" max="101" width="20.7109375" style="0" bestFit="1" customWidth="1"/>
    <col min="102" max="102" width="34.421875" style="0" bestFit="1" customWidth="1"/>
    <col min="103" max="103" width="27.28125" style="0" bestFit="1" customWidth="1"/>
    <col min="104" max="104" width="24.57421875" style="0" bestFit="1" customWidth="1"/>
    <col min="105" max="105" width="30.57421875" style="0" bestFit="1" customWidth="1"/>
    <col min="106" max="106" width="22.57421875" style="0" bestFit="1" customWidth="1"/>
    <col min="107" max="107" width="19.7109375" style="0" bestFit="1" customWidth="1"/>
    <col min="108" max="108" width="22.421875" style="0" bestFit="1" customWidth="1"/>
    <col min="109" max="109" width="37.57421875" style="0" bestFit="1" customWidth="1"/>
    <col min="110" max="110" width="18.57421875" style="0" bestFit="1" customWidth="1"/>
    <col min="111" max="111" width="32.00390625" style="0" bestFit="1" customWidth="1"/>
    <col min="112" max="112" width="23.28125" style="0" bestFit="1" customWidth="1"/>
    <col min="113" max="114" width="17.57421875" style="0" bestFit="1" customWidth="1"/>
    <col min="115" max="116" width="23.8515625" style="0" bestFit="1" customWidth="1"/>
    <col min="117" max="118" width="24.7109375" style="0" bestFit="1" customWidth="1"/>
  </cols>
  <sheetData>
    <row r="1" spans="1:118" ht="15" customHeight="1">
      <c r="A1" s="7" t="s">
        <v>445</v>
      </c>
      <c r="B1" s="7" t="s">
        <v>446</v>
      </c>
      <c r="C1" s="7" t="s">
        <v>447</v>
      </c>
      <c r="D1" s="7" t="s">
        <v>448</v>
      </c>
      <c r="E1" s="7" t="s">
        <v>165</v>
      </c>
      <c r="F1" s="7" t="s">
        <v>194</v>
      </c>
      <c r="G1" s="7" t="s">
        <v>195</v>
      </c>
      <c r="H1" s="7" t="s">
        <v>196</v>
      </c>
      <c r="I1" s="7" t="s">
        <v>197</v>
      </c>
      <c r="J1" s="7" t="s">
        <v>198</v>
      </c>
      <c r="K1" s="7" t="s">
        <v>199</v>
      </c>
      <c r="L1" s="7" t="s">
        <v>200</v>
      </c>
      <c r="M1" s="7" t="s">
        <v>201</v>
      </c>
      <c r="N1" s="7" t="s">
        <v>202</v>
      </c>
      <c r="O1" s="7" t="s">
        <v>203</v>
      </c>
      <c r="P1" s="7" t="s">
        <v>204</v>
      </c>
      <c r="Q1" s="7" t="s">
        <v>205</v>
      </c>
      <c r="R1" s="7" t="s">
        <v>206</v>
      </c>
      <c r="S1" s="7" t="s">
        <v>207</v>
      </c>
      <c r="T1" s="7" t="s">
        <v>208</v>
      </c>
      <c r="U1" s="7" t="s">
        <v>209</v>
      </c>
      <c r="V1" s="7" t="s">
        <v>210</v>
      </c>
      <c r="W1" s="7" t="s">
        <v>211</v>
      </c>
      <c r="X1" s="7" t="s">
        <v>212</v>
      </c>
      <c r="Y1" s="7" t="s">
        <v>213</v>
      </c>
      <c r="Z1" s="7" t="s">
        <v>214</v>
      </c>
      <c r="AA1" s="7" t="s">
        <v>215</v>
      </c>
      <c r="AB1" s="7" t="s">
        <v>216</v>
      </c>
      <c r="AC1" s="7" t="s">
        <v>217</v>
      </c>
      <c r="AD1" s="7" t="s">
        <v>218</v>
      </c>
      <c r="AE1" s="7" t="s">
        <v>219</v>
      </c>
      <c r="AF1" s="7" t="s">
        <v>220</v>
      </c>
      <c r="AG1" s="7" t="s">
        <v>221</v>
      </c>
      <c r="AH1" s="7" t="s">
        <v>222</v>
      </c>
      <c r="AI1" s="7" t="s">
        <v>223</v>
      </c>
      <c r="AJ1" s="7" t="s">
        <v>224</v>
      </c>
      <c r="AK1" s="7" t="s">
        <v>225</v>
      </c>
      <c r="AL1" s="7" t="s">
        <v>226</v>
      </c>
      <c r="AM1" s="7" t="s">
        <v>227</v>
      </c>
      <c r="AN1" s="7" t="s">
        <v>228</v>
      </c>
      <c r="AO1" s="7" t="s">
        <v>229</v>
      </c>
      <c r="AP1" s="7" t="s">
        <v>230</v>
      </c>
      <c r="AQ1" s="7" t="s">
        <v>231</v>
      </c>
      <c r="AR1" s="7" t="s">
        <v>232</v>
      </c>
      <c r="AS1" s="7" t="s">
        <v>233</v>
      </c>
      <c r="AT1" s="7" t="s">
        <v>428</v>
      </c>
      <c r="AU1" s="7" t="s">
        <v>442</v>
      </c>
      <c r="AV1" s="7" t="s">
        <v>443</v>
      </c>
      <c r="AW1" s="7" t="s">
        <v>488</v>
      </c>
      <c r="AX1" s="7" t="s">
        <v>489</v>
      </c>
      <c r="AY1" s="7" t="s">
        <v>490</v>
      </c>
      <c r="AZ1" s="7" t="s">
        <v>491</v>
      </c>
      <c r="BA1" s="7" t="s">
        <v>492</v>
      </c>
      <c r="BB1" s="7" t="s">
        <v>493</v>
      </c>
      <c r="BC1" s="7" t="s">
        <v>494</v>
      </c>
      <c r="BD1" s="7" t="s">
        <v>495</v>
      </c>
      <c r="BE1" s="7" t="s">
        <v>496</v>
      </c>
      <c r="BF1" s="7" t="s">
        <v>497</v>
      </c>
      <c r="BG1" s="7" t="s">
        <v>498</v>
      </c>
      <c r="BH1" s="7" t="s">
        <v>499</v>
      </c>
      <c r="BI1" s="7" t="s">
        <v>507</v>
      </c>
      <c r="BJ1" s="7" t="s">
        <v>508</v>
      </c>
      <c r="BK1" s="7" t="s">
        <v>509</v>
      </c>
      <c r="BL1" s="7" t="s">
        <v>510</v>
      </c>
      <c r="BM1" s="7" t="s">
        <v>511</v>
      </c>
      <c r="BN1" s="7" t="s">
        <v>512</v>
      </c>
      <c r="BO1" s="7" t="s">
        <v>513</v>
      </c>
      <c r="BP1" s="7" t="s">
        <v>514</v>
      </c>
      <c r="BQ1" s="7" t="s">
        <v>524</v>
      </c>
      <c r="BR1" s="7" t="s">
        <v>525</v>
      </c>
      <c r="BS1" s="7" t="s">
        <v>526</v>
      </c>
      <c r="BT1" s="7" t="s">
        <v>540</v>
      </c>
      <c r="BU1" s="7" t="s">
        <v>541</v>
      </c>
      <c r="BV1" s="7" t="s">
        <v>542</v>
      </c>
      <c r="BW1" s="7" t="s">
        <v>543</v>
      </c>
      <c r="BX1" s="7" t="s">
        <v>544</v>
      </c>
      <c r="BY1" s="7" t="s">
        <v>545</v>
      </c>
      <c r="BZ1" s="7" t="s">
        <v>549</v>
      </c>
      <c r="CA1" s="7" t="s">
        <v>550</v>
      </c>
      <c r="CB1" s="7" t="s">
        <v>551</v>
      </c>
      <c r="CC1" s="7" t="s">
        <v>552</v>
      </c>
      <c r="CD1" s="7" t="s">
        <v>553</v>
      </c>
      <c r="CE1" s="7" t="s">
        <v>554</v>
      </c>
      <c r="CF1" s="7" t="s">
        <v>555</v>
      </c>
      <c r="CG1" s="7" t="s">
        <v>556</v>
      </c>
      <c r="CH1" s="7" t="s">
        <v>557</v>
      </c>
      <c r="CI1" s="7" t="s">
        <v>558</v>
      </c>
      <c r="CJ1" s="7" t="s">
        <v>559</v>
      </c>
      <c r="CK1" s="7" t="s">
        <v>560</v>
      </c>
      <c r="CL1" s="7" t="s">
        <v>561</v>
      </c>
      <c r="CM1" s="7" t="s">
        <v>562</v>
      </c>
      <c r="CN1" s="7" t="s">
        <v>563</v>
      </c>
      <c r="CO1" s="7" t="s">
        <v>567</v>
      </c>
      <c r="CP1" s="7" t="s">
        <v>568</v>
      </c>
      <c r="CQ1" s="7" t="s">
        <v>569</v>
      </c>
      <c r="CR1" s="7" t="s">
        <v>570</v>
      </c>
      <c r="CS1" s="7" t="s">
        <v>571</v>
      </c>
      <c r="CT1" s="7" t="s">
        <v>572</v>
      </c>
      <c r="CU1" s="7" t="s">
        <v>573</v>
      </c>
      <c r="CV1" s="7" t="s">
        <v>574</v>
      </c>
      <c r="CW1" s="7" t="s">
        <v>580</v>
      </c>
      <c r="CX1" s="7" t="s">
        <v>581</v>
      </c>
      <c r="CY1" s="7" t="s">
        <v>582</v>
      </c>
      <c r="CZ1" s="7" t="s">
        <v>588</v>
      </c>
      <c r="DA1" s="7" t="s">
        <v>589</v>
      </c>
      <c r="DB1" s="7" t="s">
        <v>590</v>
      </c>
      <c r="DC1" s="7" t="s">
        <v>591</v>
      </c>
      <c r="DD1" s="7" t="s">
        <v>592</v>
      </c>
      <c r="DE1" s="7" t="s">
        <v>593</v>
      </c>
      <c r="DF1" s="7" t="s">
        <v>594</v>
      </c>
      <c r="DG1" s="7" t="s">
        <v>595</v>
      </c>
      <c r="DH1" s="7" t="s">
        <v>596</v>
      </c>
      <c r="DI1" s="7" t="s">
        <v>597</v>
      </c>
      <c r="DJ1" s="7" t="s">
        <v>598</v>
      </c>
      <c r="DK1" s="7" t="s">
        <v>599</v>
      </c>
      <c r="DL1" s="7" t="s">
        <v>600</v>
      </c>
      <c r="DM1" s="7" t="s">
        <v>601</v>
      </c>
      <c r="DN1" s="7" t="s">
        <v>602</v>
      </c>
    </row>
    <row r="2" spans="1:118" ht="15">
      <c r="A2" s="87" t="s">
        <v>307</v>
      </c>
      <c r="B2" s="87" t="s">
        <v>307</v>
      </c>
      <c r="C2" s="87" t="s">
        <v>240</v>
      </c>
      <c r="D2" s="87" t="s">
        <v>417</v>
      </c>
      <c r="E2" s="87"/>
      <c r="F2" s="87" t="s">
        <v>253</v>
      </c>
      <c r="G2" s="128">
        <v>44992.08576388889</v>
      </c>
      <c r="H2" s="87" t="s">
        <v>418</v>
      </c>
      <c r="I2" s="87" t="s">
        <v>449</v>
      </c>
      <c r="J2" s="87" t="s">
        <v>419</v>
      </c>
      <c r="K2" s="87" t="s">
        <v>420</v>
      </c>
      <c r="L2" s="87"/>
      <c r="M2" s="87" t="s">
        <v>462</v>
      </c>
      <c r="N2" s="128">
        <v>44992.08576388889</v>
      </c>
      <c r="O2" s="128">
        <v>44992</v>
      </c>
      <c r="P2" s="129">
        <v>0.08576388888888888</v>
      </c>
      <c r="Q2" s="87" t="s">
        <v>472</v>
      </c>
      <c r="R2" s="87"/>
      <c r="S2" s="87"/>
      <c r="T2" s="87" t="s">
        <v>307</v>
      </c>
      <c r="U2" s="87"/>
      <c r="V2" s="87" t="b">
        <v>0</v>
      </c>
      <c r="W2" s="87">
        <v>23</v>
      </c>
      <c r="X2" s="87"/>
      <c r="Y2" s="87" t="b">
        <v>0</v>
      </c>
      <c r="Z2" s="87" t="s">
        <v>310</v>
      </c>
      <c r="AA2" s="87"/>
      <c r="AB2" s="87"/>
      <c r="AC2" s="87" t="b">
        <v>0</v>
      </c>
      <c r="AD2" s="87">
        <v>1</v>
      </c>
      <c r="AE2" s="87"/>
      <c r="AF2" s="87" t="s">
        <v>311</v>
      </c>
      <c r="AG2" s="87" t="b">
        <v>0</v>
      </c>
      <c r="AH2" s="87" t="s">
        <v>307</v>
      </c>
      <c r="AI2" s="87" t="s">
        <v>421</v>
      </c>
      <c r="AJ2" s="87">
        <v>0</v>
      </c>
      <c r="AK2" s="87">
        <v>0</v>
      </c>
      <c r="AL2" s="87"/>
      <c r="AM2" s="87"/>
      <c r="AN2" s="87"/>
      <c r="AO2" s="87"/>
      <c r="AP2" s="87"/>
      <c r="AQ2" s="87"/>
      <c r="AR2" s="87"/>
      <c r="AS2" s="87"/>
      <c r="AT2" s="87">
        <v>1</v>
      </c>
      <c r="AU2" s="87">
        <v>1</v>
      </c>
      <c r="AV2" s="87">
        <v>1</v>
      </c>
      <c r="AW2" s="87" t="s">
        <v>240</v>
      </c>
      <c r="AX2" s="87"/>
      <c r="AY2" s="87"/>
      <c r="AZ2" s="87"/>
      <c r="BA2" s="87"/>
      <c r="BB2" s="87"/>
      <c r="BC2" s="87"/>
      <c r="BD2" s="87"/>
      <c r="BE2" s="87"/>
      <c r="BF2" s="87"/>
      <c r="BG2" s="87" t="s">
        <v>349</v>
      </c>
      <c r="BH2" s="87" t="s">
        <v>309</v>
      </c>
      <c r="BI2" s="87">
        <v>1794</v>
      </c>
      <c r="BJ2" s="87">
        <v>3858</v>
      </c>
      <c r="BK2" s="87">
        <v>3222</v>
      </c>
      <c r="BL2" s="87">
        <v>8851</v>
      </c>
      <c r="BM2" s="87"/>
      <c r="BN2" s="87" t="s">
        <v>372</v>
      </c>
      <c r="BO2" s="87" t="s">
        <v>387</v>
      </c>
      <c r="BP2" s="87" t="s">
        <v>515</v>
      </c>
      <c r="BQ2" s="87"/>
      <c r="BR2" s="128">
        <v>40547.183275462965</v>
      </c>
      <c r="BS2" s="87" t="s">
        <v>527</v>
      </c>
      <c r="BT2" s="87" t="b">
        <v>1</v>
      </c>
      <c r="BU2" s="87" t="b">
        <v>0</v>
      </c>
      <c r="BV2" s="87" t="b">
        <v>0</v>
      </c>
      <c r="BW2" s="87"/>
      <c r="BX2" s="87">
        <v>88</v>
      </c>
      <c r="BY2" s="87" t="s">
        <v>546</v>
      </c>
      <c r="BZ2" s="87" t="b">
        <v>0</v>
      </c>
      <c r="CA2" s="87" t="s">
        <v>65</v>
      </c>
      <c r="CB2" s="87">
        <v>1</v>
      </c>
      <c r="CC2" s="87" t="s">
        <v>417</v>
      </c>
      <c r="CD2" s="87"/>
      <c r="CE2" s="87"/>
      <c r="CF2" s="87"/>
      <c r="CG2" s="87"/>
      <c r="CH2" s="87"/>
      <c r="CI2" s="87"/>
      <c r="CJ2" s="87"/>
      <c r="CK2" s="87"/>
      <c r="CL2" s="87"/>
      <c r="CM2" s="87" t="s">
        <v>422</v>
      </c>
      <c r="CN2" s="87" t="s">
        <v>423</v>
      </c>
      <c r="CO2" s="87">
        <v>114</v>
      </c>
      <c r="CP2" s="87">
        <v>4191</v>
      </c>
      <c r="CQ2" s="87">
        <v>1399</v>
      </c>
      <c r="CR2" s="87">
        <v>2291</v>
      </c>
      <c r="CS2" s="87"/>
      <c r="CT2" s="87" t="s">
        <v>424</v>
      </c>
      <c r="CU2" s="87" t="s">
        <v>425</v>
      </c>
      <c r="CV2" s="87" t="s">
        <v>575</v>
      </c>
      <c r="CW2" s="87"/>
      <c r="CX2" s="128">
        <v>43440.40993055556</v>
      </c>
      <c r="CY2" s="87" t="s">
        <v>583</v>
      </c>
      <c r="CZ2" s="87" t="b">
        <v>0</v>
      </c>
      <c r="DA2" s="87" t="b">
        <v>0</v>
      </c>
      <c r="DB2" s="87" t="b">
        <v>1</v>
      </c>
      <c r="DC2" s="87"/>
      <c r="DD2" s="87">
        <v>131</v>
      </c>
      <c r="DE2" s="87" t="s">
        <v>546</v>
      </c>
      <c r="DF2" s="87" t="b">
        <v>0</v>
      </c>
      <c r="DG2" s="87" t="s">
        <v>65</v>
      </c>
      <c r="DH2" s="87">
        <v>1</v>
      </c>
      <c r="DI2" s="87">
        <v>1</v>
      </c>
      <c r="DJ2" s="87">
        <v>1</v>
      </c>
      <c r="DK2" s="87">
        <v>1</v>
      </c>
      <c r="DL2" s="87">
        <v>1</v>
      </c>
      <c r="DM2" s="87">
        <v>-4</v>
      </c>
      <c r="DN2" s="87">
        <v>-4</v>
      </c>
    </row>
    <row r="3" spans="1:118" ht="15">
      <c r="A3" s="84" t="s">
        <v>305</v>
      </c>
      <c r="B3" s="87" t="s">
        <v>304</v>
      </c>
      <c r="C3" s="87" t="s">
        <v>246</v>
      </c>
      <c r="D3" s="87" t="s">
        <v>245</v>
      </c>
      <c r="E3" s="87"/>
      <c r="F3" s="87" t="s">
        <v>252</v>
      </c>
      <c r="G3" s="128">
        <v>44995.80060185185</v>
      </c>
      <c r="H3" s="87" t="s">
        <v>262</v>
      </c>
      <c r="I3" s="87" t="s">
        <v>450</v>
      </c>
      <c r="J3" s="87" t="s">
        <v>272</v>
      </c>
      <c r="K3" s="87" t="s">
        <v>276</v>
      </c>
      <c r="L3" s="87"/>
      <c r="M3" s="87" t="s">
        <v>463</v>
      </c>
      <c r="N3" s="128">
        <v>44995.80060185185</v>
      </c>
      <c r="O3" s="128">
        <v>44995</v>
      </c>
      <c r="P3" s="129">
        <v>0.800601851851852</v>
      </c>
      <c r="Q3" s="87" t="s">
        <v>473</v>
      </c>
      <c r="R3" s="87"/>
      <c r="S3" s="87"/>
      <c r="T3" s="87" t="s">
        <v>305</v>
      </c>
      <c r="U3" s="87"/>
      <c r="V3" s="87" t="b">
        <v>0</v>
      </c>
      <c r="W3" s="87">
        <v>0</v>
      </c>
      <c r="X3" s="87"/>
      <c r="Y3" s="87" t="b">
        <v>0</v>
      </c>
      <c r="Z3" s="87" t="s">
        <v>310</v>
      </c>
      <c r="AA3" s="87"/>
      <c r="AB3" s="87"/>
      <c r="AC3" s="87" t="b">
        <v>0</v>
      </c>
      <c r="AD3" s="87">
        <v>1</v>
      </c>
      <c r="AE3" s="87" t="s">
        <v>304</v>
      </c>
      <c r="AF3" s="87" t="s">
        <v>318</v>
      </c>
      <c r="AG3" s="87" t="b">
        <v>0</v>
      </c>
      <c r="AH3" s="87" t="s">
        <v>304</v>
      </c>
      <c r="AI3" s="87" t="s">
        <v>196</v>
      </c>
      <c r="AJ3" s="87">
        <v>0</v>
      </c>
      <c r="AK3" s="87">
        <v>0</v>
      </c>
      <c r="AL3" s="87"/>
      <c r="AM3" s="87"/>
      <c r="AN3" s="87"/>
      <c r="AO3" s="87"/>
      <c r="AP3" s="87"/>
      <c r="AQ3" s="87"/>
      <c r="AR3" s="87"/>
      <c r="AS3" s="87"/>
      <c r="AT3" s="87">
        <v>1</v>
      </c>
      <c r="AU3" s="87">
        <v>2</v>
      </c>
      <c r="AV3" s="87">
        <v>2</v>
      </c>
      <c r="AW3" s="87" t="s">
        <v>246</v>
      </c>
      <c r="AX3" s="87"/>
      <c r="AY3" s="87"/>
      <c r="AZ3" s="87"/>
      <c r="BA3" s="87"/>
      <c r="BB3" s="87"/>
      <c r="BC3" s="87"/>
      <c r="BD3" s="87"/>
      <c r="BE3" s="87"/>
      <c r="BF3" s="87"/>
      <c r="BG3" s="87" t="s">
        <v>356</v>
      </c>
      <c r="BH3" s="87" t="s">
        <v>500</v>
      </c>
      <c r="BI3" s="87">
        <v>9</v>
      </c>
      <c r="BJ3" s="87">
        <v>6679</v>
      </c>
      <c r="BK3" s="87">
        <v>109907</v>
      </c>
      <c r="BL3" s="87">
        <v>107240</v>
      </c>
      <c r="BM3" s="87"/>
      <c r="BN3" s="87" t="s">
        <v>380</v>
      </c>
      <c r="BO3" s="87" t="s">
        <v>395</v>
      </c>
      <c r="BP3" s="87"/>
      <c r="BQ3" s="87"/>
      <c r="BR3" s="128">
        <v>44190.85114583333</v>
      </c>
      <c r="BS3" s="87" t="s">
        <v>528</v>
      </c>
      <c r="BT3" s="87" t="b">
        <v>1</v>
      </c>
      <c r="BU3" s="87" t="b">
        <v>0</v>
      </c>
      <c r="BV3" s="87" t="b">
        <v>0</v>
      </c>
      <c r="BW3" s="87"/>
      <c r="BX3" s="87">
        <v>53</v>
      </c>
      <c r="BY3" s="87"/>
      <c r="BZ3" s="87" t="b">
        <v>0</v>
      </c>
      <c r="CA3" s="87" t="s">
        <v>66</v>
      </c>
      <c r="CB3" s="87">
        <v>2</v>
      </c>
      <c r="CC3" s="87" t="s">
        <v>245</v>
      </c>
      <c r="CD3" s="87"/>
      <c r="CE3" s="87"/>
      <c r="CF3" s="87"/>
      <c r="CG3" s="87"/>
      <c r="CH3" s="87"/>
      <c r="CI3" s="87"/>
      <c r="CJ3" s="87"/>
      <c r="CK3" s="87"/>
      <c r="CL3" s="87"/>
      <c r="CM3" s="87" t="s">
        <v>354</v>
      </c>
      <c r="CN3" s="87" t="s">
        <v>363</v>
      </c>
      <c r="CO3" s="87">
        <v>159</v>
      </c>
      <c r="CP3" s="87">
        <v>293</v>
      </c>
      <c r="CQ3" s="87">
        <v>320</v>
      </c>
      <c r="CR3" s="87">
        <v>83</v>
      </c>
      <c r="CS3" s="87"/>
      <c r="CT3" s="87" t="s">
        <v>378</v>
      </c>
      <c r="CU3" s="87" t="s">
        <v>393</v>
      </c>
      <c r="CV3" s="87" t="s">
        <v>516</v>
      </c>
      <c r="CW3" s="87"/>
      <c r="CX3" s="128">
        <v>41827.71931712963</v>
      </c>
      <c r="CY3" s="87" t="s">
        <v>529</v>
      </c>
      <c r="CZ3" s="87" t="b">
        <v>1</v>
      </c>
      <c r="DA3" s="87" t="b">
        <v>0</v>
      </c>
      <c r="DB3" s="87" t="b">
        <v>0</v>
      </c>
      <c r="DC3" s="87"/>
      <c r="DD3" s="87">
        <v>9</v>
      </c>
      <c r="DE3" s="87" t="s">
        <v>546</v>
      </c>
      <c r="DF3" s="87" t="b">
        <v>0</v>
      </c>
      <c r="DG3" s="87" t="s">
        <v>66</v>
      </c>
      <c r="DH3" s="87">
        <v>2</v>
      </c>
      <c r="DI3" s="87">
        <v>2</v>
      </c>
      <c r="DJ3" s="87">
        <v>2</v>
      </c>
      <c r="DK3" s="87">
        <v>2</v>
      </c>
      <c r="DL3" s="87">
        <v>1</v>
      </c>
      <c r="DM3" s="87">
        <v>-3</v>
      </c>
      <c r="DN3" s="87">
        <v>-3</v>
      </c>
    </row>
    <row r="4" spans="1:118" ht="15">
      <c r="A4" s="84" t="s">
        <v>305</v>
      </c>
      <c r="B4" s="87" t="s">
        <v>304</v>
      </c>
      <c r="C4" s="87" t="s">
        <v>246</v>
      </c>
      <c r="D4" s="87" t="s">
        <v>251</v>
      </c>
      <c r="E4" s="87"/>
      <c r="F4" s="87" t="s">
        <v>254</v>
      </c>
      <c r="G4" s="128">
        <v>44995.80060185185</v>
      </c>
      <c r="H4" s="87" t="s">
        <v>262</v>
      </c>
      <c r="I4" s="87" t="s">
        <v>450</v>
      </c>
      <c r="J4" s="87" t="s">
        <v>272</v>
      </c>
      <c r="K4" s="87" t="s">
        <v>276</v>
      </c>
      <c r="L4" s="87"/>
      <c r="M4" s="87" t="s">
        <v>463</v>
      </c>
      <c r="N4" s="128">
        <v>44995.80060185185</v>
      </c>
      <c r="O4" s="128">
        <v>44995</v>
      </c>
      <c r="P4" s="129">
        <v>0.800601851851852</v>
      </c>
      <c r="Q4" s="87" t="s">
        <v>473</v>
      </c>
      <c r="R4" s="87"/>
      <c r="S4" s="87"/>
      <c r="T4" s="87" t="s">
        <v>305</v>
      </c>
      <c r="U4" s="87"/>
      <c r="V4" s="87" t="b">
        <v>0</v>
      </c>
      <c r="W4" s="87">
        <v>0</v>
      </c>
      <c r="X4" s="87"/>
      <c r="Y4" s="87" t="b">
        <v>0</v>
      </c>
      <c r="Z4" s="87" t="s">
        <v>310</v>
      </c>
      <c r="AA4" s="87"/>
      <c r="AB4" s="87"/>
      <c r="AC4" s="87" t="b">
        <v>0</v>
      </c>
      <c r="AD4" s="87">
        <v>1</v>
      </c>
      <c r="AE4" s="87" t="s">
        <v>304</v>
      </c>
      <c r="AF4" s="87" t="s">
        <v>318</v>
      </c>
      <c r="AG4" s="87" t="b">
        <v>0</v>
      </c>
      <c r="AH4" s="87" t="s">
        <v>304</v>
      </c>
      <c r="AI4" s="87" t="s">
        <v>196</v>
      </c>
      <c r="AJ4" s="87">
        <v>0</v>
      </c>
      <c r="AK4" s="87">
        <v>0</v>
      </c>
      <c r="AL4" s="87"/>
      <c r="AM4" s="87"/>
      <c r="AN4" s="87"/>
      <c r="AO4" s="87"/>
      <c r="AP4" s="87"/>
      <c r="AQ4" s="87"/>
      <c r="AR4" s="87"/>
      <c r="AS4" s="87"/>
      <c r="AT4" s="87">
        <v>1</v>
      </c>
      <c r="AU4" s="87">
        <v>2</v>
      </c>
      <c r="AV4" s="87">
        <v>2</v>
      </c>
      <c r="AW4" s="87" t="s">
        <v>246</v>
      </c>
      <c r="AX4" s="87"/>
      <c r="AY4" s="87"/>
      <c r="AZ4" s="87"/>
      <c r="BA4" s="87"/>
      <c r="BB4" s="87"/>
      <c r="BC4" s="87"/>
      <c r="BD4" s="87"/>
      <c r="BE4" s="87"/>
      <c r="BF4" s="87"/>
      <c r="BG4" s="87" t="s">
        <v>356</v>
      </c>
      <c r="BH4" s="87" t="s">
        <v>500</v>
      </c>
      <c r="BI4" s="87">
        <v>9</v>
      </c>
      <c r="BJ4" s="87">
        <v>6679</v>
      </c>
      <c r="BK4" s="87">
        <v>109907</v>
      </c>
      <c r="BL4" s="87">
        <v>107240</v>
      </c>
      <c r="BM4" s="87"/>
      <c r="BN4" s="87" t="s">
        <v>380</v>
      </c>
      <c r="BO4" s="87" t="s">
        <v>395</v>
      </c>
      <c r="BP4" s="87"/>
      <c r="BQ4" s="87"/>
      <c r="BR4" s="128">
        <v>44190.85114583333</v>
      </c>
      <c r="BS4" s="87" t="s">
        <v>528</v>
      </c>
      <c r="BT4" s="87" t="b">
        <v>1</v>
      </c>
      <c r="BU4" s="87" t="b">
        <v>0</v>
      </c>
      <c r="BV4" s="87" t="b">
        <v>0</v>
      </c>
      <c r="BW4" s="87"/>
      <c r="BX4" s="87">
        <v>53</v>
      </c>
      <c r="BY4" s="87"/>
      <c r="BZ4" s="87" t="b">
        <v>0</v>
      </c>
      <c r="CA4" s="87" t="s">
        <v>66</v>
      </c>
      <c r="CB4" s="87">
        <v>2</v>
      </c>
      <c r="CC4" s="87" t="s">
        <v>251</v>
      </c>
      <c r="CD4" s="87"/>
      <c r="CE4" s="87"/>
      <c r="CF4" s="87"/>
      <c r="CG4" s="87"/>
      <c r="CH4" s="87"/>
      <c r="CI4" s="87"/>
      <c r="CJ4" s="87"/>
      <c r="CK4" s="87"/>
      <c r="CL4" s="87"/>
      <c r="CM4" s="87" t="s">
        <v>355</v>
      </c>
      <c r="CN4" s="87" t="s">
        <v>564</v>
      </c>
      <c r="CO4" s="87">
        <v>1701</v>
      </c>
      <c r="CP4" s="87">
        <v>4172</v>
      </c>
      <c r="CQ4" s="87">
        <v>5394</v>
      </c>
      <c r="CR4" s="87">
        <v>4813</v>
      </c>
      <c r="CS4" s="87"/>
      <c r="CT4" s="87" t="s">
        <v>379</v>
      </c>
      <c r="CU4" s="87" t="s">
        <v>394</v>
      </c>
      <c r="CV4" s="87" t="s">
        <v>576</v>
      </c>
      <c r="CW4" s="87"/>
      <c r="CX4" s="128">
        <v>43081.23804398148</v>
      </c>
      <c r="CY4" s="87" t="s">
        <v>584</v>
      </c>
      <c r="CZ4" s="87" t="b">
        <v>0</v>
      </c>
      <c r="DA4" s="87" t="b">
        <v>0</v>
      </c>
      <c r="DB4" s="87" t="b">
        <v>1</v>
      </c>
      <c r="DC4" s="87"/>
      <c r="DD4" s="87">
        <v>112</v>
      </c>
      <c r="DE4" s="87" t="s">
        <v>546</v>
      </c>
      <c r="DF4" s="87" t="b">
        <v>0</v>
      </c>
      <c r="DG4" s="87" t="s">
        <v>65</v>
      </c>
      <c r="DH4" s="87">
        <v>2</v>
      </c>
      <c r="DI4" s="87">
        <v>2</v>
      </c>
      <c r="DJ4" s="87">
        <v>2</v>
      </c>
      <c r="DK4" s="87">
        <v>2</v>
      </c>
      <c r="DL4" s="87">
        <v>1</v>
      </c>
      <c r="DM4" s="87">
        <v>-3</v>
      </c>
      <c r="DN4" s="87">
        <v>-3</v>
      </c>
    </row>
    <row r="5" spans="1:118" ht="15">
      <c r="A5" s="84" t="s">
        <v>304</v>
      </c>
      <c r="B5" s="87" t="s">
        <v>304</v>
      </c>
      <c r="C5" s="87" t="s">
        <v>245</v>
      </c>
      <c r="D5" s="87" t="s">
        <v>251</v>
      </c>
      <c r="E5" s="87"/>
      <c r="F5" s="87" t="s">
        <v>253</v>
      </c>
      <c r="G5" s="128">
        <v>44995.79017361111</v>
      </c>
      <c r="H5" s="87" t="s">
        <v>262</v>
      </c>
      <c r="I5" s="87" t="s">
        <v>450</v>
      </c>
      <c r="J5" s="87" t="s">
        <v>272</v>
      </c>
      <c r="K5" s="87" t="s">
        <v>276</v>
      </c>
      <c r="L5" s="87"/>
      <c r="M5" s="87" t="s">
        <v>464</v>
      </c>
      <c r="N5" s="128">
        <v>44995.79017361111</v>
      </c>
      <c r="O5" s="128">
        <v>44995</v>
      </c>
      <c r="P5" s="129">
        <v>0.7901736111111112</v>
      </c>
      <c r="Q5" s="87" t="s">
        <v>474</v>
      </c>
      <c r="R5" s="87"/>
      <c r="S5" s="87"/>
      <c r="T5" s="87" t="s">
        <v>304</v>
      </c>
      <c r="U5" s="87"/>
      <c r="V5" s="87" t="b">
        <v>0</v>
      </c>
      <c r="W5" s="87">
        <v>1</v>
      </c>
      <c r="X5" s="87"/>
      <c r="Y5" s="87" t="b">
        <v>0</v>
      </c>
      <c r="Z5" s="87" t="s">
        <v>310</v>
      </c>
      <c r="AA5" s="87"/>
      <c r="AB5" s="87"/>
      <c r="AC5" s="87" t="b">
        <v>0</v>
      </c>
      <c r="AD5" s="87">
        <v>1</v>
      </c>
      <c r="AE5" s="87"/>
      <c r="AF5" s="87" t="s">
        <v>311</v>
      </c>
      <c r="AG5" s="87" t="b">
        <v>0</v>
      </c>
      <c r="AH5" s="87" t="s">
        <v>304</v>
      </c>
      <c r="AI5" s="87" t="s">
        <v>196</v>
      </c>
      <c r="AJ5" s="87">
        <v>0</v>
      </c>
      <c r="AK5" s="87">
        <v>0</v>
      </c>
      <c r="AL5" s="87"/>
      <c r="AM5" s="87"/>
      <c r="AN5" s="87"/>
      <c r="AO5" s="87"/>
      <c r="AP5" s="87"/>
      <c r="AQ5" s="87"/>
      <c r="AR5" s="87"/>
      <c r="AS5" s="87"/>
      <c r="AT5" s="87">
        <v>1</v>
      </c>
      <c r="AU5" s="87">
        <v>2</v>
      </c>
      <c r="AV5" s="87">
        <v>2</v>
      </c>
      <c r="AW5" s="87" t="s">
        <v>245</v>
      </c>
      <c r="AX5" s="87"/>
      <c r="AY5" s="87"/>
      <c r="AZ5" s="87"/>
      <c r="BA5" s="87"/>
      <c r="BB5" s="87"/>
      <c r="BC5" s="87"/>
      <c r="BD5" s="87"/>
      <c r="BE5" s="87"/>
      <c r="BF5" s="87"/>
      <c r="BG5" s="87" t="s">
        <v>354</v>
      </c>
      <c r="BH5" s="87" t="s">
        <v>363</v>
      </c>
      <c r="BI5" s="87">
        <v>159</v>
      </c>
      <c r="BJ5" s="87">
        <v>293</v>
      </c>
      <c r="BK5" s="87">
        <v>320</v>
      </c>
      <c r="BL5" s="87">
        <v>83</v>
      </c>
      <c r="BM5" s="87"/>
      <c r="BN5" s="87" t="s">
        <v>378</v>
      </c>
      <c r="BO5" s="87" t="s">
        <v>393</v>
      </c>
      <c r="BP5" s="87" t="s">
        <v>516</v>
      </c>
      <c r="BQ5" s="87"/>
      <c r="BR5" s="128">
        <v>41827.71931712963</v>
      </c>
      <c r="BS5" s="87" t="s">
        <v>529</v>
      </c>
      <c r="BT5" s="87" t="b">
        <v>1</v>
      </c>
      <c r="BU5" s="87" t="b">
        <v>0</v>
      </c>
      <c r="BV5" s="87" t="b">
        <v>0</v>
      </c>
      <c r="BW5" s="87"/>
      <c r="BX5" s="87">
        <v>9</v>
      </c>
      <c r="BY5" s="87" t="s">
        <v>546</v>
      </c>
      <c r="BZ5" s="87" t="b">
        <v>0</v>
      </c>
      <c r="CA5" s="87" t="s">
        <v>66</v>
      </c>
      <c r="CB5" s="87">
        <v>2</v>
      </c>
      <c r="CC5" s="87" t="s">
        <v>251</v>
      </c>
      <c r="CD5" s="87"/>
      <c r="CE5" s="87"/>
      <c r="CF5" s="87"/>
      <c r="CG5" s="87"/>
      <c r="CH5" s="87"/>
      <c r="CI5" s="87"/>
      <c r="CJ5" s="87"/>
      <c r="CK5" s="87"/>
      <c r="CL5" s="87"/>
      <c r="CM5" s="87" t="s">
        <v>355</v>
      </c>
      <c r="CN5" s="87" t="s">
        <v>564</v>
      </c>
      <c r="CO5" s="87">
        <v>1701</v>
      </c>
      <c r="CP5" s="87">
        <v>4172</v>
      </c>
      <c r="CQ5" s="87">
        <v>5394</v>
      </c>
      <c r="CR5" s="87">
        <v>4813</v>
      </c>
      <c r="CS5" s="87"/>
      <c r="CT5" s="87" t="s">
        <v>379</v>
      </c>
      <c r="CU5" s="87" t="s">
        <v>394</v>
      </c>
      <c r="CV5" s="87" t="s">
        <v>576</v>
      </c>
      <c r="CW5" s="87"/>
      <c r="CX5" s="128">
        <v>43081.23804398148</v>
      </c>
      <c r="CY5" s="87" t="s">
        <v>584</v>
      </c>
      <c r="CZ5" s="87" t="b">
        <v>0</v>
      </c>
      <c r="DA5" s="87" t="b">
        <v>0</v>
      </c>
      <c r="DB5" s="87" t="b">
        <v>1</v>
      </c>
      <c r="DC5" s="87"/>
      <c r="DD5" s="87">
        <v>112</v>
      </c>
      <c r="DE5" s="87" t="s">
        <v>546</v>
      </c>
      <c r="DF5" s="87" t="b">
        <v>0</v>
      </c>
      <c r="DG5" s="87" t="s">
        <v>65</v>
      </c>
      <c r="DH5" s="87">
        <v>2</v>
      </c>
      <c r="DI5" s="87">
        <v>2</v>
      </c>
      <c r="DJ5" s="87">
        <v>2</v>
      </c>
      <c r="DK5" s="87">
        <v>1</v>
      </c>
      <c r="DL5" s="87">
        <v>1</v>
      </c>
      <c r="DM5" s="87">
        <v>-3</v>
      </c>
      <c r="DN5" s="87">
        <v>-3</v>
      </c>
    </row>
    <row r="6" spans="1:118" ht="15">
      <c r="A6" s="84" t="s">
        <v>303</v>
      </c>
      <c r="B6" s="87" t="s">
        <v>302</v>
      </c>
      <c r="C6" s="87" t="s">
        <v>244</v>
      </c>
      <c r="D6" s="87" t="s">
        <v>243</v>
      </c>
      <c r="E6" s="87"/>
      <c r="F6" s="87" t="s">
        <v>252</v>
      </c>
      <c r="G6" s="128">
        <v>44994.838854166665</v>
      </c>
      <c r="H6" s="87" t="s">
        <v>261</v>
      </c>
      <c r="I6" s="87" t="s">
        <v>451</v>
      </c>
      <c r="J6" s="87" t="s">
        <v>271</v>
      </c>
      <c r="K6" s="87"/>
      <c r="L6" s="87" t="s">
        <v>458</v>
      </c>
      <c r="M6" s="87" t="s">
        <v>458</v>
      </c>
      <c r="N6" s="128">
        <v>44994.838854166665</v>
      </c>
      <c r="O6" s="128">
        <v>44994</v>
      </c>
      <c r="P6" s="129">
        <v>0.8388541666666667</v>
      </c>
      <c r="Q6" s="87" t="s">
        <v>475</v>
      </c>
      <c r="R6" s="87"/>
      <c r="S6" s="87"/>
      <c r="T6" s="87" t="s">
        <v>303</v>
      </c>
      <c r="U6" s="87"/>
      <c r="V6" s="87" t="b">
        <v>0</v>
      </c>
      <c r="W6" s="87">
        <v>0</v>
      </c>
      <c r="X6" s="87"/>
      <c r="Y6" s="87" t="b">
        <v>0</v>
      </c>
      <c r="Z6" s="87" t="s">
        <v>310</v>
      </c>
      <c r="AA6" s="87"/>
      <c r="AB6" s="87"/>
      <c r="AC6" s="87" t="b">
        <v>0</v>
      </c>
      <c r="AD6" s="87">
        <v>1</v>
      </c>
      <c r="AE6" s="87" t="s">
        <v>302</v>
      </c>
      <c r="AF6" s="87" t="s">
        <v>312</v>
      </c>
      <c r="AG6" s="87" t="b">
        <v>0</v>
      </c>
      <c r="AH6" s="87" t="s">
        <v>302</v>
      </c>
      <c r="AI6" s="87" t="s">
        <v>196</v>
      </c>
      <c r="AJ6" s="87">
        <v>0</v>
      </c>
      <c r="AK6" s="87">
        <v>0</v>
      </c>
      <c r="AL6" s="87"/>
      <c r="AM6" s="87"/>
      <c r="AN6" s="87"/>
      <c r="AO6" s="87"/>
      <c r="AP6" s="87"/>
      <c r="AQ6" s="87"/>
      <c r="AR6" s="87"/>
      <c r="AS6" s="87"/>
      <c r="AT6" s="87">
        <v>1</v>
      </c>
      <c r="AU6" s="87">
        <v>4</v>
      </c>
      <c r="AV6" s="87">
        <v>4</v>
      </c>
      <c r="AW6" s="87" t="s">
        <v>244</v>
      </c>
      <c r="AX6" s="87"/>
      <c r="AY6" s="87"/>
      <c r="AZ6" s="87"/>
      <c r="BA6" s="87"/>
      <c r="BB6" s="87"/>
      <c r="BC6" s="87"/>
      <c r="BD6" s="87"/>
      <c r="BE6" s="87"/>
      <c r="BF6" s="87"/>
      <c r="BG6" s="87" t="s">
        <v>353</v>
      </c>
      <c r="BH6" s="87" t="s">
        <v>362</v>
      </c>
      <c r="BI6" s="87">
        <v>3357</v>
      </c>
      <c r="BJ6" s="87">
        <v>4509</v>
      </c>
      <c r="BK6" s="87">
        <v>51502</v>
      </c>
      <c r="BL6" s="87">
        <v>155111</v>
      </c>
      <c r="BM6" s="87"/>
      <c r="BN6" s="87" t="s">
        <v>377</v>
      </c>
      <c r="BO6" s="87" t="s">
        <v>392</v>
      </c>
      <c r="BP6" s="87"/>
      <c r="BQ6" s="87"/>
      <c r="BR6" s="128">
        <v>42174.84355324074</v>
      </c>
      <c r="BS6" s="87" t="s">
        <v>530</v>
      </c>
      <c r="BT6" s="87" t="b">
        <v>0</v>
      </c>
      <c r="BU6" s="87" t="b">
        <v>0</v>
      </c>
      <c r="BV6" s="87" t="b">
        <v>1</v>
      </c>
      <c r="BW6" s="87"/>
      <c r="BX6" s="87">
        <v>39</v>
      </c>
      <c r="BY6" s="87" t="s">
        <v>547</v>
      </c>
      <c r="BZ6" s="87" t="b">
        <v>0</v>
      </c>
      <c r="CA6" s="87" t="s">
        <v>66</v>
      </c>
      <c r="CB6" s="87">
        <v>4</v>
      </c>
      <c r="CC6" s="87" t="s">
        <v>243</v>
      </c>
      <c r="CD6" s="87"/>
      <c r="CE6" s="87"/>
      <c r="CF6" s="87"/>
      <c r="CG6" s="87"/>
      <c r="CH6" s="87"/>
      <c r="CI6" s="87"/>
      <c r="CJ6" s="87"/>
      <c r="CK6" s="87"/>
      <c r="CL6" s="87"/>
      <c r="CM6" s="87" t="s">
        <v>352</v>
      </c>
      <c r="CN6" s="87" t="s">
        <v>361</v>
      </c>
      <c r="CO6" s="87">
        <v>875</v>
      </c>
      <c r="CP6" s="87">
        <v>25128</v>
      </c>
      <c r="CQ6" s="87">
        <v>12002</v>
      </c>
      <c r="CR6" s="87">
        <v>1115</v>
      </c>
      <c r="CS6" s="87"/>
      <c r="CT6" s="87" t="s">
        <v>376</v>
      </c>
      <c r="CU6" s="87" t="s">
        <v>391</v>
      </c>
      <c r="CV6" s="87" t="s">
        <v>517</v>
      </c>
      <c r="CW6" s="87"/>
      <c r="CX6" s="128">
        <v>40142.61902777778</v>
      </c>
      <c r="CY6" s="87" t="s">
        <v>531</v>
      </c>
      <c r="CZ6" s="87" t="b">
        <v>0</v>
      </c>
      <c r="DA6" s="87" t="b">
        <v>0</v>
      </c>
      <c r="DB6" s="87" t="b">
        <v>0</v>
      </c>
      <c r="DC6" s="87"/>
      <c r="DD6" s="87">
        <v>321</v>
      </c>
      <c r="DE6" s="87" t="s">
        <v>546</v>
      </c>
      <c r="DF6" s="87" t="b">
        <v>0</v>
      </c>
      <c r="DG6" s="87" t="s">
        <v>66</v>
      </c>
      <c r="DH6" s="87">
        <v>4</v>
      </c>
      <c r="DI6" s="87">
        <v>3</v>
      </c>
      <c r="DJ6" s="87">
        <v>3</v>
      </c>
      <c r="DK6" s="87">
        <v>2</v>
      </c>
      <c r="DL6" s="87">
        <v>1</v>
      </c>
      <c r="DM6" s="87">
        <v>-2</v>
      </c>
      <c r="DN6" s="87">
        <v>-2</v>
      </c>
    </row>
    <row r="7" spans="1:118" ht="15">
      <c r="A7" s="84" t="s">
        <v>302</v>
      </c>
      <c r="B7" s="87" t="s">
        <v>302</v>
      </c>
      <c r="C7" s="87" t="s">
        <v>243</v>
      </c>
      <c r="D7" s="87" t="s">
        <v>243</v>
      </c>
      <c r="E7" s="87"/>
      <c r="F7" s="87" t="s">
        <v>196</v>
      </c>
      <c r="G7" s="128">
        <v>44994.83495370371</v>
      </c>
      <c r="H7" s="87" t="s">
        <v>261</v>
      </c>
      <c r="I7" s="87" t="s">
        <v>451</v>
      </c>
      <c r="J7" s="87" t="s">
        <v>271</v>
      </c>
      <c r="K7" s="87"/>
      <c r="L7" s="87" t="s">
        <v>458</v>
      </c>
      <c r="M7" s="87" t="s">
        <v>458</v>
      </c>
      <c r="N7" s="128">
        <v>44994.83495370371</v>
      </c>
      <c r="O7" s="128">
        <v>44994</v>
      </c>
      <c r="P7" s="129">
        <v>0.8349537037037037</v>
      </c>
      <c r="Q7" s="87" t="s">
        <v>476</v>
      </c>
      <c r="R7" s="87"/>
      <c r="S7" s="87"/>
      <c r="T7" s="87" t="s">
        <v>302</v>
      </c>
      <c r="U7" s="87"/>
      <c r="V7" s="87" t="b">
        <v>0</v>
      </c>
      <c r="W7" s="87">
        <v>1</v>
      </c>
      <c r="X7" s="87"/>
      <c r="Y7" s="87" t="b">
        <v>0</v>
      </c>
      <c r="Z7" s="87" t="s">
        <v>310</v>
      </c>
      <c r="AA7" s="87"/>
      <c r="AB7" s="87"/>
      <c r="AC7" s="87" t="b">
        <v>0</v>
      </c>
      <c r="AD7" s="87">
        <v>1</v>
      </c>
      <c r="AE7" s="87"/>
      <c r="AF7" s="87" t="s">
        <v>314</v>
      </c>
      <c r="AG7" s="87" t="b">
        <v>0</v>
      </c>
      <c r="AH7" s="87" t="s">
        <v>302</v>
      </c>
      <c r="AI7" s="87" t="s">
        <v>196</v>
      </c>
      <c r="AJ7" s="87">
        <v>0</v>
      </c>
      <c r="AK7" s="87">
        <v>0</v>
      </c>
      <c r="AL7" s="87"/>
      <c r="AM7" s="87"/>
      <c r="AN7" s="87"/>
      <c r="AO7" s="87"/>
      <c r="AP7" s="87"/>
      <c r="AQ7" s="87"/>
      <c r="AR7" s="87"/>
      <c r="AS7" s="87"/>
      <c r="AT7" s="87">
        <v>1</v>
      </c>
      <c r="AU7" s="87">
        <v>4</v>
      </c>
      <c r="AV7" s="87">
        <v>4</v>
      </c>
      <c r="AW7" s="87" t="s">
        <v>243</v>
      </c>
      <c r="AX7" s="87"/>
      <c r="AY7" s="87"/>
      <c r="AZ7" s="87"/>
      <c r="BA7" s="87"/>
      <c r="BB7" s="87"/>
      <c r="BC7" s="87"/>
      <c r="BD7" s="87"/>
      <c r="BE7" s="87"/>
      <c r="BF7" s="87"/>
      <c r="BG7" s="87" t="s">
        <v>352</v>
      </c>
      <c r="BH7" s="87" t="s">
        <v>361</v>
      </c>
      <c r="BI7" s="87">
        <v>875</v>
      </c>
      <c r="BJ7" s="87">
        <v>25128</v>
      </c>
      <c r="BK7" s="87">
        <v>12002</v>
      </c>
      <c r="BL7" s="87">
        <v>1115</v>
      </c>
      <c r="BM7" s="87"/>
      <c r="BN7" s="87" t="s">
        <v>376</v>
      </c>
      <c r="BO7" s="87" t="s">
        <v>391</v>
      </c>
      <c r="BP7" s="87" t="s">
        <v>517</v>
      </c>
      <c r="BQ7" s="87"/>
      <c r="BR7" s="128">
        <v>40142.61902777778</v>
      </c>
      <c r="BS7" s="87" t="s">
        <v>531</v>
      </c>
      <c r="BT7" s="87" t="b">
        <v>0</v>
      </c>
      <c r="BU7" s="87" t="b">
        <v>0</v>
      </c>
      <c r="BV7" s="87" t="b">
        <v>0</v>
      </c>
      <c r="BW7" s="87"/>
      <c r="BX7" s="87">
        <v>321</v>
      </c>
      <c r="BY7" s="87" t="s">
        <v>546</v>
      </c>
      <c r="BZ7" s="87" t="b">
        <v>0</v>
      </c>
      <c r="CA7" s="87" t="s">
        <v>66</v>
      </c>
      <c r="CB7" s="87">
        <v>4</v>
      </c>
      <c r="CC7" s="87" t="s">
        <v>243</v>
      </c>
      <c r="CD7" s="87"/>
      <c r="CE7" s="87"/>
      <c r="CF7" s="87"/>
      <c r="CG7" s="87"/>
      <c r="CH7" s="87"/>
      <c r="CI7" s="87"/>
      <c r="CJ7" s="87"/>
      <c r="CK7" s="87"/>
      <c r="CL7" s="87"/>
      <c r="CM7" s="87" t="s">
        <v>352</v>
      </c>
      <c r="CN7" s="87" t="s">
        <v>361</v>
      </c>
      <c r="CO7" s="87">
        <v>875</v>
      </c>
      <c r="CP7" s="87">
        <v>25128</v>
      </c>
      <c r="CQ7" s="87">
        <v>12002</v>
      </c>
      <c r="CR7" s="87">
        <v>1115</v>
      </c>
      <c r="CS7" s="87"/>
      <c r="CT7" s="87" t="s">
        <v>376</v>
      </c>
      <c r="CU7" s="87" t="s">
        <v>391</v>
      </c>
      <c r="CV7" s="87" t="s">
        <v>517</v>
      </c>
      <c r="CW7" s="87"/>
      <c r="CX7" s="128">
        <v>40142.61902777778</v>
      </c>
      <c r="CY7" s="87" t="s">
        <v>531</v>
      </c>
      <c r="CZ7" s="87" t="b">
        <v>0</v>
      </c>
      <c r="DA7" s="87" t="b">
        <v>0</v>
      </c>
      <c r="DB7" s="87" t="b">
        <v>0</v>
      </c>
      <c r="DC7" s="87"/>
      <c r="DD7" s="87">
        <v>321</v>
      </c>
      <c r="DE7" s="87" t="s">
        <v>546</v>
      </c>
      <c r="DF7" s="87" t="b">
        <v>0</v>
      </c>
      <c r="DG7" s="87" t="s">
        <v>66</v>
      </c>
      <c r="DH7" s="87">
        <v>4</v>
      </c>
      <c r="DI7" s="87">
        <v>3</v>
      </c>
      <c r="DJ7" s="87">
        <v>3</v>
      </c>
      <c r="DK7" s="87">
        <v>1</v>
      </c>
      <c r="DL7" s="87">
        <v>1</v>
      </c>
      <c r="DM7" s="87">
        <v>-2</v>
      </c>
      <c r="DN7" s="87">
        <v>-2</v>
      </c>
    </row>
    <row r="8" spans="1:118" ht="15">
      <c r="A8" s="84" t="s">
        <v>301</v>
      </c>
      <c r="B8" s="87" t="s">
        <v>301</v>
      </c>
      <c r="C8" s="87" t="s">
        <v>242</v>
      </c>
      <c r="D8" s="87" t="s">
        <v>242</v>
      </c>
      <c r="E8" s="87"/>
      <c r="F8" s="87" t="s">
        <v>196</v>
      </c>
      <c r="G8" s="128">
        <v>44992.66726851852</v>
      </c>
      <c r="H8" s="87" t="s">
        <v>260</v>
      </c>
      <c r="I8" s="87" t="s">
        <v>452</v>
      </c>
      <c r="J8" s="87" t="s">
        <v>270</v>
      </c>
      <c r="K8" s="87" t="s">
        <v>275</v>
      </c>
      <c r="L8" s="87" t="s">
        <v>459</v>
      </c>
      <c r="M8" s="87" t="s">
        <v>459</v>
      </c>
      <c r="N8" s="128">
        <v>44992.66726851852</v>
      </c>
      <c r="O8" s="128">
        <v>44992</v>
      </c>
      <c r="P8" s="129">
        <v>0.6672685185185184</v>
      </c>
      <c r="Q8" s="87" t="s">
        <v>477</v>
      </c>
      <c r="R8" s="87"/>
      <c r="S8" s="87"/>
      <c r="T8" s="87" t="s">
        <v>301</v>
      </c>
      <c r="U8" s="87"/>
      <c r="V8" s="87" t="b">
        <v>0</v>
      </c>
      <c r="W8" s="87">
        <v>0</v>
      </c>
      <c r="X8" s="87"/>
      <c r="Y8" s="87" t="b">
        <v>0</v>
      </c>
      <c r="Z8" s="87" t="s">
        <v>310</v>
      </c>
      <c r="AA8" s="87"/>
      <c r="AB8" s="87"/>
      <c r="AC8" s="87" t="b">
        <v>0</v>
      </c>
      <c r="AD8" s="87">
        <v>0</v>
      </c>
      <c r="AE8" s="87"/>
      <c r="AF8" s="87" t="s">
        <v>317</v>
      </c>
      <c r="AG8" s="87" t="b">
        <v>0</v>
      </c>
      <c r="AH8" s="87" t="s">
        <v>301</v>
      </c>
      <c r="AI8" s="87" t="s">
        <v>196</v>
      </c>
      <c r="AJ8" s="87">
        <v>0</v>
      </c>
      <c r="AK8" s="87">
        <v>0</v>
      </c>
      <c r="AL8" s="87"/>
      <c r="AM8" s="87"/>
      <c r="AN8" s="87"/>
      <c r="AO8" s="87"/>
      <c r="AP8" s="87"/>
      <c r="AQ8" s="87"/>
      <c r="AR8" s="87"/>
      <c r="AS8" s="87"/>
      <c r="AT8" s="87">
        <v>1</v>
      </c>
      <c r="AU8" s="87">
        <v>3</v>
      </c>
      <c r="AV8" s="87">
        <v>3</v>
      </c>
      <c r="AW8" s="87" t="s">
        <v>242</v>
      </c>
      <c r="AX8" s="87"/>
      <c r="AY8" s="87"/>
      <c r="AZ8" s="87"/>
      <c r="BA8" s="87"/>
      <c r="BB8" s="87"/>
      <c r="BC8" s="87"/>
      <c r="BD8" s="87"/>
      <c r="BE8" s="87"/>
      <c r="BF8" s="87"/>
      <c r="BG8" s="87" t="s">
        <v>351</v>
      </c>
      <c r="BH8" s="87" t="s">
        <v>501</v>
      </c>
      <c r="BI8" s="87">
        <v>303</v>
      </c>
      <c r="BJ8" s="87">
        <v>63</v>
      </c>
      <c r="BK8" s="87">
        <v>328</v>
      </c>
      <c r="BL8" s="87">
        <v>79</v>
      </c>
      <c r="BM8" s="87"/>
      <c r="BN8" s="87" t="s">
        <v>375</v>
      </c>
      <c r="BO8" s="87" t="s">
        <v>390</v>
      </c>
      <c r="BP8" s="87" t="s">
        <v>518</v>
      </c>
      <c r="BQ8" s="87"/>
      <c r="BR8" s="128">
        <v>42425.77706018519</v>
      </c>
      <c r="BS8" s="87" t="s">
        <v>532</v>
      </c>
      <c r="BT8" s="87" t="b">
        <v>1</v>
      </c>
      <c r="BU8" s="87" t="b">
        <v>0</v>
      </c>
      <c r="BV8" s="87" t="b">
        <v>0</v>
      </c>
      <c r="BW8" s="87"/>
      <c r="BX8" s="87">
        <v>1</v>
      </c>
      <c r="BY8" s="87"/>
      <c r="BZ8" s="87" t="b">
        <v>0</v>
      </c>
      <c r="CA8" s="87" t="s">
        <v>66</v>
      </c>
      <c r="CB8" s="87">
        <v>3</v>
      </c>
      <c r="CC8" s="87" t="s">
        <v>242</v>
      </c>
      <c r="CD8" s="87"/>
      <c r="CE8" s="87"/>
      <c r="CF8" s="87"/>
      <c r="CG8" s="87"/>
      <c r="CH8" s="87"/>
      <c r="CI8" s="87"/>
      <c r="CJ8" s="87"/>
      <c r="CK8" s="87"/>
      <c r="CL8" s="87"/>
      <c r="CM8" s="87" t="s">
        <v>351</v>
      </c>
      <c r="CN8" s="87" t="s">
        <v>501</v>
      </c>
      <c r="CO8" s="87">
        <v>303</v>
      </c>
      <c r="CP8" s="87">
        <v>63</v>
      </c>
      <c r="CQ8" s="87">
        <v>328</v>
      </c>
      <c r="CR8" s="87">
        <v>79</v>
      </c>
      <c r="CS8" s="87"/>
      <c r="CT8" s="87" t="s">
        <v>375</v>
      </c>
      <c r="CU8" s="87" t="s">
        <v>390</v>
      </c>
      <c r="CV8" s="87" t="s">
        <v>518</v>
      </c>
      <c r="CW8" s="87"/>
      <c r="CX8" s="128">
        <v>42425.77706018519</v>
      </c>
      <c r="CY8" s="87" t="s">
        <v>532</v>
      </c>
      <c r="CZ8" s="87" t="b">
        <v>1</v>
      </c>
      <c r="DA8" s="87" t="b">
        <v>0</v>
      </c>
      <c r="DB8" s="87" t="b">
        <v>0</v>
      </c>
      <c r="DC8" s="87"/>
      <c r="DD8" s="87">
        <v>1</v>
      </c>
      <c r="DE8" s="87"/>
      <c r="DF8" s="87" t="b">
        <v>0</v>
      </c>
      <c r="DG8" s="87" t="s">
        <v>66</v>
      </c>
      <c r="DH8" s="87">
        <v>3</v>
      </c>
      <c r="DI8" s="87">
        <v>4</v>
      </c>
      <c r="DJ8" s="87">
        <v>4</v>
      </c>
      <c r="DK8" s="87">
        <v>1</v>
      </c>
      <c r="DL8" s="87">
        <v>1</v>
      </c>
      <c r="DM8" s="87">
        <v>-1</v>
      </c>
      <c r="DN8" s="87">
        <v>-1</v>
      </c>
    </row>
    <row r="9" spans="1:118" ht="15">
      <c r="A9" s="84" t="s">
        <v>300</v>
      </c>
      <c r="B9" s="87" t="s">
        <v>299</v>
      </c>
      <c r="C9" s="87" t="s">
        <v>241</v>
      </c>
      <c r="D9" s="87" t="s">
        <v>240</v>
      </c>
      <c r="E9" s="87"/>
      <c r="F9" s="87" t="s">
        <v>252</v>
      </c>
      <c r="G9" s="128">
        <v>44992.26972222222</v>
      </c>
      <c r="H9" s="87" t="s">
        <v>259</v>
      </c>
      <c r="I9" s="87" t="s">
        <v>453</v>
      </c>
      <c r="J9" s="87" t="s">
        <v>269</v>
      </c>
      <c r="K9" s="87"/>
      <c r="L9" s="87"/>
      <c r="M9" s="87" t="s">
        <v>465</v>
      </c>
      <c r="N9" s="128">
        <v>44992.26972222222</v>
      </c>
      <c r="O9" s="128">
        <v>44992</v>
      </c>
      <c r="P9" s="129">
        <v>0.26972222222222225</v>
      </c>
      <c r="Q9" s="87" t="s">
        <v>478</v>
      </c>
      <c r="R9" s="87"/>
      <c r="S9" s="87"/>
      <c r="T9" s="87" t="s">
        <v>300</v>
      </c>
      <c r="U9" s="87"/>
      <c r="V9" s="87" t="b">
        <v>0</v>
      </c>
      <c r="W9" s="87">
        <v>0</v>
      </c>
      <c r="X9" s="87"/>
      <c r="Y9" s="87" t="b">
        <v>0</v>
      </c>
      <c r="Z9" s="87" t="s">
        <v>310</v>
      </c>
      <c r="AA9" s="87"/>
      <c r="AB9" s="87"/>
      <c r="AC9" s="87" t="b">
        <v>0</v>
      </c>
      <c r="AD9" s="87">
        <v>3</v>
      </c>
      <c r="AE9" s="87" t="s">
        <v>299</v>
      </c>
      <c r="AF9" s="87" t="s">
        <v>315</v>
      </c>
      <c r="AG9" s="87" t="b">
        <v>0</v>
      </c>
      <c r="AH9" s="87" t="s">
        <v>299</v>
      </c>
      <c r="AI9" s="87" t="s">
        <v>196</v>
      </c>
      <c r="AJ9" s="87">
        <v>0</v>
      </c>
      <c r="AK9" s="87">
        <v>0</v>
      </c>
      <c r="AL9" s="87"/>
      <c r="AM9" s="87"/>
      <c r="AN9" s="87"/>
      <c r="AO9" s="87"/>
      <c r="AP9" s="87"/>
      <c r="AQ9" s="87"/>
      <c r="AR9" s="87"/>
      <c r="AS9" s="87"/>
      <c r="AT9" s="87">
        <v>1</v>
      </c>
      <c r="AU9" s="87">
        <v>1</v>
      </c>
      <c r="AV9" s="87">
        <v>1</v>
      </c>
      <c r="AW9" s="87" t="s">
        <v>241</v>
      </c>
      <c r="AX9" s="87"/>
      <c r="AY9" s="87"/>
      <c r="AZ9" s="87"/>
      <c r="BA9" s="87"/>
      <c r="BB9" s="87"/>
      <c r="BC9" s="87"/>
      <c r="BD9" s="87"/>
      <c r="BE9" s="87"/>
      <c r="BF9" s="87"/>
      <c r="BG9" s="87" t="s">
        <v>350</v>
      </c>
      <c r="BH9" s="87" t="s">
        <v>502</v>
      </c>
      <c r="BI9" s="87">
        <v>661</v>
      </c>
      <c r="BJ9" s="87">
        <v>1038</v>
      </c>
      <c r="BK9" s="87">
        <v>2297</v>
      </c>
      <c r="BL9" s="87">
        <v>1430</v>
      </c>
      <c r="BM9" s="87"/>
      <c r="BN9" s="87" t="s">
        <v>374</v>
      </c>
      <c r="BO9" s="87" t="s">
        <v>389</v>
      </c>
      <c r="BP9" s="87" t="s">
        <v>519</v>
      </c>
      <c r="BQ9" s="87"/>
      <c r="BR9" s="128">
        <v>43113.6283912037</v>
      </c>
      <c r="BS9" s="87" t="s">
        <v>533</v>
      </c>
      <c r="BT9" s="87" t="b">
        <v>0</v>
      </c>
      <c r="BU9" s="87" t="b">
        <v>0</v>
      </c>
      <c r="BV9" s="87" t="b">
        <v>0</v>
      </c>
      <c r="BW9" s="87"/>
      <c r="BX9" s="87">
        <v>20</v>
      </c>
      <c r="BY9" s="87" t="s">
        <v>546</v>
      </c>
      <c r="BZ9" s="87" t="b">
        <v>0</v>
      </c>
      <c r="CA9" s="87" t="s">
        <v>66</v>
      </c>
      <c r="CB9" s="87">
        <v>1</v>
      </c>
      <c r="CC9" s="87" t="s">
        <v>240</v>
      </c>
      <c r="CD9" s="87"/>
      <c r="CE9" s="87"/>
      <c r="CF9" s="87"/>
      <c r="CG9" s="87"/>
      <c r="CH9" s="87"/>
      <c r="CI9" s="87"/>
      <c r="CJ9" s="87"/>
      <c r="CK9" s="87"/>
      <c r="CL9" s="87"/>
      <c r="CM9" s="87" t="s">
        <v>349</v>
      </c>
      <c r="CN9" s="87" t="s">
        <v>309</v>
      </c>
      <c r="CO9" s="87">
        <v>1794</v>
      </c>
      <c r="CP9" s="87">
        <v>3858</v>
      </c>
      <c r="CQ9" s="87">
        <v>3222</v>
      </c>
      <c r="CR9" s="87">
        <v>8851</v>
      </c>
      <c r="CS9" s="87"/>
      <c r="CT9" s="87" t="s">
        <v>372</v>
      </c>
      <c r="CU9" s="87" t="s">
        <v>387</v>
      </c>
      <c r="CV9" s="87" t="s">
        <v>515</v>
      </c>
      <c r="CW9" s="87"/>
      <c r="CX9" s="128">
        <v>40547.183275462965</v>
      </c>
      <c r="CY9" s="87" t="s">
        <v>527</v>
      </c>
      <c r="CZ9" s="87" t="b">
        <v>1</v>
      </c>
      <c r="DA9" s="87" t="b">
        <v>0</v>
      </c>
      <c r="DB9" s="87" t="b">
        <v>0</v>
      </c>
      <c r="DC9" s="87"/>
      <c r="DD9" s="87">
        <v>88</v>
      </c>
      <c r="DE9" s="87" t="s">
        <v>546</v>
      </c>
      <c r="DF9" s="87" t="b">
        <v>0</v>
      </c>
      <c r="DG9" s="87" t="s">
        <v>65</v>
      </c>
      <c r="DH9" s="87">
        <v>1</v>
      </c>
      <c r="DI9" s="87">
        <v>1</v>
      </c>
      <c r="DJ9" s="87">
        <v>1</v>
      </c>
      <c r="DK9" s="87">
        <v>3</v>
      </c>
      <c r="DL9" s="87">
        <v>2</v>
      </c>
      <c r="DM9" s="87">
        <v>-5</v>
      </c>
      <c r="DN9" s="87">
        <v>-4</v>
      </c>
    </row>
    <row r="10" spans="1:118" ht="15">
      <c r="A10" s="84" t="s">
        <v>300</v>
      </c>
      <c r="B10" s="87" t="s">
        <v>299</v>
      </c>
      <c r="C10" s="87" t="s">
        <v>241</v>
      </c>
      <c r="D10" s="87" t="s">
        <v>249</v>
      </c>
      <c r="E10" s="87"/>
      <c r="F10" s="87" t="s">
        <v>254</v>
      </c>
      <c r="G10" s="128">
        <v>44992.26972222222</v>
      </c>
      <c r="H10" s="87" t="s">
        <v>259</v>
      </c>
      <c r="I10" s="87" t="s">
        <v>453</v>
      </c>
      <c r="J10" s="87" t="s">
        <v>269</v>
      </c>
      <c r="K10" s="87"/>
      <c r="L10" s="87"/>
      <c r="M10" s="87" t="s">
        <v>465</v>
      </c>
      <c r="N10" s="128">
        <v>44992.26972222222</v>
      </c>
      <c r="O10" s="128">
        <v>44992</v>
      </c>
      <c r="P10" s="129">
        <v>0.26972222222222225</v>
      </c>
      <c r="Q10" s="87" t="s">
        <v>478</v>
      </c>
      <c r="R10" s="87"/>
      <c r="S10" s="87"/>
      <c r="T10" s="87" t="s">
        <v>300</v>
      </c>
      <c r="U10" s="87"/>
      <c r="V10" s="87" t="b">
        <v>0</v>
      </c>
      <c r="W10" s="87">
        <v>0</v>
      </c>
      <c r="X10" s="87"/>
      <c r="Y10" s="87" t="b">
        <v>0</v>
      </c>
      <c r="Z10" s="87" t="s">
        <v>310</v>
      </c>
      <c r="AA10" s="87"/>
      <c r="AB10" s="87"/>
      <c r="AC10" s="87" t="b">
        <v>0</v>
      </c>
      <c r="AD10" s="87">
        <v>3</v>
      </c>
      <c r="AE10" s="87" t="s">
        <v>299</v>
      </c>
      <c r="AF10" s="87" t="s">
        <v>315</v>
      </c>
      <c r="AG10" s="87" t="b">
        <v>0</v>
      </c>
      <c r="AH10" s="87" t="s">
        <v>299</v>
      </c>
      <c r="AI10" s="87" t="s">
        <v>196</v>
      </c>
      <c r="AJ10" s="87">
        <v>0</v>
      </c>
      <c r="AK10" s="87">
        <v>0</v>
      </c>
      <c r="AL10" s="87"/>
      <c r="AM10" s="87"/>
      <c r="AN10" s="87"/>
      <c r="AO10" s="87"/>
      <c r="AP10" s="87"/>
      <c r="AQ10" s="87"/>
      <c r="AR10" s="87"/>
      <c r="AS10" s="87"/>
      <c r="AT10" s="87">
        <v>1</v>
      </c>
      <c r="AU10" s="87">
        <v>1</v>
      </c>
      <c r="AV10" s="87">
        <v>1</v>
      </c>
      <c r="AW10" s="87" t="s">
        <v>241</v>
      </c>
      <c r="AX10" s="87"/>
      <c r="AY10" s="87"/>
      <c r="AZ10" s="87"/>
      <c r="BA10" s="87"/>
      <c r="BB10" s="87"/>
      <c r="BC10" s="87"/>
      <c r="BD10" s="87"/>
      <c r="BE10" s="87"/>
      <c r="BF10" s="87"/>
      <c r="BG10" s="87" t="s">
        <v>350</v>
      </c>
      <c r="BH10" s="87" t="s">
        <v>502</v>
      </c>
      <c r="BI10" s="87">
        <v>661</v>
      </c>
      <c r="BJ10" s="87">
        <v>1038</v>
      </c>
      <c r="BK10" s="87">
        <v>2297</v>
      </c>
      <c r="BL10" s="87">
        <v>1430</v>
      </c>
      <c r="BM10" s="87"/>
      <c r="BN10" s="87" t="s">
        <v>374</v>
      </c>
      <c r="BO10" s="87" t="s">
        <v>389</v>
      </c>
      <c r="BP10" s="87" t="s">
        <v>519</v>
      </c>
      <c r="BQ10" s="87"/>
      <c r="BR10" s="128">
        <v>43113.6283912037</v>
      </c>
      <c r="BS10" s="87" t="s">
        <v>533</v>
      </c>
      <c r="BT10" s="87" t="b">
        <v>0</v>
      </c>
      <c r="BU10" s="87" t="b">
        <v>0</v>
      </c>
      <c r="BV10" s="87" t="b">
        <v>0</v>
      </c>
      <c r="BW10" s="87"/>
      <c r="BX10" s="87">
        <v>20</v>
      </c>
      <c r="BY10" s="87" t="s">
        <v>546</v>
      </c>
      <c r="BZ10" s="87" t="b">
        <v>0</v>
      </c>
      <c r="CA10" s="87" t="s">
        <v>66</v>
      </c>
      <c r="CB10" s="87">
        <v>1</v>
      </c>
      <c r="CC10" s="87" t="s">
        <v>249</v>
      </c>
      <c r="CD10" s="87"/>
      <c r="CE10" s="87"/>
      <c r="CF10" s="87"/>
      <c r="CG10" s="87"/>
      <c r="CH10" s="87"/>
      <c r="CI10" s="87"/>
      <c r="CJ10" s="87"/>
      <c r="CK10" s="87"/>
      <c r="CL10" s="87"/>
      <c r="CM10" s="87" t="s">
        <v>346</v>
      </c>
      <c r="CN10" s="87" t="s">
        <v>565</v>
      </c>
      <c r="CO10" s="87">
        <v>313</v>
      </c>
      <c r="CP10" s="87">
        <v>5394</v>
      </c>
      <c r="CQ10" s="87">
        <v>391</v>
      </c>
      <c r="CR10" s="87">
        <v>532</v>
      </c>
      <c r="CS10" s="87"/>
      <c r="CT10" s="87" t="s">
        <v>370</v>
      </c>
      <c r="CU10" s="87" t="s">
        <v>385</v>
      </c>
      <c r="CV10" s="87" t="s">
        <v>577</v>
      </c>
      <c r="CW10" s="87"/>
      <c r="CX10" s="128">
        <v>42660.34165509259</v>
      </c>
      <c r="CY10" s="87" t="s">
        <v>585</v>
      </c>
      <c r="CZ10" s="87" t="b">
        <v>1</v>
      </c>
      <c r="DA10" s="87" t="b">
        <v>0</v>
      </c>
      <c r="DB10" s="87" t="b">
        <v>0</v>
      </c>
      <c r="DC10" s="87"/>
      <c r="DD10" s="87">
        <v>132</v>
      </c>
      <c r="DE10" s="87"/>
      <c r="DF10" s="87" t="b">
        <v>0</v>
      </c>
      <c r="DG10" s="87" t="s">
        <v>65</v>
      </c>
      <c r="DH10" s="87">
        <v>1</v>
      </c>
      <c r="DI10" s="87">
        <v>1</v>
      </c>
      <c r="DJ10" s="87">
        <v>1</v>
      </c>
      <c r="DK10" s="87">
        <v>3</v>
      </c>
      <c r="DL10" s="87">
        <v>2</v>
      </c>
      <c r="DM10" s="87">
        <v>-5</v>
      </c>
      <c r="DN10" s="87">
        <v>-4</v>
      </c>
    </row>
    <row r="11" spans="1:118" ht="15">
      <c r="A11" s="84" t="s">
        <v>300</v>
      </c>
      <c r="B11" s="87" t="s">
        <v>299</v>
      </c>
      <c r="C11" s="87" t="s">
        <v>241</v>
      </c>
      <c r="D11" s="87" t="s">
        <v>250</v>
      </c>
      <c r="E11" s="87"/>
      <c r="F11" s="87" t="s">
        <v>254</v>
      </c>
      <c r="G11" s="128">
        <v>44992.26972222222</v>
      </c>
      <c r="H11" s="87" t="s">
        <v>259</v>
      </c>
      <c r="I11" s="87" t="s">
        <v>453</v>
      </c>
      <c r="J11" s="87" t="s">
        <v>269</v>
      </c>
      <c r="K11" s="87"/>
      <c r="L11" s="87"/>
      <c r="M11" s="87" t="s">
        <v>465</v>
      </c>
      <c r="N11" s="128">
        <v>44992.26972222222</v>
      </c>
      <c r="O11" s="128">
        <v>44992</v>
      </c>
      <c r="P11" s="129">
        <v>0.26972222222222225</v>
      </c>
      <c r="Q11" s="87" t="s">
        <v>478</v>
      </c>
      <c r="R11" s="87"/>
      <c r="S11" s="87"/>
      <c r="T11" s="87" t="s">
        <v>300</v>
      </c>
      <c r="U11" s="87"/>
      <c r="V11" s="87" t="b">
        <v>0</v>
      </c>
      <c r="W11" s="87">
        <v>0</v>
      </c>
      <c r="X11" s="87"/>
      <c r="Y11" s="87" t="b">
        <v>0</v>
      </c>
      <c r="Z11" s="87" t="s">
        <v>310</v>
      </c>
      <c r="AA11" s="87"/>
      <c r="AB11" s="87"/>
      <c r="AC11" s="87" t="b">
        <v>0</v>
      </c>
      <c r="AD11" s="87">
        <v>3</v>
      </c>
      <c r="AE11" s="87" t="s">
        <v>299</v>
      </c>
      <c r="AF11" s="87" t="s">
        <v>315</v>
      </c>
      <c r="AG11" s="87" t="b">
        <v>0</v>
      </c>
      <c r="AH11" s="87" t="s">
        <v>299</v>
      </c>
      <c r="AI11" s="87" t="s">
        <v>196</v>
      </c>
      <c r="AJ11" s="87">
        <v>0</v>
      </c>
      <c r="AK11" s="87">
        <v>0</v>
      </c>
      <c r="AL11" s="87"/>
      <c r="AM11" s="87"/>
      <c r="AN11" s="87"/>
      <c r="AO11" s="87"/>
      <c r="AP11" s="87"/>
      <c r="AQ11" s="87"/>
      <c r="AR11" s="87"/>
      <c r="AS11" s="87"/>
      <c r="AT11" s="87">
        <v>1</v>
      </c>
      <c r="AU11" s="87">
        <v>1</v>
      </c>
      <c r="AV11" s="87">
        <v>1</v>
      </c>
      <c r="AW11" s="87" t="s">
        <v>241</v>
      </c>
      <c r="AX11" s="87"/>
      <c r="AY11" s="87"/>
      <c r="AZ11" s="87"/>
      <c r="BA11" s="87"/>
      <c r="BB11" s="87"/>
      <c r="BC11" s="87"/>
      <c r="BD11" s="87"/>
      <c r="BE11" s="87"/>
      <c r="BF11" s="87"/>
      <c r="BG11" s="87" t="s">
        <v>350</v>
      </c>
      <c r="BH11" s="87" t="s">
        <v>502</v>
      </c>
      <c r="BI11" s="87">
        <v>661</v>
      </c>
      <c r="BJ11" s="87">
        <v>1038</v>
      </c>
      <c r="BK11" s="87">
        <v>2297</v>
      </c>
      <c r="BL11" s="87">
        <v>1430</v>
      </c>
      <c r="BM11" s="87"/>
      <c r="BN11" s="87" t="s">
        <v>374</v>
      </c>
      <c r="BO11" s="87" t="s">
        <v>389</v>
      </c>
      <c r="BP11" s="87" t="s">
        <v>519</v>
      </c>
      <c r="BQ11" s="87"/>
      <c r="BR11" s="128">
        <v>43113.6283912037</v>
      </c>
      <c r="BS11" s="87" t="s">
        <v>533</v>
      </c>
      <c r="BT11" s="87" t="b">
        <v>0</v>
      </c>
      <c r="BU11" s="87" t="b">
        <v>0</v>
      </c>
      <c r="BV11" s="87" t="b">
        <v>0</v>
      </c>
      <c r="BW11" s="87"/>
      <c r="BX11" s="87">
        <v>20</v>
      </c>
      <c r="BY11" s="87" t="s">
        <v>546</v>
      </c>
      <c r="BZ11" s="87" t="b">
        <v>0</v>
      </c>
      <c r="CA11" s="87" t="s">
        <v>66</v>
      </c>
      <c r="CB11" s="87">
        <v>1</v>
      </c>
      <c r="CC11" s="87" t="s">
        <v>250</v>
      </c>
      <c r="CD11" s="87"/>
      <c r="CE11" s="87"/>
      <c r="CF11" s="87"/>
      <c r="CG11" s="87"/>
      <c r="CH11" s="87"/>
      <c r="CI11" s="87"/>
      <c r="CJ11" s="87"/>
      <c r="CK11" s="87"/>
      <c r="CL11" s="87"/>
      <c r="CM11" s="87" t="s">
        <v>348</v>
      </c>
      <c r="CN11" s="87" t="s">
        <v>566</v>
      </c>
      <c r="CO11" s="87">
        <v>188</v>
      </c>
      <c r="CP11" s="87">
        <v>2666</v>
      </c>
      <c r="CQ11" s="87">
        <v>214</v>
      </c>
      <c r="CR11" s="87">
        <v>214</v>
      </c>
      <c r="CS11" s="87"/>
      <c r="CT11" s="87" t="s">
        <v>371</v>
      </c>
      <c r="CU11" s="87" t="s">
        <v>386</v>
      </c>
      <c r="CV11" s="87" t="s">
        <v>578</v>
      </c>
      <c r="CW11" s="87"/>
      <c r="CX11" s="128">
        <v>43244.40773148148</v>
      </c>
      <c r="CY11" s="87" t="s">
        <v>586</v>
      </c>
      <c r="CZ11" s="87" t="b">
        <v>1</v>
      </c>
      <c r="DA11" s="87" t="b">
        <v>0</v>
      </c>
      <c r="DB11" s="87" t="b">
        <v>0</v>
      </c>
      <c r="DC11" s="87"/>
      <c r="DD11" s="87">
        <v>99</v>
      </c>
      <c r="DE11" s="87"/>
      <c r="DF11" s="87" t="b">
        <v>0</v>
      </c>
      <c r="DG11" s="87" t="s">
        <v>65</v>
      </c>
      <c r="DH11" s="87">
        <v>1</v>
      </c>
      <c r="DI11" s="87">
        <v>1</v>
      </c>
      <c r="DJ11" s="87">
        <v>1</v>
      </c>
      <c r="DK11" s="87">
        <v>3</v>
      </c>
      <c r="DL11" s="87">
        <v>2</v>
      </c>
      <c r="DM11" s="87">
        <v>-5</v>
      </c>
      <c r="DN11" s="87">
        <v>-4</v>
      </c>
    </row>
    <row r="12" spans="1:118" ht="15">
      <c r="A12" s="84" t="s">
        <v>298</v>
      </c>
      <c r="B12" s="87" t="s">
        <v>299</v>
      </c>
      <c r="C12" s="87" t="s">
        <v>239</v>
      </c>
      <c r="D12" s="87" t="s">
        <v>240</v>
      </c>
      <c r="E12" s="87"/>
      <c r="F12" s="87" t="s">
        <v>252</v>
      </c>
      <c r="G12" s="128">
        <v>44992.195</v>
      </c>
      <c r="H12" s="87" t="s">
        <v>259</v>
      </c>
      <c r="I12" s="87" t="s">
        <v>453</v>
      </c>
      <c r="J12" s="87" t="s">
        <v>269</v>
      </c>
      <c r="K12" s="87"/>
      <c r="L12" s="87"/>
      <c r="M12" s="87" t="s">
        <v>466</v>
      </c>
      <c r="N12" s="128">
        <v>44992.195</v>
      </c>
      <c r="O12" s="128">
        <v>44992</v>
      </c>
      <c r="P12" s="129">
        <v>0.19499999999999998</v>
      </c>
      <c r="Q12" s="87" t="s">
        <v>479</v>
      </c>
      <c r="R12" s="87"/>
      <c r="S12" s="87"/>
      <c r="T12" s="87" t="s">
        <v>298</v>
      </c>
      <c r="U12" s="87"/>
      <c r="V12" s="87" t="b">
        <v>0</v>
      </c>
      <c r="W12" s="87">
        <v>0</v>
      </c>
      <c r="X12" s="87"/>
      <c r="Y12" s="87" t="b">
        <v>0</v>
      </c>
      <c r="Z12" s="87" t="s">
        <v>310</v>
      </c>
      <c r="AA12" s="87"/>
      <c r="AB12" s="87"/>
      <c r="AC12" s="87" t="b">
        <v>0</v>
      </c>
      <c r="AD12" s="87">
        <v>3</v>
      </c>
      <c r="AE12" s="87" t="s">
        <v>299</v>
      </c>
      <c r="AF12" s="87" t="s">
        <v>316</v>
      </c>
      <c r="AG12" s="87" t="b">
        <v>0</v>
      </c>
      <c r="AH12" s="87" t="s">
        <v>299</v>
      </c>
      <c r="AI12" s="87" t="s">
        <v>196</v>
      </c>
      <c r="AJ12" s="87">
        <v>0</v>
      </c>
      <c r="AK12" s="87">
        <v>0</v>
      </c>
      <c r="AL12" s="87"/>
      <c r="AM12" s="87"/>
      <c r="AN12" s="87"/>
      <c r="AO12" s="87"/>
      <c r="AP12" s="87"/>
      <c r="AQ12" s="87"/>
      <c r="AR12" s="87"/>
      <c r="AS12" s="87"/>
      <c r="AT12" s="87">
        <v>1</v>
      </c>
      <c r="AU12" s="87">
        <v>1</v>
      </c>
      <c r="AV12" s="87">
        <v>1</v>
      </c>
      <c r="AW12" s="87" t="s">
        <v>239</v>
      </c>
      <c r="AX12" s="87"/>
      <c r="AY12" s="87"/>
      <c r="AZ12" s="87"/>
      <c r="BA12" s="87"/>
      <c r="BB12" s="87"/>
      <c r="BC12" s="87"/>
      <c r="BD12" s="87"/>
      <c r="BE12" s="87"/>
      <c r="BF12" s="87"/>
      <c r="BG12" s="87" t="s">
        <v>316</v>
      </c>
      <c r="BH12" s="87" t="s">
        <v>360</v>
      </c>
      <c r="BI12" s="87">
        <v>4788</v>
      </c>
      <c r="BJ12" s="87">
        <v>5966</v>
      </c>
      <c r="BK12" s="87">
        <v>170674</v>
      </c>
      <c r="BL12" s="87">
        <v>1135</v>
      </c>
      <c r="BM12" s="87"/>
      <c r="BN12" s="87" t="s">
        <v>373</v>
      </c>
      <c r="BO12" s="87" t="s">
        <v>388</v>
      </c>
      <c r="BP12" s="87" t="s">
        <v>520</v>
      </c>
      <c r="BQ12" s="87"/>
      <c r="BR12" s="128">
        <v>42313.6803125</v>
      </c>
      <c r="BS12" s="87" t="s">
        <v>534</v>
      </c>
      <c r="BT12" s="87" t="b">
        <v>0</v>
      </c>
      <c r="BU12" s="87" t="b">
        <v>0</v>
      </c>
      <c r="BV12" s="87" t="b">
        <v>0</v>
      </c>
      <c r="BW12" s="87"/>
      <c r="BX12" s="87">
        <v>294</v>
      </c>
      <c r="BY12" s="87" t="s">
        <v>546</v>
      </c>
      <c r="BZ12" s="87" t="b">
        <v>0</v>
      </c>
      <c r="CA12" s="87" t="s">
        <v>66</v>
      </c>
      <c r="CB12" s="87">
        <v>1</v>
      </c>
      <c r="CC12" s="87" t="s">
        <v>240</v>
      </c>
      <c r="CD12" s="87"/>
      <c r="CE12" s="87"/>
      <c r="CF12" s="87"/>
      <c r="CG12" s="87"/>
      <c r="CH12" s="87"/>
      <c r="CI12" s="87"/>
      <c r="CJ12" s="87"/>
      <c r="CK12" s="87"/>
      <c r="CL12" s="87"/>
      <c r="CM12" s="87" t="s">
        <v>349</v>
      </c>
      <c r="CN12" s="87" t="s">
        <v>309</v>
      </c>
      <c r="CO12" s="87">
        <v>1794</v>
      </c>
      <c r="CP12" s="87">
        <v>3858</v>
      </c>
      <c r="CQ12" s="87">
        <v>3222</v>
      </c>
      <c r="CR12" s="87">
        <v>8851</v>
      </c>
      <c r="CS12" s="87"/>
      <c r="CT12" s="87" t="s">
        <v>372</v>
      </c>
      <c r="CU12" s="87" t="s">
        <v>387</v>
      </c>
      <c r="CV12" s="87" t="s">
        <v>515</v>
      </c>
      <c r="CW12" s="87"/>
      <c r="CX12" s="128">
        <v>40547.183275462965</v>
      </c>
      <c r="CY12" s="87" t="s">
        <v>527</v>
      </c>
      <c r="CZ12" s="87" t="b">
        <v>1</v>
      </c>
      <c r="DA12" s="87" t="b">
        <v>0</v>
      </c>
      <c r="DB12" s="87" t="b">
        <v>0</v>
      </c>
      <c r="DC12" s="87"/>
      <c r="DD12" s="87">
        <v>88</v>
      </c>
      <c r="DE12" s="87" t="s">
        <v>546</v>
      </c>
      <c r="DF12" s="87" t="b">
        <v>0</v>
      </c>
      <c r="DG12" s="87" t="s">
        <v>65</v>
      </c>
      <c r="DH12" s="87">
        <v>1</v>
      </c>
      <c r="DI12" s="87">
        <v>1</v>
      </c>
      <c r="DJ12" s="87">
        <v>1</v>
      </c>
      <c r="DK12" s="87">
        <v>3</v>
      </c>
      <c r="DL12" s="87">
        <v>2</v>
      </c>
      <c r="DM12" s="87">
        <v>-4</v>
      </c>
      <c r="DN12" s="87">
        <v>-4</v>
      </c>
    </row>
    <row r="13" spans="1:118" ht="15">
      <c r="A13" s="84" t="s">
        <v>298</v>
      </c>
      <c r="B13" s="87" t="s">
        <v>299</v>
      </c>
      <c r="C13" s="87" t="s">
        <v>239</v>
      </c>
      <c r="D13" s="87" t="s">
        <v>249</v>
      </c>
      <c r="E13" s="87"/>
      <c r="F13" s="87" t="s">
        <v>254</v>
      </c>
      <c r="G13" s="128">
        <v>44992.195</v>
      </c>
      <c r="H13" s="87" t="s">
        <v>259</v>
      </c>
      <c r="I13" s="87" t="s">
        <v>453</v>
      </c>
      <c r="J13" s="87" t="s">
        <v>269</v>
      </c>
      <c r="K13" s="87"/>
      <c r="L13" s="87"/>
      <c r="M13" s="87" t="s">
        <v>466</v>
      </c>
      <c r="N13" s="128">
        <v>44992.195</v>
      </c>
      <c r="O13" s="128">
        <v>44992</v>
      </c>
      <c r="P13" s="129">
        <v>0.19499999999999998</v>
      </c>
      <c r="Q13" s="87" t="s">
        <v>479</v>
      </c>
      <c r="R13" s="87"/>
      <c r="S13" s="87"/>
      <c r="T13" s="87" t="s">
        <v>298</v>
      </c>
      <c r="U13" s="87"/>
      <c r="V13" s="87" t="b">
        <v>0</v>
      </c>
      <c r="W13" s="87">
        <v>0</v>
      </c>
      <c r="X13" s="87"/>
      <c r="Y13" s="87" t="b">
        <v>0</v>
      </c>
      <c r="Z13" s="87" t="s">
        <v>310</v>
      </c>
      <c r="AA13" s="87"/>
      <c r="AB13" s="87"/>
      <c r="AC13" s="87" t="b">
        <v>0</v>
      </c>
      <c r="AD13" s="87">
        <v>3</v>
      </c>
      <c r="AE13" s="87" t="s">
        <v>299</v>
      </c>
      <c r="AF13" s="87" t="s">
        <v>316</v>
      </c>
      <c r="AG13" s="87" t="b">
        <v>0</v>
      </c>
      <c r="AH13" s="87" t="s">
        <v>299</v>
      </c>
      <c r="AI13" s="87" t="s">
        <v>196</v>
      </c>
      <c r="AJ13" s="87">
        <v>0</v>
      </c>
      <c r="AK13" s="87">
        <v>0</v>
      </c>
      <c r="AL13" s="87"/>
      <c r="AM13" s="87"/>
      <c r="AN13" s="87"/>
      <c r="AO13" s="87"/>
      <c r="AP13" s="87"/>
      <c r="AQ13" s="87"/>
      <c r="AR13" s="87"/>
      <c r="AS13" s="87"/>
      <c r="AT13" s="87">
        <v>1</v>
      </c>
      <c r="AU13" s="87">
        <v>1</v>
      </c>
      <c r="AV13" s="87">
        <v>1</v>
      </c>
      <c r="AW13" s="87" t="s">
        <v>239</v>
      </c>
      <c r="AX13" s="87"/>
      <c r="AY13" s="87"/>
      <c r="AZ13" s="87"/>
      <c r="BA13" s="87"/>
      <c r="BB13" s="87"/>
      <c r="BC13" s="87"/>
      <c r="BD13" s="87"/>
      <c r="BE13" s="87"/>
      <c r="BF13" s="87"/>
      <c r="BG13" s="87" t="s">
        <v>316</v>
      </c>
      <c r="BH13" s="87" t="s">
        <v>360</v>
      </c>
      <c r="BI13" s="87">
        <v>4788</v>
      </c>
      <c r="BJ13" s="87">
        <v>5966</v>
      </c>
      <c r="BK13" s="87">
        <v>170674</v>
      </c>
      <c r="BL13" s="87">
        <v>1135</v>
      </c>
      <c r="BM13" s="87"/>
      <c r="BN13" s="87" t="s">
        <v>373</v>
      </c>
      <c r="BO13" s="87" t="s">
        <v>388</v>
      </c>
      <c r="BP13" s="87" t="s">
        <v>520</v>
      </c>
      <c r="BQ13" s="87"/>
      <c r="BR13" s="128">
        <v>42313.6803125</v>
      </c>
      <c r="BS13" s="87" t="s">
        <v>534</v>
      </c>
      <c r="BT13" s="87" t="b">
        <v>0</v>
      </c>
      <c r="BU13" s="87" t="b">
        <v>0</v>
      </c>
      <c r="BV13" s="87" t="b">
        <v>0</v>
      </c>
      <c r="BW13" s="87"/>
      <c r="BX13" s="87">
        <v>294</v>
      </c>
      <c r="BY13" s="87" t="s">
        <v>546</v>
      </c>
      <c r="BZ13" s="87" t="b">
        <v>0</v>
      </c>
      <c r="CA13" s="87" t="s">
        <v>66</v>
      </c>
      <c r="CB13" s="87">
        <v>1</v>
      </c>
      <c r="CC13" s="87" t="s">
        <v>249</v>
      </c>
      <c r="CD13" s="87"/>
      <c r="CE13" s="87"/>
      <c r="CF13" s="87"/>
      <c r="CG13" s="87"/>
      <c r="CH13" s="87"/>
      <c r="CI13" s="87"/>
      <c r="CJ13" s="87"/>
      <c r="CK13" s="87"/>
      <c r="CL13" s="87"/>
      <c r="CM13" s="87" t="s">
        <v>346</v>
      </c>
      <c r="CN13" s="87" t="s">
        <v>565</v>
      </c>
      <c r="CO13" s="87">
        <v>313</v>
      </c>
      <c r="CP13" s="87">
        <v>5394</v>
      </c>
      <c r="CQ13" s="87">
        <v>391</v>
      </c>
      <c r="CR13" s="87">
        <v>532</v>
      </c>
      <c r="CS13" s="87"/>
      <c r="CT13" s="87" t="s">
        <v>370</v>
      </c>
      <c r="CU13" s="87" t="s">
        <v>385</v>
      </c>
      <c r="CV13" s="87" t="s">
        <v>577</v>
      </c>
      <c r="CW13" s="87"/>
      <c r="CX13" s="128">
        <v>42660.34165509259</v>
      </c>
      <c r="CY13" s="87" t="s">
        <v>585</v>
      </c>
      <c r="CZ13" s="87" t="b">
        <v>1</v>
      </c>
      <c r="DA13" s="87" t="b">
        <v>0</v>
      </c>
      <c r="DB13" s="87" t="b">
        <v>0</v>
      </c>
      <c r="DC13" s="87"/>
      <c r="DD13" s="87">
        <v>132</v>
      </c>
      <c r="DE13" s="87"/>
      <c r="DF13" s="87" t="b">
        <v>0</v>
      </c>
      <c r="DG13" s="87" t="s">
        <v>65</v>
      </c>
      <c r="DH13" s="87">
        <v>1</v>
      </c>
      <c r="DI13" s="87">
        <v>1</v>
      </c>
      <c r="DJ13" s="87">
        <v>1</v>
      </c>
      <c r="DK13" s="87">
        <v>3</v>
      </c>
      <c r="DL13" s="87">
        <v>2</v>
      </c>
      <c r="DM13" s="87">
        <v>-4</v>
      </c>
      <c r="DN13" s="87">
        <v>-4</v>
      </c>
    </row>
    <row r="14" spans="1:118" ht="15">
      <c r="A14" s="84" t="s">
        <v>298</v>
      </c>
      <c r="B14" s="87" t="s">
        <v>299</v>
      </c>
      <c r="C14" s="87" t="s">
        <v>239</v>
      </c>
      <c r="D14" s="87" t="s">
        <v>250</v>
      </c>
      <c r="E14" s="87"/>
      <c r="F14" s="87" t="s">
        <v>254</v>
      </c>
      <c r="G14" s="128">
        <v>44992.195</v>
      </c>
      <c r="H14" s="87" t="s">
        <v>259</v>
      </c>
      <c r="I14" s="87" t="s">
        <v>453</v>
      </c>
      <c r="J14" s="87" t="s">
        <v>269</v>
      </c>
      <c r="K14" s="87"/>
      <c r="L14" s="87"/>
      <c r="M14" s="87" t="s">
        <v>466</v>
      </c>
      <c r="N14" s="128">
        <v>44992.195</v>
      </c>
      <c r="O14" s="128">
        <v>44992</v>
      </c>
      <c r="P14" s="129">
        <v>0.19499999999999998</v>
      </c>
      <c r="Q14" s="87" t="s">
        <v>479</v>
      </c>
      <c r="R14" s="87"/>
      <c r="S14" s="87"/>
      <c r="T14" s="87" t="s">
        <v>298</v>
      </c>
      <c r="U14" s="87"/>
      <c r="V14" s="87" t="b">
        <v>0</v>
      </c>
      <c r="W14" s="87">
        <v>0</v>
      </c>
      <c r="X14" s="87"/>
      <c r="Y14" s="87" t="b">
        <v>0</v>
      </c>
      <c r="Z14" s="87" t="s">
        <v>310</v>
      </c>
      <c r="AA14" s="87"/>
      <c r="AB14" s="87"/>
      <c r="AC14" s="87" t="b">
        <v>0</v>
      </c>
      <c r="AD14" s="87">
        <v>3</v>
      </c>
      <c r="AE14" s="87" t="s">
        <v>299</v>
      </c>
      <c r="AF14" s="87" t="s">
        <v>316</v>
      </c>
      <c r="AG14" s="87" t="b">
        <v>0</v>
      </c>
      <c r="AH14" s="87" t="s">
        <v>299</v>
      </c>
      <c r="AI14" s="87" t="s">
        <v>196</v>
      </c>
      <c r="AJ14" s="87">
        <v>0</v>
      </c>
      <c r="AK14" s="87">
        <v>0</v>
      </c>
      <c r="AL14" s="87"/>
      <c r="AM14" s="87"/>
      <c r="AN14" s="87"/>
      <c r="AO14" s="87"/>
      <c r="AP14" s="87"/>
      <c r="AQ14" s="87"/>
      <c r="AR14" s="87"/>
      <c r="AS14" s="87"/>
      <c r="AT14" s="87">
        <v>1</v>
      </c>
      <c r="AU14" s="87">
        <v>1</v>
      </c>
      <c r="AV14" s="87">
        <v>1</v>
      </c>
      <c r="AW14" s="87" t="s">
        <v>239</v>
      </c>
      <c r="AX14" s="87"/>
      <c r="AY14" s="87"/>
      <c r="AZ14" s="87"/>
      <c r="BA14" s="87"/>
      <c r="BB14" s="87"/>
      <c r="BC14" s="87"/>
      <c r="BD14" s="87"/>
      <c r="BE14" s="87"/>
      <c r="BF14" s="87"/>
      <c r="BG14" s="87" t="s">
        <v>316</v>
      </c>
      <c r="BH14" s="87" t="s">
        <v>360</v>
      </c>
      <c r="BI14" s="87">
        <v>4788</v>
      </c>
      <c r="BJ14" s="87">
        <v>5966</v>
      </c>
      <c r="BK14" s="87">
        <v>170674</v>
      </c>
      <c r="BL14" s="87">
        <v>1135</v>
      </c>
      <c r="BM14" s="87"/>
      <c r="BN14" s="87" t="s">
        <v>373</v>
      </c>
      <c r="BO14" s="87" t="s">
        <v>388</v>
      </c>
      <c r="BP14" s="87" t="s">
        <v>520</v>
      </c>
      <c r="BQ14" s="87"/>
      <c r="BR14" s="128">
        <v>42313.6803125</v>
      </c>
      <c r="BS14" s="87" t="s">
        <v>534</v>
      </c>
      <c r="BT14" s="87" t="b">
        <v>0</v>
      </c>
      <c r="BU14" s="87" t="b">
        <v>0</v>
      </c>
      <c r="BV14" s="87" t="b">
        <v>0</v>
      </c>
      <c r="BW14" s="87"/>
      <c r="BX14" s="87">
        <v>294</v>
      </c>
      <c r="BY14" s="87" t="s">
        <v>546</v>
      </c>
      <c r="BZ14" s="87" t="b">
        <v>0</v>
      </c>
      <c r="CA14" s="87" t="s">
        <v>66</v>
      </c>
      <c r="CB14" s="87">
        <v>1</v>
      </c>
      <c r="CC14" s="87" t="s">
        <v>250</v>
      </c>
      <c r="CD14" s="87"/>
      <c r="CE14" s="87"/>
      <c r="CF14" s="87"/>
      <c r="CG14" s="87"/>
      <c r="CH14" s="87"/>
      <c r="CI14" s="87"/>
      <c r="CJ14" s="87"/>
      <c r="CK14" s="87"/>
      <c r="CL14" s="87"/>
      <c r="CM14" s="87" t="s">
        <v>348</v>
      </c>
      <c r="CN14" s="87" t="s">
        <v>566</v>
      </c>
      <c r="CO14" s="87">
        <v>188</v>
      </c>
      <c r="CP14" s="87">
        <v>2666</v>
      </c>
      <c r="CQ14" s="87">
        <v>214</v>
      </c>
      <c r="CR14" s="87">
        <v>214</v>
      </c>
      <c r="CS14" s="87"/>
      <c r="CT14" s="87" t="s">
        <v>371</v>
      </c>
      <c r="CU14" s="87" t="s">
        <v>386</v>
      </c>
      <c r="CV14" s="87" t="s">
        <v>578</v>
      </c>
      <c r="CW14" s="87"/>
      <c r="CX14" s="128">
        <v>43244.40773148148</v>
      </c>
      <c r="CY14" s="87" t="s">
        <v>586</v>
      </c>
      <c r="CZ14" s="87" t="b">
        <v>1</v>
      </c>
      <c r="DA14" s="87" t="b">
        <v>0</v>
      </c>
      <c r="DB14" s="87" t="b">
        <v>0</v>
      </c>
      <c r="DC14" s="87"/>
      <c r="DD14" s="87">
        <v>99</v>
      </c>
      <c r="DE14" s="87"/>
      <c r="DF14" s="87" t="b">
        <v>0</v>
      </c>
      <c r="DG14" s="87" t="s">
        <v>65</v>
      </c>
      <c r="DH14" s="87">
        <v>1</v>
      </c>
      <c r="DI14" s="87">
        <v>1</v>
      </c>
      <c r="DJ14" s="87">
        <v>1</v>
      </c>
      <c r="DK14" s="87">
        <v>3</v>
      </c>
      <c r="DL14" s="87">
        <v>2</v>
      </c>
      <c r="DM14" s="87">
        <v>-4</v>
      </c>
      <c r="DN14" s="87">
        <v>-4</v>
      </c>
    </row>
    <row r="15" spans="1:118" ht="15">
      <c r="A15" s="84" t="s">
        <v>299</v>
      </c>
      <c r="B15" s="87" t="s">
        <v>307</v>
      </c>
      <c r="C15" s="87" t="s">
        <v>240</v>
      </c>
      <c r="D15" s="87" t="s">
        <v>249</v>
      </c>
      <c r="E15" s="87"/>
      <c r="F15" s="87" t="s">
        <v>253</v>
      </c>
      <c r="G15" s="128">
        <v>44992.08576388889</v>
      </c>
      <c r="H15" s="87" t="s">
        <v>259</v>
      </c>
      <c r="I15" s="87" t="s">
        <v>453</v>
      </c>
      <c r="J15" s="87" t="s">
        <v>269</v>
      </c>
      <c r="K15" s="87"/>
      <c r="L15" s="87"/>
      <c r="M15" s="87" t="s">
        <v>462</v>
      </c>
      <c r="N15" s="128">
        <v>44992.08576388889</v>
      </c>
      <c r="O15" s="128">
        <v>44992</v>
      </c>
      <c r="P15" s="129">
        <v>0.08576388888888888</v>
      </c>
      <c r="Q15" s="87" t="s">
        <v>480</v>
      </c>
      <c r="R15" s="87"/>
      <c r="S15" s="87"/>
      <c r="T15" s="87" t="s">
        <v>299</v>
      </c>
      <c r="U15" s="87" t="s">
        <v>307</v>
      </c>
      <c r="V15" s="87" t="b">
        <v>0</v>
      </c>
      <c r="W15" s="87">
        <v>8</v>
      </c>
      <c r="X15" s="87" t="s">
        <v>309</v>
      </c>
      <c r="Y15" s="87" t="b">
        <v>0</v>
      </c>
      <c r="Z15" s="87" t="s">
        <v>310</v>
      </c>
      <c r="AA15" s="87"/>
      <c r="AB15" s="87"/>
      <c r="AC15" s="87" t="b">
        <v>0</v>
      </c>
      <c r="AD15" s="87">
        <v>3</v>
      </c>
      <c r="AE15" s="87"/>
      <c r="AF15" s="87" t="s">
        <v>311</v>
      </c>
      <c r="AG15" s="87" t="b">
        <v>0</v>
      </c>
      <c r="AH15" s="87" t="s">
        <v>307</v>
      </c>
      <c r="AI15" s="87" t="s">
        <v>196</v>
      </c>
      <c r="AJ15" s="87">
        <v>0</v>
      </c>
      <c r="AK15" s="87">
        <v>0</v>
      </c>
      <c r="AL15" s="87"/>
      <c r="AM15" s="87"/>
      <c r="AN15" s="87"/>
      <c r="AO15" s="87"/>
      <c r="AP15" s="87"/>
      <c r="AQ15" s="87"/>
      <c r="AR15" s="87"/>
      <c r="AS15" s="87"/>
      <c r="AT15" s="87">
        <v>1</v>
      </c>
      <c r="AU15" s="87">
        <v>1</v>
      </c>
      <c r="AV15" s="87">
        <v>1</v>
      </c>
      <c r="AW15" s="87" t="s">
        <v>240</v>
      </c>
      <c r="AX15" s="87"/>
      <c r="AY15" s="87"/>
      <c r="AZ15" s="87"/>
      <c r="BA15" s="87"/>
      <c r="BB15" s="87"/>
      <c r="BC15" s="87"/>
      <c r="BD15" s="87"/>
      <c r="BE15" s="87"/>
      <c r="BF15" s="87"/>
      <c r="BG15" s="87" t="s">
        <v>349</v>
      </c>
      <c r="BH15" s="87" t="s">
        <v>309</v>
      </c>
      <c r="BI15" s="87">
        <v>1794</v>
      </c>
      <c r="BJ15" s="87">
        <v>3858</v>
      </c>
      <c r="BK15" s="87">
        <v>3222</v>
      </c>
      <c r="BL15" s="87">
        <v>8851</v>
      </c>
      <c r="BM15" s="87"/>
      <c r="BN15" s="87" t="s">
        <v>372</v>
      </c>
      <c r="BO15" s="87" t="s">
        <v>387</v>
      </c>
      <c r="BP15" s="87" t="s">
        <v>515</v>
      </c>
      <c r="BQ15" s="87"/>
      <c r="BR15" s="128">
        <v>40547.183275462965</v>
      </c>
      <c r="BS15" s="87" t="s">
        <v>527</v>
      </c>
      <c r="BT15" s="87" t="b">
        <v>1</v>
      </c>
      <c r="BU15" s="87" t="b">
        <v>0</v>
      </c>
      <c r="BV15" s="87" t="b">
        <v>0</v>
      </c>
      <c r="BW15" s="87"/>
      <c r="BX15" s="87">
        <v>88</v>
      </c>
      <c r="BY15" s="87" t="s">
        <v>546</v>
      </c>
      <c r="BZ15" s="87" t="b">
        <v>0</v>
      </c>
      <c r="CA15" s="87" t="s">
        <v>65</v>
      </c>
      <c r="CB15" s="87">
        <v>1</v>
      </c>
      <c r="CC15" s="87" t="s">
        <v>249</v>
      </c>
      <c r="CD15" s="87"/>
      <c r="CE15" s="87"/>
      <c r="CF15" s="87"/>
      <c r="CG15" s="87"/>
      <c r="CH15" s="87"/>
      <c r="CI15" s="87"/>
      <c r="CJ15" s="87"/>
      <c r="CK15" s="87"/>
      <c r="CL15" s="87"/>
      <c r="CM15" s="87" t="s">
        <v>346</v>
      </c>
      <c r="CN15" s="87" t="s">
        <v>565</v>
      </c>
      <c r="CO15" s="87">
        <v>313</v>
      </c>
      <c r="CP15" s="87">
        <v>5394</v>
      </c>
      <c r="CQ15" s="87">
        <v>391</v>
      </c>
      <c r="CR15" s="87">
        <v>532</v>
      </c>
      <c r="CS15" s="87"/>
      <c r="CT15" s="87" t="s">
        <v>370</v>
      </c>
      <c r="CU15" s="87" t="s">
        <v>385</v>
      </c>
      <c r="CV15" s="87" t="s">
        <v>577</v>
      </c>
      <c r="CW15" s="87"/>
      <c r="CX15" s="128">
        <v>42660.34165509259</v>
      </c>
      <c r="CY15" s="87" t="s">
        <v>585</v>
      </c>
      <c r="CZ15" s="87" t="b">
        <v>1</v>
      </c>
      <c r="DA15" s="87" t="b">
        <v>0</v>
      </c>
      <c r="DB15" s="87" t="b">
        <v>0</v>
      </c>
      <c r="DC15" s="87"/>
      <c r="DD15" s="87">
        <v>132</v>
      </c>
      <c r="DE15" s="87"/>
      <c r="DF15" s="87" t="b">
        <v>0</v>
      </c>
      <c r="DG15" s="87" t="s">
        <v>65</v>
      </c>
      <c r="DH15" s="87">
        <v>1</v>
      </c>
      <c r="DI15" s="87">
        <v>1</v>
      </c>
      <c r="DJ15" s="87">
        <v>1</v>
      </c>
      <c r="DK15" s="87">
        <v>2</v>
      </c>
      <c r="DL15" s="87">
        <v>1</v>
      </c>
      <c r="DM15" s="87">
        <v>-4</v>
      </c>
      <c r="DN15" s="87">
        <v>-4</v>
      </c>
    </row>
    <row r="16" spans="1:118" ht="15">
      <c r="A16" s="84" t="s">
        <v>299</v>
      </c>
      <c r="B16" s="87" t="s">
        <v>307</v>
      </c>
      <c r="C16" s="87" t="s">
        <v>240</v>
      </c>
      <c r="D16" s="87" t="s">
        <v>250</v>
      </c>
      <c r="E16" s="87"/>
      <c r="F16" s="87" t="s">
        <v>253</v>
      </c>
      <c r="G16" s="128">
        <v>44992.08576388889</v>
      </c>
      <c r="H16" s="87" t="s">
        <v>259</v>
      </c>
      <c r="I16" s="87" t="s">
        <v>453</v>
      </c>
      <c r="J16" s="87" t="s">
        <v>269</v>
      </c>
      <c r="K16" s="87"/>
      <c r="L16" s="87"/>
      <c r="M16" s="87" t="s">
        <v>462</v>
      </c>
      <c r="N16" s="128">
        <v>44992.08576388889</v>
      </c>
      <c r="O16" s="128">
        <v>44992</v>
      </c>
      <c r="P16" s="129">
        <v>0.08576388888888888</v>
      </c>
      <c r="Q16" s="87" t="s">
        <v>480</v>
      </c>
      <c r="R16" s="87"/>
      <c r="S16" s="87"/>
      <c r="T16" s="87" t="s">
        <v>299</v>
      </c>
      <c r="U16" s="87" t="s">
        <v>307</v>
      </c>
      <c r="V16" s="87" t="b">
        <v>0</v>
      </c>
      <c r="W16" s="87">
        <v>8</v>
      </c>
      <c r="X16" s="87" t="s">
        <v>309</v>
      </c>
      <c r="Y16" s="87" t="b">
        <v>0</v>
      </c>
      <c r="Z16" s="87" t="s">
        <v>310</v>
      </c>
      <c r="AA16" s="87"/>
      <c r="AB16" s="87"/>
      <c r="AC16" s="87" t="b">
        <v>0</v>
      </c>
      <c r="AD16" s="87">
        <v>3</v>
      </c>
      <c r="AE16" s="87"/>
      <c r="AF16" s="87" t="s">
        <v>311</v>
      </c>
      <c r="AG16" s="87" t="b">
        <v>0</v>
      </c>
      <c r="AH16" s="87" t="s">
        <v>307</v>
      </c>
      <c r="AI16" s="87" t="s">
        <v>196</v>
      </c>
      <c r="AJ16" s="87">
        <v>0</v>
      </c>
      <c r="AK16" s="87">
        <v>0</v>
      </c>
      <c r="AL16" s="87"/>
      <c r="AM16" s="87"/>
      <c r="AN16" s="87"/>
      <c r="AO16" s="87"/>
      <c r="AP16" s="87"/>
      <c r="AQ16" s="87"/>
      <c r="AR16" s="87"/>
      <c r="AS16" s="87"/>
      <c r="AT16" s="87">
        <v>1</v>
      </c>
      <c r="AU16" s="87">
        <v>1</v>
      </c>
      <c r="AV16" s="87">
        <v>1</v>
      </c>
      <c r="AW16" s="87" t="s">
        <v>240</v>
      </c>
      <c r="AX16" s="87"/>
      <c r="AY16" s="87"/>
      <c r="AZ16" s="87"/>
      <c r="BA16" s="87"/>
      <c r="BB16" s="87"/>
      <c r="BC16" s="87"/>
      <c r="BD16" s="87"/>
      <c r="BE16" s="87"/>
      <c r="BF16" s="87"/>
      <c r="BG16" s="87" t="s">
        <v>349</v>
      </c>
      <c r="BH16" s="87" t="s">
        <v>309</v>
      </c>
      <c r="BI16" s="87">
        <v>1794</v>
      </c>
      <c r="BJ16" s="87">
        <v>3858</v>
      </c>
      <c r="BK16" s="87">
        <v>3222</v>
      </c>
      <c r="BL16" s="87">
        <v>8851</v>
      </c>
      <c r="BM16" s="87"/>
      <c r="BN16" s="87" t="s">
        <v>372</v>
      </c>
      <c r="BO16" s="87" t="s">
        <v>387</v>
      </c>
      <c r="BP16" s="87" t="s">
        <v>515</v>
      </c>
      <c r="BQ16" s="87"/>
      <c r="BR16" s="128">
        <v>40547.183275462965</v>
      </c>
      <c r="BS16" s="87" t="s">
        <v>527</v>
      </c>
      <c r="BT16" s="87" t="b">
        <v>1</v>
      </c>
      <c r="BU16" s="87" t="b">
        <v>0</v>
      </c>
      <c r="BV16" s="87" t="b">
        <v>0</v>
      </c>
      <c r="BW16" s="87"/>
      <c r="BX16" s="87">
        <v>88</v>
      </c>
      <c r="BY16" s="87" t="s">
        <v>546</v>
      </c>
      <c r="BZ16" s="87" t="b">
        <v>0</v>
      </c>
      <c r="CA16" s="87" t="s">
        <v>65</v>
      </c>
      <c r="CB16" s="87">
        <v>1</v>
      </c>
      <c r="CC16" s="87" t="s">
        <v>250</v>
      </c>
      <c r="CD16" s="87"/>
      <c r="CE16" s="87"/>
      <c r="CF16" s="87"/>
      <c r="CG16" s="87"/>
      <c r="CH16" s="87"/>
      <c r="CI16" s="87"/>
      <c r="CJ16" s="87"/>
      <c r="CK16" s="87"/>
      <c r="CL16" s="87"/>
      <c r="CM16" s="87" t="s">
        <v>348</v>
      </c>
      <c r="CN16" s="87" t="s">
        <v>566</v>
      </c>
      <c r="CO16" s="87">
        <v>188</v>
      </c>
      <c r="CP16" s="87">
        <v>2666</v>
      </c>
      <c r="CQ16" s="87">
        <v>214</v>
      </c>
      <c r="CR16" s="87">
        <v>214</v>
      </c>
      <c r="CS16" s="87"/>
      <c r="CT16" s="87" t="s">
        <v>371</v>
      </c>
      <c r="CU16" s="87" t="s">
        <v>386</v>
      </c>
      <c r="CV16" s="87" t="s">
        <v>578</v>
      </c>
      <c r="CW16" s="87"/>
      <c r="CX16" s="128">
        <v>43244.40773148148</v>
      </c>
      <c r="CY16" s="87" t="s">
        <v>586</v>
      </c>
      <c r="CZ16" s="87" t="b">
        <v>1</v>
      </c>
      <c r="DA16" s="87" t="b">
        <v>0</v>
      </c>
      <c r="DB16" s="87" t="b">
        <v>0</v>
      </c>
      <c r="DC16" s="87"/>
      <c r="DD16" s="87">
        <v>99</v>
      </c>
      <c r="DE16" s="87"/>
      <c r="DF16" s="87" t="b">
        <v>0</v>
      </c>
      <c r="DG16" s="87" t="s">
        <v>65</v>
      </c>
      <c r="DH16" s="87">
        <v>1</v>
      </c>
      <c r="DI16" s="87">
        <v>1</v>
      </c>
      <c r="DJ16" s="87">
        <v>1</v>
      </c>
      <c r="DK16" s="87">
        <v>2</v>
      </c>
      <c r="DL16" s="87">
        <v>1</v>
      </c>
      <c r="DM16" s="87">
        <v>-4</v>
      </c>
      <c r="DN16" s="87">
        <v>-4</v>
      </c>
    </row>
    <row r="17" spans="1:118" ht="15">
      <c r="A17" s="84" t="s">
        <v>297</v>
      </c>
      <c r="B17" s="87" t="s">
        <v>299</v>
      </c>
      <c r="C17" s="87" t="s">
        <v>238</v>
      </c>
      <c r="D17" s="87" t="s">
        <v>240</v>
      </c>
      <c r="E17" s="87"/>
      <c r="F17" s="87" t="s">
        <v>252</v>
      </c>
      <c r="G17" s="128">
        <v>44992.159224537034</v>
      </c>
      <c r="H17" s="87" t="s">
        <v>259</v>
      </c>
      <c r="I17" s="87" t="s">
        <v>453</v>
      </c>
      <c r="J17" s="87" t="s">
        <v>269</v>
      </c>
      <c r="K17" s="87"/>
      <c r="L17" s="87"/>
      <c r="M17" s="87" t="s">
        <v>467</v>
      </c>
      <c r="N17" s="128">
        <v>44992.159224537034</v>
      </c>
      <c r="O17" s="128">
        <v>44992</v>
      </c>
      <c r="P17" s="129">
        <v>0.15922453703703704</v>
      </c>
      <c r="Q17" s="87" t="s">
        <v>481</v>
      </c>
      <c r="R17" s="87"/>
      <c r="S17" s="87"/>
      <c r="T17" s="87" t="s">
        <v>297</v>
      </c>
      <c r="U17" s="87"/>
      <c r="V17" s="87" t="b">
        <v>0</v>
      </c>
      <c r="W17" s="87">
        <v>0</v>
      </c>
      <c r="X17" s="87"/>
      <c r="Y17" s="87" t="b">
        <v>0</v>
      </c>
      <c r="Z17" s="87" t="s">
        <v>310</v>
      </c>
      <c r="AA17" s="87"/>
      <c r="AB17" s="87"/>
      <c r="AC17" s="87" t="b">
        <v>0</v>
      </c>
      <c r="AD17" s="87">
        <v>3</v>
      </c>
      <c r="AE17" s="87" t="s">
        <v>299</v>
      </c>
      <c r="AF17" s="87" t="s">
        <v>315</v>
      </c>
      <c r="AG17" s="87" t="b">
        <v>0</v>
      </c>
      <c r="AH17" s="87" t="s">
        <v>299</v>
      </c>
      <c r="AI17" s="87" t="s">
        <v>196</v>
      </c>
      <c r="AJ17" s="87">
        <v>0</v>
      </c>
      <c r="AK17" s="87">
        <v>0</v>
      </c>
      <c r="AL17" s="87"/>
      <c r="AM17" s="87"/>
      <c r="AN17" s="87"/>
      <c r="AO17" s="87"/>
      <c r="AP17" s="87"/>
      <c r="AQ17" s="87"/>
      <c r="AR17" s="87"/>
      <c r="AS17" s="87"/>
      <c r="AT17" s="87">
        <v>1</v>
      </c>
      <c r="AU17" s="87">
        <v>1</v>
      </c>
      <c r="AV17" s="87">
        <v>1</v>
      </c>
      <c r="AW17" s="87" t="s">
        <v>238</v>
      </c>
      <c r="AX17" s="87"/>
      <c r="AY17" s="87"/>
      <c r="AZ17" s="87"/>
      <c r="BA17" s="87"/>
      <c r="BB17" s="87"/>
      <c r="BC17" s="87"/>
      <c r="BD17" s="87"/>
      <c r="BE17" s="87"/>
      <c r="BF17" s="87"/>
      <c r="BG17" s="87" t="s">
        <v>347</v>
      </c>
      <c r="BH17" s="87" t="s">
        <v>503</v>
      </c>
      <c r="BI17" s="87">
        <v>624</v>
      </c>
      <c r="BJ17" s="87">
        <v>593</v>
      </c>
      <c r="BK17" s="87">
        <v>51102</v>
      </c>
      <c r="BL17" s="87">
        <v>112705</v>
      </c>
      <c r="BM17" s="87"/>
      <c r="BN17" s="87"/>
      <c r="BO17" s="87"/>
      <c r="BP17" s="87"/>
      <c r="BQ17" s="87"/>
      <c r="BR17" s="128">
        <v>43347.818553240744</v>
      </c>
      <c r="BS17" s="87"/>
      <c r="BT17" s="87" t="b">
        <v>1</v>
      </c>
      <c r="BU17" s="87" t="b">
        <v>0</v>
      </c>
      <c r="BV17" s="87" t="b">
        <v>0</v>
      </c>
      <c r="BW17" s="87"/>
      <c r="BX17" s="87">
        <v>4</v>
      </c>
      <c r="BY17" s="87"/>
      <c r="BZ17" s="87" t="b">
        <v>0</v>
      </c>
      <c r="CA17" s="87" t="s">
        <v>66</v>
      </c>
      <c r="CB17" s="87">
        <v>1</v>
      </c>
      <c r="CC17" s="87" t="s">
        <v>240</v>
      </c>
      <c r="CD17" s="87"/>
      <c r="CE17" s="87"/>
      <c r="CF17" s="87"/>
      <c r="CG17" s="87"/>
      <c r="CH17" s="87"/>
      <c r="CI17" s="87"/>
      <c r="CJ17" s="87"/>
      <c r="CK17" s="87"/>
      <c r="CL17" s="87"/>
      <c r="CM17" s="87" t="s">
        <v>349</v>
      </c>
      <c r="CN17" s="87" t="s">
        <v>309</v>
      </c>
      <c r="CO17" s="87">
        <v>1794</v>
      </c>
      <c r="CP17" s="87">
        <v>3858</v>
      </c>
      <c r="CQ17" s="87">
        <v>3222</v>
      </c>
      <c r="CR17" s="87">
        <v>8851</v>
      </c>
      <c r="CS17" s="87"/>
      <c r="CT17" s="87" t="s">
        <v>372</v>
      </c>
      <c r="CU17" s="87" t="s">
        <v>387</v>
      </c>
      <c r="CV17" s="87" t="s">
        <v>515</v>
      </c>
      <c r="CW17" s="87"/>
      <c r="CX17" s="128">
        <v>40547.183275462965</v>
      </c>
      <c r="CY17" s="87" t="s">
        <v>527</v>
      </c>
      <c r="CZ17" s="87" t="b">
        <v>1</v>
      </c>
      <c r="DA17" s="87" t="b">
        <v>0</v>
      </c>
      <c r="DB17" s="87" t="b">
        <v>0</v>
      </c>
      <c r="DC17" s="87"/>
      <c r="DD17" s="87">
        <v>88</v>
      </c>
      <c r="DE17" s="87" t="s">
        <v>546</v>
      </c>
      <c r="DF17" s="87" t="b">
        <v>0</v>
      </c>
      <c r="DG17" s="87" t="s">
        <v>65</v>
      </c>
      <c r="DH17" s="87">
        <v>1</v>
      </c>
      <c r="DI17" s="87">
        <v>1</v>
      </c>
      <c r="DJ17" s="87">
        <v>1</v>
      </c>
      <c r="DK17" s="87">
        <v>3</v>
      </c>
      <c r="DL17" s="87">
        <v>2</v>
      </c>
      <c r="DM17" s="87">
        <v>-3</v>
      </c>
      <c r="DN17" s="87">
        <v>-4</v>
      </c>
    </row>
    <row r="18" spans="1:118" ht="15">
      <c r="A18" s="84" t="s">
        <v>297</v>
      </c>
      <c r="B18" s="87" t="s">
        <v>299</v>
      </c>
      <c r="C18" s="87" t="s">
        <v>238</v>
      </c>
      <c r="D18" s="87" t="s">
        <v>250</v>
      </c>
      <c r="E18" s="87"/>
      <c r="F18" s="87" t="s">
        <v>254</v>
      </c>
      <c r="G18" s="128">
        <v>44992.159224537034</v>
      </c>
      <c r="H18" s="87" t="s">
        <v>259</v>
      </c>
      <c r="I18" s="87" t="s">
        <v>453</v>
      </c>
      <c r="J18" s="87" t="s">
        <v>269</v>
      </c>
      <c r="K18" s="87"/>
      <c r="L18" s="87"/>
      <c r="M18" s="87" t="s">
        <v>467</v>
      </c>
      <c r="N18" s="128">
        <v>44992.159224537034</v>
      </c>
      <c r="O18" s="128">
        <v>44992</v>
      </c>
      <c r="P18" s="129">
        <v>0.15922453703703704</v>
      </c>
      <c r="Q18" s="87" t="s">
        <v>481</v>
      </c>
      <c r="R18" s="87"/>
      <c r="S18" s="87"/>
      <c r="T18" s="87" t="s">
        <v>297</v>
      </c>
      <c r="U18" s="87"/>
      <c r="V18" s="87" t="b">
        <v>0</v>
      </c>
      <c r="W18" s="87">
        <v>0</v>
      </c>
      <c r="X18" s="87"/>
      <c r="Y18" s="87" t="b">
        <v>0</v>
      </c>
      <c r="Z18" s="87" t="s">
        <v>310</v>
      </c>
      <c r="AA18" s="87"/>
      <c r="AB18" s="87"/>
      <c r="AC18" s="87" t="b">
        <v>0</v>
      </c>
      <c r="AD18" s="87">
        <v>3</v>
      </c>
      <c r="AE18" s="87" t="s">
        <v>299</v>
      </c>
      <c r="AF18" s="87" t="s">
        <v>315</v>
      </c>
      <c r="AG18" s="87" t="b">
        <v>0</v>
      </c>
      <c r="AH18" s="87" t="s">
        <v>299</v>
      </c>
      <c r="AI18" s="87" t="s">
        <v>196</v>
      </c>
      <c r="AJ18" s="87">
        <v>0</v>
      </c>
      <c r="AK18" s="87">
        <v>0</v>
      </c>
      <c r="AL18" s="87"/>
      <c r="AM18" s="87"/>
      <c r="AN18" s="87"/>
      <c r="AO18" s="87"/>
      <c r="AP18" s="87"/>
      <c r="AQ18" s="87"/>
      <c r="AR18" s="87"/>
      <c r="AS18" s="87"/>
      <c r="AT18" s="87">
        <v>1</v>
      </c>
      <c r="AU18" s="87">
        <v>1</v>
      </c>
      <c r="AV18" s="87">
        <v>1</v>
      </c>
      <c r="AW18" s="87" t="s">
        <v>238</v>
      </c>
      <c r="AX18" s="87"/>
      <c r="AY18" s="87"/>
      <c r="AZ18" s="87"/>
      <c r="BA18" s="87"/>
      <c r="BB18" s="87"/>
      <c r="BC18" s="87"/>
      <c r="BD18" s="87"/>
      <c r="BE18" s="87"/>
      <c r="BF18" s="87"/>
      <c r="BG18" s="87" t="s">
        <v>347</v>
      </c>
      <c r="BH18" s="87" t="s">
        <v>503</v>
      </c>
      <c r="BI18" s="87">
        <v>624</v>
      </c>
      <c r="BJ18" s="87">
        <v>593</v>
      </c>
      <c r="BK18" s="87">
        <v>51102</v>
      </c>
      <c r="BL18" s="87">
        <v>112705</v>
      </c>
      <c r="BM18" s="87"/>
      <c r="BN18" s="87"/>
      <c r="BO18" s="87"/>
      <c r="BP18" s="87"/>
      <c r="BQ18" s="87"/>
      <c r="BR18" s="128">
        <v>43347.818553240744</v>
      </c>
      <c r="BS18" s="87"/>
      <c r="BT18" s="87" t="b">
        <v>1</v>
      </c>
      <c r="BU18" s="87" t="b">
        <v>0</v>
      </c>
      <c r="BV18" s="87" t="b">
        <v>0</v>
      </c>
      <c r="BW18" s="87"/>
      <c r="BX18" s="87">
        <v>4</v>
      </c>
      <c r="BY18" s="87"/>
      <c r="BZ18" s="87" t="b">
        <v>0</v>
      </c>
      <c r="CA18" s="87" t="s">
        <v>66</v>
      </c>
      <c r="CB18" s="87">
        <v>1</v>
      </c>
      <c r="CC18" s="87" t="s">
        <v>250</v>
      </c>
      <c r="CD18" s="87"/>
      <c r="CE18" s="87"/>
      <c r="CF18" s="87"/>
      <c r="CG18" s="87"/>
      <c r="CH18" s="87"/>
      <c r="CI18" s="87"/>
      <c r="CJ18" s="87"/>
      <c r="CK18" s="87"/>
      <c r="CL18" s="87"/>
      <c r="CM18" s="87" t="s">
        <v>348</v>
      </c>
      <c r="CN18" s="87" t="s">
        <v>566</v>
      </c>
      <c r="CO18" s="87">
        <v>188</v>
      </c>
      <c r="CP18" s="87">
        <v>2666</v>
      </c>
      <c r="CQ18" s="87">
        <v>214</v>
      </c>
      <c r="CR18" s="87">
        <v>214</v>
      </c>
      <c r="CS18" s="87"/>
      <c r="CT18" s="87" t="s">
        <v>371</v>
      </c>
      <c r="CU18" s="87" t="s">
        <v>386</v>
      </c>
      <c r="CV18" s="87" t="s">
        <v>578</v>
      </c>
      <c r="CW18" s="87"/>
      <c r="CX18" s="128">
        <v>43244.40773148148</v>
      </c>
      <c r="CY18" s="87" t="s">
        <v>586</v>
      </c>
      <c r="CZ18" s="87" t="b">
        <v>1</v>
      </c>
      <c r="DA18" s="87" t="b">
        <v>0</v>
      </c>
      <c r="DB18" s="87" t="b">
        <v>0</v>
      </c>
      <c r="DC18" s="87"/>
      <c r="DD18" s="87">
        <v>99</v>
      </c>
      <c r="DE18" s="87"/>
      <c r="DF18" s="87" t="b">
        <v>0</v>
      </c>
      <c r="DG18" s="87" t="s">
        <v>65</v>
      </c>
      <c r="DH18" s="87">
        <v>1</v>
      </c>
      <c r="DI18" s="87">
        <v>1</v>
      </c>
      <c r="DJ18" s="87">
        <v>1</v>
      </c>
      <c r="DK18" s="87">
        <v>3</v>
      </c>
      <c r="DL18" s="87">
        <v>2</v>
      </c>
      <c r="DM18" s="87">
        <v>-3</v>
      </c>
      <c r="DN18" s="87">
        <v>-4</v>
      </c>
    </row>
    <row r="19" spans="1:118" ht="15">
      <c r="A19" s="84" t="s">
        <v>297</v>
      </c>
      <c r="B19" s="87" t="s">
        <v>299</v>
      </c>
      <c r="C19" s="87" t="s">
        <v>238</v>
      </c>
      <c r="D19" s="87" t="s">
        <v>249</v>
      </c>
      <c r="E19" s="87"/>
      <c r="F19" s="87" t="s">
        <v>254</v>
      </c>
      <c r="G19" s="128">
        <v>44992.159224537034</v>
      </c>
      <c r="H19" s="87" t="s">
        <v>259</v>
      </c>
      <c r="I19" s="87" t="s">
        <v>453</v>
      </c>
      <c r="J19" s="87" t="s">
        <v>269</v>
      </c>
      <c r="K19" s="87"/>
      <c r="L19" s="87"/>
      <c r="M19" s="87" t="s">
        <v>467</v>
      </c>
      <c r="N19" s="128">
        <v>44992.159224537034</v>
      </c>
      <c r="O19" s="128">
        <v>44992</v>
      </c>
      <c r="P19" s="129">
        <v>0.15922453703703704</v>
      </c>
      <c r="Q19" s="87" t="s">
        <v>481</v>
      </c>
      <c r="R19" s="87"/>
      <c r="S19" s="87"/>
      <c r="T19" s="87" t="s">
        <v>297</v>
      </c>
      <c r="U19" s="87"/>
      <c r="V19" s="87" t="b">
        <v>0</v>
      </c>
      <c r="W19" s="87">
        <v>0</v>
      </c>
      <c r="X19" s="87"/>
      <c r="Y19" s="87" t="b">
        <v>0</v>
      </c>
      <c r="Z19" s="87" t="s">
        <v>310</v>
      </c>
      <c r="AA19" s="87"/>
      <c r="AB19" s="87"/>
      <c r="AC19" s="87" t="b">
        <v>0</v>
      </c>
      <c r="AD19" s="87">
        <v>3</v>
      </c>
      <c r="AE19" s="87" t="s">
        <v>299</v>
      </c>
      <c r="AF19" s="87" t="s">
        <v>315</v>
      </c>
      <c r="AG19" s="87" t="b">
        <v>0</v>
      </c>
      <c r="AH19" s="87" t="s">
        <v>299</v>
      </c>
      <c r="AI19" s="87" t="s">
        <v>196</v>
      </c>
      <c r="AJ19" s="87">
        <v>0</v>
      </c>
      <c r="AK19" s="87">
        <v>0</v>
      </c>
      <c r="AL19" s="87"/>
      <c r="AM19" s="87"/>
      <c r="AN19" s="87"/>
      <c r="AO19" s="87"/>
      <c r="AP19" s="87"/>
      <c r="AQ19" s="87"/>
      <c r="AR19" s="87"/>
      <c r="AS19" s="87"/>
      <c r="AT19" s="87">
        <v>1</v>
      </c>
      <c r="AU19" s="87">
        <v>1</v>
      </c>
      <c r="AV19" s="87">
        <v>1</v>
      </c>
      <c r="AW19" s="87" t="s">
        <v>238</v>
      </c>
      <c r="AX19" s="87"/>
      <c r="AY19" s="87"/>
      <c r="AZ19" s="87"/>
      <c r="BA19" s="87"/>
      <c r="BB19" s="87"/>
      <c r="BC19" s="87"/>
      <c r="BD19" s="87"/>
      <c r="BE19" s="87"/>
      <c r="BF19" s="87"/>
      <c r="BG19" s="87" t="s">
        <v>347</v>
      </c>
      <c r="BH19" s="87" t="s">
        <v>503</v>
      </c>
      <c r="BI19" s="87">
        <v>624</v>
      </c>
      <c r="BJ19" s="87">
        <v>593</v>
      </c>
      <c r="BK19" s="87">
        <v>51102</v>
      </c>
      <c r="BL19" s="87">
        <v>112705</v>
      </c>
      <c r="BM19" s="87"/>
      <c r="BN19" s="87"/>
      <c r="BO19" s="87"/>
      <c r="BP19" s="87"/>
      <c r="BQ19" s="87"/>
      <c r="BR19" s="128">
        <v>43347.818553240744</v>
      </c>
      <c r="BS19" s="87"/>
      <c r="BT19" s="87" t="b">
        <v>1</v>
      </c>
      <c r="BU19" s="87" t="b">
        <v>0</v>
      </c>
      <c r="BV19" s="87" t="b">
        <v>0</v>
      </c>
      <c r="BW19" s="87"/>
      <c r="BX19" s="87">
        <v>4</v>
      </c>
      <c r="BY19" s="87"/>
      <c r="BZ19" s="87" t="b">
        <v>0</v>
      </c>
      <c r="CA19" s="87" t="s">
        <v>66</v>
      </c>
      <c r="CB19" s="87">
        <v>1</v>
      </c>
      <c r="CC19" s="87" t="s">
        <v>249</v>
      </c>
      <c r="CD19" s="87"/>
      <c r="CE19" s="87"/>
      <c r="CF19" s="87"/>
      <c r="CG19" s="87"/>
      <c r="CH19" s="87"/>
      <c r="CI19" s="87"/>
      <c r="CJ19" s="87"/>
      <c r="CK19" s="87"/>
      <c r="CL19" s="87"/>
      <c r="CM19" s="87" t="s">
        <v>346</v>
      </c>
      <c r="CN19" s="87" t="s">
        <v>565</v>
      </c>
      <c r="CO19" s="87">
        <v>313</v>
      </c>
      <c r="CP19" s="87">
        <v>5394</v>
      </c>
      <c r="CQ19" s="87">
        <v>391</v>
      </c>
      <c r="CR19" s="87">
        <v>532</v>
      </c>
      <c r="CS19" s="87"/>
      <c r="CT19" s="87" t="s">
        <v>370</v>
      </c>
      <c r="CU19" s="87" t="s">
        <v>385</v>
      </c>
      <c r="CV19" s="87" t="s">
        <v>577</v>
      </c>
      <c r="CW19" s="87"/>
      <c r="CX19" s="128">
        <v>42660.34165509259</v>
      </c>
      <c r="CY19" s="87" t="s">
        <v>585</v>
      </c>
      <c r="CZ19" s="87" t="b">
        <v>1</v>
      </c>
      <c r="DA19" s="87" t="b">
        <v>0</v>
      </c>
      <c r="DB19" s="87" t="b">
        <v>0</v>
      </c>
      <c r="DC19" s="87"/>
      <c r="DD19" s="87">
        <v>132</v>
      </c>
      <c r="DE19" s="87"/>
      <c r="DF19" s="87" t="b">
        <v>0</v>
      </c>
      <c r="DG19" s="87" t="s">
        <v>65</v>
      </c>
      <c r="DH19" s="87">
        <v>1</v>
      </c>
      <c r="DI19" s="87">
        <v>1</v>
      </c>
      <c r="DJ19" s="87">
        <v>1</v>
      </c>
      <c r="DK19" s="87">
        <v>3</v>
      </c>
      <c r="DL19" s="87">
        <v>2</v>
      </c>
      <c r="DM19" s="87">
        <v>-3</v>
      </c>
      <c r="DN19" s="87">
        <v>-4</v>
      </c>
    </row>
    <row r="20" spans="1:118" ht="15">
      <c r="A20" s="84" t="s">
        <v>296</v>
      </c>
      <c r="B20" s="87" t="s">
        <v>296</v>
      </c>
      <c r="C20" s="87" t="s">
        <v>237</v>
      </c>
      <c r="D20" s="87" t="s">
        <v>249</v>
      </c>
      <c r="E20" s="87"/>
      <c r="F20" s="87" t="s">
        <v>253</v>
      </c>
      <c r="G20" s="128">
        <v>44991.75209490741</v>
      </c>
      <c r="H20" s="87" t="s">
        <v>258</v>
      </c>
      <c r="I20" s="87" t="s">
        <v>454</v>
      </c>
      <c r="J20" s="87" t="s">
        <v>268</v>
      </c>
      <c r="K20" s="87" t="s">
        <v>274</v>
      </c>
      <c r="L20" s="87"/>
      <c r="M20" s="87" t="s">
        <v>468</v>
      </c>
      <c r="N20" s="128">
        <v>44991.75209490741</v>
      </c>
      <c r="O20" s="128">
        <v>44991</v>
      </c>
      <c r="P20" s="129">
        <v>0.7520949074074075</v>
      </c>
      <c r="Q20" s="87" t="s">
        <v>482</v>
      </c>
      <c r="R20" s="87"/>
      <c r="S20" s="87"/>
      <c r="T20" s="87" t="s">
        <v>296</v>
      </c>
      <c r="U20" s="87"/>
      <c r="V20" s="87" t="b">
        <v>0</v>
      </c>
      <c r="W20" s="87">
        <v>1</v>
      </c>
      <c r="X20" s="87"/>
      <c r="Y20" s="87" t="b">
        <v>0</v>
      </c>
      <c r="Z20" s="87" t="s">
        <v>310</v>
      </c>
      <c r="AA20" s="87"/>
      <c r="AB20" s="87"/>
      <c r="AC20" s="87" t="b">
        <v>0</v>
      </c>
      <c r="AD20" s="87">
        <v>0</v>
      </c>
      <c r="AE20" s="87"/>
      <c r="AF20" s="87" t="s">
        <v>314</v>
      </c>
      <c r="AG20" s="87" t="b">
        <v>0</v>
      </c>
      <c r="AH20" s="87" t="s">
        <v>296</v>
      </c>
      <c r="AI20" s="87" t="s">
        <v>196</v>
      </c>
      <c r="AJ20" s="87">
        <v>0</v>
      </c>
      <c r="AK20" s="87">
        <v>0</v>
      </c>
      <c r="AL20" s="87"/>
      <c r="AM20" s="87"/>
      <c r="AN20" s="87"/>
      <c r="AO20" s="87"/>
      <c r="AP20" s="87"/>
      <c r="AQ20" s="87"/>
      <c r="AR20" s="87"/>
      <c r="AS20" s="87"/>
      <c r="AT20" s="87">
        <v>1</v>
      </c>
      <c r="AU20" s="87">
        <v>5</v>
      </c>
      <c r="AV20" s="87">
        <v>1</v>
      </c>
      <c r="AW20" s="87" t="s">
        <v>237</v>
      </c>
      <c r="AX20" s="87"/>
      <c r="AY20" s="87"/>
      <c r="AZ20" s="87"/>
      <c r="BA20" s="87"/>
      <c r="BB20" s="87"/>
      <c r="BC20" s="87"/>
      <c r="BD20" s="87"/>
      <c r="BE20" s="87"/>
      <c r="BF20" s="87"/>
      <c r="BG20" s="87" t="s">
        <v>344</v>
      </c>
      <c r="BH20" s="87" t="s">
        <v>358</v>
      </c>
      <c r="BI20" s="87">
        <v>1384</v>
      </c>
      <c r="BJ20" s="87">
        <v>563</v>
      </c>
      <c r="BK20" s="87">
        <v>9429</v>
      </c>
      <c r="BL20" s="87">
        <v>231</v>
      </c>
      <c r="BM20" s="87"/>
      <c r="BN20" s="87" t="s">
        <v>368</v>
      </c>
      <c r="BO20" s="87" t="s">
        <v>384</v>
      </c>
      <c r="BP20" s="87" t="s">
        <v>521</v>
      </c>
      <c r="BQ20" s="87"/>
      <c r="BR20" s="128">
        <v>40203.88298611111</v>
      </c>
      <c r="BS20" s="87" t="s">
        <v>535</v>
      </c>
      <c r="BT20" s="87" t="b">
        <v>0</v>
      </c>
      <c r="BU20" s="87" t="b">
        <v>0</v>
      </c>
      <c r="BV20" s="87" t="b">
        <v>1</v>
      </c>
      <c r="BW20" s="87"/>
      <c r="BX20" s="87">
        <v>227</v>
      </c>
      <c r="BY20" s="87" t="s">
        <v>546</v>
      </c>
      <c r="BZ20" s="87" t="b">
        <v>0</v>
      </c>
      <c r="CA20" s="87" t="s">
        <v>66</v>
      </c>
      <c r="CB20" s="87">
        <v>5</v>
      </c>
      <c r="CC20" s="87" t="s">
        <v>249</v>
      </c>
      <c r="CD20" s="87"/>
      <c r="CE20" s="87"/>
      <c r="CF20" s="87"/>
      <c r="CG20" s="87"/>
      <c r="CH20" s="87"/>
      <c r="CI20" s="87"/>
      <c r="CJ20" s="87"/>
      <c r="CK20" s="87"/>
      <c r="CL20" s="87"/>
      <c r="CM20" s="87" t="s">
        <v>346</v>
      </c>
      <c r="CN20" s="87" t="s">
        <v>565</v>
      </c>
      <c r="CO20" s="87">
        <v>313</v>
      </c>
      <c r="CP20" s="87">
        <v>5394</v>
      </c>
      <c r="CQ20" s="87">
        <v>391</v>
      </c>
      <c r="CR20" s="87">
        <v>532</v>
      </c>
      <c r="CS20" s="87"/>
      <c r="CT20" s="87" t="s">
        <v>370</v>
      </c>
      <c r="CU20" s="87" t="s">
        <v>385</v>
      </c>
      <c r="CV20" s="87" t="s">
        <v>577</v>
      </c>
      <c r="CW20" s="87"/>
      <c r="CX20" s="128">
        <v>42660.34165509259</v>
      </c>
      <c r="CY20" s="87" t="s">
        <v>585</v>
      </c>
      <c r="CZ20" s="87" t="b">
        <v>1</v>
      </c>
      <c r="DA20" s="87" t="b">
        <v>0</v>
      </c>
      <c r="DB20" s="87" t="b">
        <v>0</v>
      </c>
      <c r="DC20" s="87"/>
      <c r="DD20" s="87">
        <v>132</v>
      </c>
      <c r="DE20" s="87"/>
      <c r="DF20" s="87" t="b">
        <v>0</v>
      </c>
      <c r="DG20" s="87" t="s">
        <v>65</v>
      </c>
      <c r="DH20" s="87">
        <v>1</v>
      </c>
      <c r="DI20" s="87">
        <v>5</v>
      </c>
      <c r="DJ20" s="87">
        <v>5</v>
      </c>
      <c r="DK20" s="87">
        <v>1</v>
      </c>
      <c r="DL20" s="87">
        <v>1</v>
      </c>
      <c r="DM20" s="87">
        <v>0</v>
      </c>
      <c r="DN20" s="87">
        <v>0</v>
      </c>
    </row>
    <row r="21" spans="1:118" ht="15">
      <c r="A21" s="84" t="s">
        <v>296</v>
      </c>
      <c r="B21" s="87" t="s">
        <v>296</v>
      </c>
      <c r="C21" s="87" t="s">
        <v>237</v>
      </c>
      <c r="D21" s="87" t="s">
        <v>248</v>
      </c>
      <c r="E21" s="87"/>
      <c r="F21" s="87" t="s">
        <v>253</v>
      </c>
      <c r="G21" s="128">
        <v>44991.75209490741</v>
      </c>
      <c r="H21" s="87" t="s">
        <v>258</v>
      </c>
      <c r="I21" s="87" t="s">
        <v>454</v>
      </c>
      <c r="J21" s="87" t="s">
        <v>268</v>
      </c>
      <c r="K21" s="87" t="s">
        <v>274</v>
      </c>
      <c r="L21" s="87"/>
      <c r="M21" s="87" t="s">
        <v>468</v>
      </c>
      <c r="N21" s="128">
        <v>44991.75209490741</v>
      </c>
      <c r="O21" s="128">
        <v>44991</v>
      </c>
      <c r="P21" s="129">
        <v>0.7520949074074075</v>
      </c>
      <c r="Q21" s="87" t="s">
        <v>482</v>
      </c>
      <c r="R21" s="87"/>
      <c r="S21" s="87"/>
      <c r="T21" s="87" t="s">
        <v>296</v>
      </c>
      <c r="U21" s="87"/>
      <c r="V21" s="87" t="b">
        <v>0</v>
      </c>
      <c r="W21" s="87">
        <v>1</v>
      </c>
      <c r="X21" s="87"/>
      <c r="Y21" s="87" t="b">
        <v>0</v>
      </c>
      <c r="Z21" s="87" t="s">
        <v>310</v>
      </c>
      <c r="AA21" s="87"/>
      <c r="AB21" s="87"/>
      <c r="AC21" s="87" t="b">
        <v>0</v>
      </c>
      <c r="AD21" s="87">
        <v>0</v>
      </c>
      <c r="AE21" s="87"/>
      <c r="AF21" s="87" t="s">
        <v>314</v>
      </c>
      <c r="AG21" s="87" t="b">
        <v>0</v>
      </c>
      <c r="AH21" s="87" t="s">
        <v>296</v>
      </c>
      <c r="AI21" s="87" t="s">
        <v>196</v>
      </c>
      <c r="AJ21" s="87">
        <v>0</v>
      </c>
      <c r="AK21" s="87">
        <v>0</v>
      </c>
      <c r="AL21" s="87"/>
      <c r="AM21" s="87"/>
      <c r="AN21" s="87"/>
      <c r="AO21" s="87"/>
      <c r="AP21" s="87"/>
      <c r="AQ21" s="87"/>
      <c r="AR21" s="87"/>
      <c r="AS21" s="87"/>
      <c r="AT21" s="87">
        <v>1</v>
      </c>
      <c r="AU21" s="87">
        <v>5</v>
      </c>
      <c r="AV21" s="87">
        <v>5</v>
      </c>
      <c r="AW21" s="87" t="s">
        <v>237</v>
      </c>
      <c r="AX21" s="87"/>
      <c r="AY21" s="87"/>
      <c r="AZ21" s="87"/>
      <c r="BA21" s="87"/>
      <c r="BB21" s="87"/>
      <c r="BC21" s="87"/>
      <c r="BD21" s="87"/>
      <c r="BE21" s="87"/>
      <c r="BF21" s="87"/>
      <c r="BG21" s="87" t="s">
        <v>344</v>
      </c>
      <c r="BH21" s="87" t="s">
        <v>358</v>
      </c>
      <c r="BI21" s="87">
        <v>1384</v>
      </c>
      <c r="BJ21" s="87">
        <v>563</v>
      </c>
      <c r="BK21" s="87">
        <v>9429</v>
      </c>
      <c r="BL21" s="87">
        <v>231</v>
      </c>
      <c r="BM21" s="87"/>
      <c r="BN21" s="87" t="s">
        <v>368</v>
      </c>
      <c r="BO21" s="87" t="s">
        <v>384</v>
      </c>
      <c r="BP21" s="87" t="s">
        <v>521</v>
      </c>
      <c r="BQ21" s="87"/>
      <c r="BR21" s="128">
        <v>40203.88298611111</v>
      </c>
      <c r="BS21" s="87" t="s">
        <v>535</v>
      </c>
      <c r="BT21" s="87" t="b">
        <v>0</v>
      </c>
      <c r="BU21" s="87" t="b">
        <v>0</v>
      </c>
      <c r="BV21" s="87" t="b">
        <v>1</v>
      </c>
      <c r="BW21" s="87"/>
      <c r="BX21" s="87">
        <v>227</v>
      </c>
      <c r="BY21" s="87" t="s">
        <v>546</v>
      </c>
      <c r="BZ21" s="87" t="b">
        <v>0</v>
      </c>
      <c r="CA21" s="87" t="s">
        <v>66</v>
      </c>
      <c r="CB21" s="87">
        <v>5</v>
      </c>
      <c r="CC21" s="87" t="s">
        <v>248</v>
      </c>
      <c r="CD21" s="87"/>
      <c r="CE21" s="87"/>
      <c r="CF21" s="87"/>
      <c r="CG21" s="87"/>
      <c r="CH21" s="87"/>
      <c r="CI21" s="87"/>
      <c r="CJ21" s="87"/>
      <c r="CK21" s="87"/>
      <c r="CL21" s="87"/>
      <c r="CM21" s="87" t="s">
        <v>345</v>
      </c>
      <c r="CN21" s="87" t="s">
        <v>359</v>
      </c>
      <c r="CO21" s="87">
        <v>422</v>
      </c>
      <c r="CP21" s="87">
        <v>1761</v>
      </c>
      <c r="CQ21" s="87">
        <v>452</v>
      </c>
      <c r="CR21" s="87">
        <v>329</v>
      </c>
      <c r="CS21" s="87"/>
      <c r="CT21" s="87" t="s">
        <v>369</v>
      </c>
      <c r="CU21" s="87"/>
      <c r="CV21" s="87" t="s">
        <v>579</v>
      </c>
      <c r="CW21" s="87"/>
      <c r="CX21" s="128">
        <v>41060.33493055555</v>
      </c>
      <c r="CY21" s="87" t="s">
        <v>587</v>
      </c>
      <c r="CZ21" s="87" t="b">
        <v>1</v>
      </c>
      <c r="DA21" s="87" t="b">
        <v>0</v>
      </c>
      <c r="DB21" s="87" t="b">
        <v>0</v>
      </c>
      <c r="DC21" s="87"/>
      <c r="DD21" s="87">
        <v>16</v>
      </c>
      <c r="DE21" s="87" t="s">
        <v>546</v>
      </c>
      <c r="DF21" s="87" t="b">
        <v>0</v>
      </c>
      <c r="DG21" s="87" t="s">
        <v>65</v>
      </c>
      <c r="DH21" s="87">
        <v>5</v>
      </c>
      <c r="DI21" s="87">
        <v>5</v>
      </c>
      <c r="DJ21" s="87">
        <v>5</v>
      </c>
      <c r="DK21" s="87">
        <v>1</v>
      </c>
      <c r="DL21" s="87">
        <v>1</v>
      </c>
      <c r="DM21" s="87">
        <v>0</v>
      </c>
      <c r="DN21" s="87">
        <v>0</v>
      </c>
    </row>
    <row r="22" spans="1:118" ht="15">
      <c r="A22" s="84" t="s">
        <v>295</v>
      </c>
      <c r="B22" s="87" t="s">
        <v>295</v>
      </c>
      <c r="C22" s="87" t="s">
        <v>236</v>
      </c>
      <c r="D22" s="87" t="s">
        <v>236</v>
      </c>
      <c r="E22" s="87"/>
      <c r="F22" s="87" t="s">
        <v>196</v>
      </c>
      <c r="G22" s="128">
        <v>44989.46487268519</v>
      </c>
      <c r="H22" s="87" t="s">
        <v>257</v>
      </c>
      <c r="I22" s="87" t="s">
        <v>264</v>
      </c>
      <c r="J22" s="87" t="s">
        <v>267</v>
      </c>
      <c r="K22" s="87"/>
      <c r="L22" s="87"/>
      <c r="M22" s="87" t="s">
        <v>469</v>
      </c>
      <c r="N22" s="128">
        <v>44989.46487268519</v>
      </c>
      <c r="O22" s="128">
        <v>44989</v>
      </c>
      <c r="P22" s="129">
        <v>0.4648726851851852</v>
      </c>
      <c r="Q22" s="87" t="s">
        <v>483</v>
      </c>
      <c r="R22" s="87"/>
      <c r="S22" s="87"/>
      <c r="T22" s="87" t="s">
        <v>295</v>
      </c>
      <c r="U22" s="87"/>
      <c r="V22" s="87" t="b">
        <v>0</v>
      </c>
      <c r="W22" s="87">
        <v>1</v>
      </c>
      <c r="X22" s="87"/>
      <c r="Y22" s="87" t="b">
        <v>0</v>
      </c>
      <c r="Z22" s="87" t="s">
        <v>310</v>
      </c>
      <c r="AA22" s="87"/>
      <c r="AB22" s="87"/>
      <c r="AC22" s="87" t="b">
        <v>0</v>
      </c>
      <c r="AD22" s="87">
        <v>0</v>
      </c>
      <c r="AE22" s="87"/>
      <c r="AF22" s="87" t="s">
        <v>313</v>
      </c>
      <c r="AG22" s="87" t="b">
        <v>0</v>
      </c>
      <c r="AH22" s="87" t="s">
        <v>295</v>
      </c>
      <c r="AI22" s="87" t="s">
        <v>196</v>
      </c>
      <c r="AJ22" s="87">
        <v>0</v>
      </c>
      <c r="AK22" s="87">
        <v>0</v>
      </c>
      <c r="AL22" s="87"/>
      <c r="AM22" s="87"/>
      <c r="AN22" s="87"/>
      <c r="AO22" s="87"/>
      <c r="AP22" s="87"/>
      <c r="AQ22" s="87"/>
      <c r="AR22" s="87"/>
      <c r="AS22" s="87"/>
      <c r="AT22" s="87">
        <v>1</v>
      </c>
      <c r="AU22" s="87">
        <v>3</v>
      </c>
      <c r="AV22" s="87">
        <v>3</v>
      </c>
      <c r="AW22" s="87" t="s">
        <v>236</v>
      </c>
      <c r="AX22" s="87"/>
      <c r="AY22" s="87"/>
      <c r="AZ22" s="87"/>
      <c r="BA22" s="87"/>
      <c r="BB22" s="87"/>
      <c r="BC22" s="87"/>
      <c r="BD22" s="87"/>
      <c r="BE22" s="87"/>
      <c r="BF22" s="87"/>
      <c r="BG22" s="87" t="s">
        <v>343</v>
      </c>
      <c r="BH22" s="87" t="s">
        <v>504</v>
      </c>
      <c r="BI22" s="87">
        <v>17</v>
      </c>
      <c r="BJ22" s="87">
        <v>3</v>
      </c>
      <c r="BK22" s="87">
        <v>45</v>
      </c>
      <c r="BL22" s="87">
        <v>52</v>
      </c>
      <c r="BM22" s="87"/>
      <c r="BN22" s="87" t="s">
        <v>367</v>
      </c>
      <c r="BO22" s="87" t="s">
        <v>383</v>
      </c>
      <c r="BP22" s="87"/>
      <c r="BQ22" s="87"/>
      <c r="BR22" s="128">
        <v>44916.710393518515</v>
      </c>
      <c r="BS22" s="87" t="s">
        <v>536</v>
      </c>
      <c r="BT22" s="87" t="b">
        <v>1</v>
      </c>
      <c r="BU22" s="87" t="b">
        <v>0</v>
      </c>
      <c r="BV22" s="87" t="b">
        <v>0</v>
      </c>
      <c r="BW22" s="87"/>
      <c r="BX22" s="87">
        <v>0</v>
      </c>
      <c r="BY22" s="87"/>
      <c r="BZ22" s="87" t="b">
        <v>0</v>
      </c>
      <c r="CA22" s="87" t="s">
        <v>66</v>
      </c>
      <c r="CB22" s="87">
        <v>3</v>
      </c>
      <c r="CC22" s="87" t="s">
        <v>236</v>
      </c>
      <c r="CD22" s="87"/>
      <c r="CE22" s="87"/>
      <c r="CF22" s="87"/>
      <c r="CG22" s="87"/>
      <c r="CH22" s="87"/>
      <c r="CI22" s="87"/>
      <c r="CJ22" s="87"/>
      <c r="CK22" s="87"/>
      <c r="CL22" s="87"/>
      <c r="CM22" s="87" t="s">
        <v>343</v>
      </c>
      <c r="CN22" s="87" t="s">
        <v>504</v>
      </c>
      <c r="CO22" s="87">
        <v>17</v>
      </c>
      <c r="CP22" s="87">
        <v>3</v>
      </c>
      <c r="CQ22" s="87">
        <v>45</v>
      </c>
      <c r="CR22" s="87">
        <v>52</v>
      </c>
      <c r="CS22" s="87"/>
      <c r="CT22" s="87" t="s">
        <v>367</v>
      </c>
      <c r="CU22" s="87" t="s">
        <v>383</v>
      </c>
      <c r="CV22" s="87"/>
      <c r="CW22" s="87"/>
      <c r="CX22" s="128">
        <v>44916.710393518515</v>
      </c>
      <c r="CY22" s="87" t="s">
        <v>536</v>
      </c>
      <c r="CZ22" s="87" t="b">
        <v>1</v>
      </c>
      <c r="DA22" s="87" t="b">
        <v>0</v>
      </c>
      <c r="DB22" s="87" t="b">
        <v>0</v>
      </c>
      <c r="DC22" s="87"/>
      <c r="DD22" s="87">
        <v>0</v>
      </c>
      <c r="DE22" s="87"/>
      <c r="DF22" s="87" t="b">
        <v>0</v>
      </c>
      <c r="DG22" s="87" t="s">
        <v>66</v>
      </c>
      <c r="DH22" s="87">
        <v>3</v>
      </c>
      <c r="DI22" s="87">
        <v>6</v>
      </c>
      <c r="DJ22" s="87">
        <v>6</v>
      </c>
      <c r="DK22" s="87">
        <v>1</v>
      </c>
      <c r="DL22" s="87">
        <v>1</v>
      </c>
      <c r="DM22" s="87">
        <v>1</v>
      </c>
      <c r="DN22" s="87">
        <v>1</v>
      </c>
    </row>
    <row r="23" spans="1:118" ht="15">
      <c r="A23" s="84" t="s">
        <v>294</v>
      </c>
      <c r="B23" s="87" t="s">
        <v>294</v>
      </c>
      <c r="C23" s="87" t="s">
        <v>235</v>
      </c>
      <c r="D23" s="87" t="s">
        <v>235</v>
      </c>
      <c r="E23" s="87"/>
      <c r="F23" s="87" t="s">
        <v>196</v>
      </c>
      <c r="G23" s="128">
        <v>44986.63266203704</v>
      </c>
      <c r="H23" s="87" t="s">
        <v>256</v>
      </c>
      <c r="I23" s="87" t="s">
        <v>455</v>
      </c>
      <c r="J23" s="87" t="s">
        <v>266</v>
      </c>
      <c r="K23" s="87"/>
      <c r="L23" s="87" t="s">
        <v>460</v>
      </c>
      <c r="M23" s="87" t="s">
        <v>460</v>
      </c>
      <c r="N23" s="128">
        <v>44986.63266203704</v>
      </c>
      <c r="O23" s="128">
        <v>44986</v>
      </c>
      <c r="P23" s="129">
        <v>0.632662037037037</v>
      </c>
      <c r="Q23" s="87" t="s">
        <v>484</v>
      </c>
      <c r="R23" s="87"/>
      <c r="S23" s="87"/>
      <c r="T23" s="87" t="s">
        <v>294</v>
      </c>
      <c r="U23" s="87"/>
      <c r="V23" s="87" t="b">
        <v>0</v>
      </c>
      <c r="W23" s="87">
        <v>1</v>
      </c>
      <c r="X23" s="87"/>
      <c r="Y23" s="87" t="b">
        <v>0</v>
      </c>
      <c r="Z23" s="87" t="s">
        <v>310</v>
      </c>
      <c r="AA23" s="87"/>
      <c r="AB23" s="87"/>
      <c r="AC23" s="87" t="b">
        <v>0</v>
      </c>
      <c r="AD23" s="87">
        <v>0</v>
      </c>
      <c r="AE23" s="87"/>
      <c r="AF23" s="87" t="s">
        <v>311</v>
      </c>
      <c r="AG23" s="87" t="b">
        <v>0</v>
      </c>
      <c r="AH23" s="87" t="s">
        <v>294</v>
      </c>
      <c r="AI23" s="87" t="s">
        <v>196</v>
      </c>
      <c r="AJ23" s="87">
        <v>0</v>
      </c>
      <c r="AK23" s="87">
        <v>0</v>
      </c>
      <c r="AL23" s="87"/>
      <c r="AM23" s="87"/>
      <c r="AN23" s="87"/>
      <c r="AO23" s="87"/>
      <c r="AP23" s="87"/>
      <c r="AQ23" s="87"/>
      <c r="AR23" s="87"/>
      <c r="AS23" s="87"/>
      <c r="AT23" s="87">
        <v>1</v>
      </c>
      <c r="AU23" s="87">
        <v>6</v>
      </c>
      <c r="AV23" s="87">
        <v>6</v>
      </c>
      <c r="AW23" s="87" t="s">
        <v>235</v>
      </c>
      <c r="AX23" s="87"/>
      <c r="AY23" s="87"/>
      <c r="AZ23" s="87"/>
      <c r="BA23" s="87"/>
      <c r="BB23" s="87"/>
      <c r="BC23" s="87"/>
      <c r="BD23" s="87"/>
      <c r="BE23" s="87"/>
      <c r="BF23" s="87"/>
      <c r="BG23" s="87" t="s">
        <v>342</v>
      </c>
      <c r="BH23" s="87" t="s">
        <v>505</v>
      </c>
      <c r="BI23" s="87">
        <v>949</v>
      </c>
      <c r="BJ23" s="87">
        <v>510</v>
      </c>
      <c r="BK23" s="87">
        <v>2147</v>
      </c>
      <c r="BL23" s="87">
        <v>13523</v>
      </c>
      <c r="BM23" s="87"/>
      <c r="BN23" s="87" t="s">
        <v>366</v>
      </c>
      <c r="BO23" s="87" t="s">
        <v>382</v>
      </c>
      <c r="BP23" s="87"/>
      <c r="BQ23" s="87"/>
      <c r="BR23" s="128">
        <v>44217.484293981484</v>
      </c>
      <c r="BS23" s="87" t="s">
        <v>537</v>
      </c>
      <c r="BT23" s="87" t="b">
        <v>1</v>
      </c>
      <c r="BU23" s="87" t="b">
        <v>0</v>
      </c>
      <c r="BV23" s="87" t="b">
        <v>0</v>
      </c>
      <c r="BW23" s="87"/>
      <c r="BX23" s="87">
        <v>5</v>
      </c>
      <c r="BY23" s="87"/>
      <c r="BZ23" s="87" t="b">
        <v>0</v>
      </c>
      <c r="CA23" s="87" t="s">
        <v>66</v>
      </c>
      <c r="CB23" s="87">
        <v>6</v>
      </c>
      <c r="CC23" s="87" t="s">
        <v>235</v>
      </c>
      <c r="CD23" s="87"/>
      <c r="CE23" s="87"/>
      <c r="CF23" s="87"/>
      <c r="CG23" s="87"/>
      <c r="CH23" s="87"/>
      <c r="CI23" s="87"/>
      <c r="CJ23" s="87"/>
      <c r="CK23" s="87"/>
      <c r="CL23" s="87"/>
      <c r="CM23" s="87" t="s">
        <v>342</v>
      </c>
      <c r="CN23" s="87" t="s">
        <v>505</v>
      </c>
      <c r="CO23" s="87">
        <v>949</v>
      </c>
      <c r="CP23" s="87">
        <v>510</v>
      </c>
      <c r="CQ23" s="87">
        <v>2147</v>
      </c>
      <c r="CR23" s="87">
        <v>13523</v>
      </c>
      <c r="CS23" s="87"/>
      <c r="CT23" s="87" t="s">
        <v>366</v>
      </c>
      <c r="CU23" s="87" t="s">
        <v>382</v>
      </c>
      <c r="CV23" s="87"/>
      <c r="CW23" s="87"/>
      <c r="CX23" s="128">
        <v>44217.484293981484</v>
      </c>
      <c r="CY23" s="87" t="s">
        <v>537</v>
      </c>
      <c r="CZ23" s="87" t="b">
        <v>1</v>
      </c>
      <c r="DA23" s="87" t="b">
        <v>0</v>
      </c>
      <c r="DB23" s="87" t="b">
        <v>0</v>
      </c>
      <c r="DC23" s="87"/>
      <c r="DD23" s="87">
        <v>5</v>
      </c>
      <c r="DE23" s="87"/>
      <c r="DF23" s="87" t="b">
        <v>0</v>
      </c>
      <c r="DG23" s="87" t="s">
        <v>66</v>
      </c>
      <c r="DH23" s="87">
        <v>6</v>
      </c>
      <c r="DI23" s="87">
        <v>7</v>
      </c>
      <c r="DJ23" s="87">
        <v>7</v>
      </c>
      <c r="DK23" s="87">
        <v>1</v>
      </c>
      <c r="DL23" s="87">
        <v>1</v>
      </c>
      <c r="DM23" s="87">
        <v>2</v>
      </c>
      <c r="DN23" s="87">
        <v>2</v>
      </c>
    </row>
    <row r="24" spans="1:118" ht="15">
      <c r="A24" s="84" t="s">
        <v>293</v>
      </c>
      <c r="B24" s="87" t="s">
        <v>292</v>
      </c>
      <c r="C24" s="87" t="s">
        <v>235</v>
      </c>
      <c r="D24" s="87" t="s">
        <v>234</v>
      </c>
      <c r="E24" s="87"/>
      <c r="F24" s="87" t="s">
        <v>252</v>
      </c>
      <c r="G24" s="128">
        <v>44988.782476851855</v>
      </c>
      <c r="H24" s="87" t="s">
        <v>255</v>
      </c>
      <c r="I24" s="87" t="s">
        <v>456</v>
      </c>
      <c r="J24" s="87" t="s">
        <v>265</v>
      </c>
      <c r="K24" s="87"/>
      <c r="L24" s="87"/>
      <c r="M24" s="87" t="s">
        <v>470</v>
      </c>
      <c r="N24" s="128">
        <v>44988.782476851855</v>
      </c>
      <c r="O24" s="128">
        <v>44988</v>
      </c>
      <c r="P24" s="129">
        <v>0.7824768518518518</v>
      </c>
      <c r="Q24" s="87" t="s">
        <v>485</v>
      </c>
      <c r="R24" s="87"/>
      <c r="S24" s="87"/>
      <c r="T24" s="87" t="s">
        <v>293</v>
      </c>
      <c r="U24" s="87"/>
      <c r="V24" s="87" t="b">
        <v>0</v>
      </c>
      <c r="W24" s="87">
        <v>0</v>
      </c>
      <c r="X24" s="87"/>
      <c r="Y24" s="87" t="b">
        <v>0</v>
      </c>
      <c r="Z24" s="87" t="s">
        <v>310</v>
      </c>
      <c r="AA24" s="87"/>
      <c r="AB24" s="87"/>
      <c r="AC24" s="87" t="b">
        <v>0</v>
      </c>
      <c r="AD24" s="87">
        <v>2</v>
      </c>
      <c r="AE24" s="87" t="s">
        <v>292</v>
      </c>
      <c r="AF24" s="87" t="s">
        <v>312</v>
      </c>
      <c r="AG24" s="87" t="b">
        <v>0</v>
      </c>
      <c r="AH24" s="87" t="s">
        <v>292</v>
      </c>
      <c r="AI24" s="87" t="s">
        <v>196</v>
      </c>
      <c r="AJ24" s="87">
        <v>0</v>
      </c>
      <c r="AK24" s="87">
        <v>0</v>
      </c>
      <c r="AL24" s="87"/>
      <c r="AM24" s="87"/>
      <c r="AN24" s="87"/>
      <c r="AO24" s="87"/>
      <c r="AP24" s="87"/>
      <c r="AQ24" s="87"/>
      <c r="AR24" s="87"/>
      <c r="AS24" s="87"/>
      <c r="AT24" s="87">
        <v>1</v>
      </c>
      <c r="AU24" s="87">
        <v>6</v>
      </c>
      <c r="AV24" s="87">
        <v>6</v>
      </c>
      <c r="AW24" s="87" t="s">
        <v>235</v>
      </c>
      <c r="AX24" s="87"/>
      <c r="AY24" s="87"/>
      <c r="AZ24" s="87"/>
      <c r="BA24" s="87"/>
      <c r="BB24" s="87"/>
      <c r="BC24" s="87"/>
      <c r="BD24" s="87"/>
      <c r="BE24" s="87"/>
      <c r="BF24" s="87"/>
      <c r="BG24" s="87" t="s">
        <v>342</v>
      </c>
      <c r="BH24" s="87" t="s">
        <v>505</v>
      </c>
      <c r="BI24" s="87">
        <v>949</v>
      </c>
      <c r="BJ24" s="87">
        <v>510</v>
      </c>
      <c r="BK24" s="87">
        <v>2147</v>
      </c>
      <c r="BL24" s="87">
        <v>13523</v>
      </c>
      <c r="BM24" s="87"/>
      <c r="BN24" s="87" t="s">
        <v>366</v>
      </c>
      <c r="BO24" s="87" t="s">
        <v>382</v>
      </c>
      <c r="BP24" s="87"/>
      <c r="BQ24" s="87"/>
      <c r="BR24" s="128">
        <v>44217.484293981484</v>
      </c>
      <c r="BS24" s="87" t="s">
        <v>537</v>
      </c>
      <c r="BT24" s="87" t="b">
        <v>1</v>
      </c>
      <c r="BU24" s="87" t="b">
        <v>0</v>
      </c>
      <c r="BV24" s="87" t="b">
        <v>0</v>
      </c>
      <c r="BW24" s="87"/>
      <c r="BX24" s="87">
        <v>5</v>
      </c>
      <c r="BY24" s="87"/>
      <c r="BZ24" s="87" t="b">
        <v>0</v>
      </c>
      <c r="CA24" s="87" t="s">
        <v>66</v>
      </c>
      <c r="CB24" s="87">
        <v>6</v>
      </c>
      <c r="CC24" s="87" t="s">
        <v>234</v>
      </c>
      <c r="CD24" s="87"/>
      <c r="CE24" s="87"/>
      <c r="CF24" s="87"/>
      <c r="CG24" s="87"/>
      <c r="CH24" s="87"/>
      <c r="CI24" s="87"/>
      <c r="CJ24" s="87"/>
      <c r="CK24" s="87"/>
      <c r="CL24" s="87"/>
      <c r="CM24" s="87" t="s">
        <v>341</v>
      </c>
      <c r="CN24" s="87" t="s">
        <v>506</v>
      </c>
      <c r="CO24" s="87">
        <v>89</v>
      </c>
      <c r="CP24" s="87">
        <v>3215</v>
      </c>
      <c r="CQ24" s="87">
        <v>198</v>
      </c>
      <c r="CR24" s="87">
        <v>194</v>
      </c>
      <c r="CS24" s="87"/>
      <c r="CT24" s="87" t="s">
        <v>365</v>
      </c>
      <c r="CU24" s="87"/>
      <c r="CV24" s="87" t="s">
        <v>522</v>
      </c>
      <c r="CW24" s="87"/>
      <c r="CX24" s="128">
        <v>44926.771469907406</v>
      </c>
      <c r="CY24" s="87" t="s">
        <v>538</v>
      </c>
      <c r="CZ24" s="87" t="b">
        <v>1</v>
      </c>
      <c r="DA24" s="87" t="b">
        <v>0</v>
      </c>
      <c r="DB24" s="87" t="b">
        <v>0</v>
      </c>
      <c r="DC24" s="87"/>
      <c r="DD24" s="87">
        <v>2</v>
      </c>
      <c r="DE24" s="87"/>
      <c r="DF24" s="87" t="b">
        <v>0</v>
      </c>
      <c r="DG24" s="87" t="s">
        <v>66</v>
      </c>
      <c r="DH24" s="87">
        <v>6</v>
      </c>
      <c r="DI24" s="87">
        <v>8</v>
      </c>
      <c r="DJ24" s="87">
        <v>8</v>
      </c>
      <c r="DK24" s="87">
        <v>2</v>
      </c>
      <c r="DL24" s="87">
        <v>1</v>
      </c>
      <c r="DM24" s="87">
        <v>3</v>
      </c>
      <c r="DN24" s="87">
        <v>3</v>
      </c>
    </row>
    <row r="25" spans="1:118" ht="15">
      <c r="A25" s="84" t="s">
        <v>292</v>
      </c>
      <c r="B25" s="87" t="s">
        <v>292</v>
      </c>
      <c r="C25" s="87" t="s">
        <v>234</v>
      </c>
      <c r="D25" s="87" t="s">
        <v>234</v>
      </c>
      <c r="E25" s="87"/>
      <c r="F25" s="87" t="s">
        <v>196</v>
      </c>
      <c r="G25" s="128">
        <v>44971.681550925925</v>
      </c>
      <c r="H25" s="87" t="s">
        <v>255</v>
      </c>
      <c r="I25" s="87" t="s">
        <v>456</v>
      </c>
      <c r="J25" s="87" t="s">
        <v>265</v>
      </c>
      <c r="K25" s="87"/>
      <c r="L25" s="87"/>
      <c r="M25" s="87" t="s">
        <v>471</v>
      </c>
      <c r="N25" s="128">
        <v>44971.681550925925</v>
      </c>
      <c r="O25" s="128">
        <v>44971</v>
      </c>
      <c r="P25" s="129">
        <v>0.6815509259259259</v>
      </c>
      <c r="Q25" s="87" t="s">
        <v>486</v>
      </c>
      <c r="R25" s="87"/>
      <c r="S25" s="87"/>
      <c r="T25" s="87" t="s">
        <v>292</v>
      </c>
      <c r="U25" s="87"/>
      <c r="V25" s="87" t="b">
        <v>0</v>
      </c>
      <c r="W25" s="87">
        <v>2</v>
      </c>
      <c r="X25" s="87"/>
      <c r="Y25" s="87" t="b">
        <v>0</v>
      </c>
      <c r="Z25" s="87" t="s">
        <v>310</v>
      </c>
      <c r="AA25" s="87"/>
      <c r="AB25" s="87"/>
      <c r="AC25" s="87" t="b">
        <v>0</v>
      </c>
      <c r="AD25" s="87">
        <v>2</v>
      </c>
      <c r="AE25" s="87"/>
      <c r="AF25" s="87" t="s">
        <v>311</v>
      </c>
      <c r="AG25" s="87" t="b">
        <v>0</v>
      </c>
      <c r="AH25" s="87" t="s">
        <v>292</v>
      </c>
      <c r="AI25" s="87" t="s">
        <v>252</v>
      </c>
      <c r="AJ25" s="87">
        <v>0</v>
      </c>
      <c r="AK25" s="87">
        <v>0</v>
      </c>
      <c r="AL25" s="87"/>
      <c r="AM25" s="87"/>
      <c r="AN25" s="87"/>
      <c r="AO25" s="87"/>
      <c r="AP25" s="87"/>
      <c r="AQ25" s="87"/>
      <c r="AR25" s="87"/>
      <c r="AS25" s="87"/>
      <c r="AT25" s="87">
        <v>1</v>
      </c>
      <c r="AU25" s="87">
        <v>6</v>
      </c>
      <c r="AV25" s="87">
        <v>6</v>
      </c>
      <c r="AW25" s="87" t="s">
        <v>234</v>
      </c>
      <c r="AX25" s="87"/>
      <c r="AY25" s="87"/>
      <c r="AZ25" s="87"/>
      <c r="BA25" s="87"/>
      <c r="BB25" s="87"/>
      <c r="BC25" s="87"/>
      <c r="BD25" s="87"/>
      <c r="BE25" s="87"/>
      <c r="BF25" s="87"/>
      <c r="BG25" s="87" t="s">
        <v>341</v>
      </c>
      <c r="BH25" s="87" t="s">
        <v>506</v>
      </c>
      <c r="BI25" s="87">
        <v>89</v>
      </c>
      <c r="BJ25" s="87">
        <v>3215</v>
      </c>
      <c r="BK25" s="87">
        <v>198</v>
      </c>
      <c r="BL25" s="87">
        <v>194</v>
      </c>
      <c r="BM25" s="87"/>
      <c r="BN25" s="87" t="s">
        <v>365</v>
      </c>
      <c r="BO25" s="87"/>
      <c r="BP25" s="87" t="s">
        <v>522</v>
      </c>
      <c r="BQ25" s="87"/>
      <c r="BR25" s="128">
        <v>44926.771469907406</v>
      </c>
      <c r="BS25" s="87" t="s">
        <v>538</v>
      </c>
      <c r="BT25" s="87" t="b">
        <v>1</v>
      </c>
      <c r="BU25" s="87" t="b">
        <v>0</v>
      </c>
      <c r="BV25" s="87" t="b">
        <v>0</v>
      </c>
      <c r="BW25" s="87"/>
      <c r="BX25" s="87">
        <v>2</v>
      </c>
      <c r="BY25" s="87"/>
      <c r="BZ25" s="87" t="b">
        <v>0</v>
      </c>
      <c r="CA25" s="87" t="s">
        <v>66</v>
      </c>
      <c r="CB25" s="87">
        <v>6</v>
      </c>
      <c r="CC25" s="87" t="s">
        <v>234</v>
      </c>
      <c r="CD25" s="87"/>
      <c r="CE25" s="87"/>
      <c r="CF25" s="87"/>
      <c r="CG25" s="87"/>
      <c r="CH25" s="87"/>
      <c r="CI25" s="87"/>
      <c r="CJ25" s="87"/>
      <c r="CK25" s="87"/>
      <c r="CL25" s="87"/>
      <c r="CM25" s="87" t="s">
        <v>341</v>
      </c>
      <c r="CN25" s="87" t="s">
        <v>506</v>
      </c>
      <c r="CO25" s="87">
        <v>89</v>
      </c>
      <c r="CP25" s="87">
        <v>3215</v>
      </c>
      <c r="CQ25" s="87">
        <v>198</v>
      </c>
      <c r="CR25" s="87">
        <v>194</v>
      </c>
      <c r="CS25" s="87"/>
      <c r="CT25" s="87" t="s">
        <v>365</v>
      </c>
      <c r="CU25" s="87"/>
      <c r="CV25" s="87" t="s">
        <v>522</v>
      </c>
      <c r="CW25" s="87"/>
      <c r="CX25" s="128">
        <v>44926.771469907406</v>
      </c>
      <c r="CY25" s="87" t="s">
        <v>538</v>
      </c>
      <c r="CZ25" s="87" t="b">
        <v>1</v>
      </c>
      <c r="DA25" s="87" t="b">
        <v>0</v>
      </c>
      <c r="DB25" s="87" t="b">
        <v>0</v>
      </c>
      <c r="DC25" s="87"/>
      <c r="DD25" s="87">
        <v>2</v>
      </c>
      <c r="DE25" s="87"/>
      <c r="DF25" s="87" t="b">
        <v>0</v>
      </c>
      <c r="DG25" s="87" t="s">
        <v>66</v>
      </c>
      <c r="DH25" s="87">
        <v>6</v>
      </c>
      <c r="DI25" s="87">
        <v>8</v>
      </c>
      <c r="DJ25" s="87">
        <v>8</v>
      </c>
      <c r="DK25" s="87">
        <v>1</v>
      </c>
      <c r="DL25" s="87">
        <v>1</v>
      </c>
      <c r="DM25" s="87">
        <v>3</v>
      </c>
      <c r="DN25" s="87">
        <v>3</v>
      </c>
    </row>
    <row r="26" spans="1:118" ht="15">
      <c r="A26" s="84" t="s">
        <v>306</v>
      </c>
      <c r="B26" s="87" t="s">
        <v>306</v>
      </c>
      <c r="C26" s="87" t="s">
        <v>247</v>
      </c>
      <c r="D26" s="87" t="s">
        <v>247</v>
      </c>
      <c r="E26" s="87"/>
      <c r="F26" s="87" t="s">
        <v>196</v>
      </c>
      <c r="G26" s="128">
        <v>44987.67550925926</v>
      </c>
      <c r="H26" s="87" t="s">
        <v>263</v>
      </c>
      <c r="I26" s="87" t="s">
        <v>457</v>
      </c>
      <c r="J26" s="87" t="s">
        <v>273</v>
      </c>
      <c r="K26" s="87"/>
      <c r="L26" s="87" t="s">
        <v>461</v>
      </c>
      <c r="M26" s="87" t="s">
        <v>461</v>
      </c>
      <c r="N26" s="128">
        <v>44987.67550925926</v>
      </c>
      <c r="O26" s="128">
        <v>44987</v>
      </c>
      <c r="P26" s="129">
        <v>0.6755092592592593</v>
      </c>
      <c r="Q26" s="87" t="s">
        <v>487</v>
      </c>
      <c r="R26" s="87"/>
      <c r="S26" s="87"/>
      <c r="T26" s="87" t="s">
        <v>306</v>
      </c>
      <c r="U26" s="87"/>
      <c r="V26" s="87" t="b">
        <v>0</v>
      </c>
      <c r="W26" s="87">
        <v>0</v>
      </c>
      <c r="X26" s="87"/>
      <c r="Y26" s="87" t="b">
        <v>0</v>
      </c>
      <c r="Z26" s="87" t="s">
        <v>310</v>
      </c>
      <c r="AA26" s="87"/>
      <c r="AB26" s="87"/>
      <c r="AC26" s="87" t="b">
        <v>0</v>
      </c>
      <c r="AD26" s="87">
        <v>0</v>
      </c>
      <c r="AE26" s="87"/>
      <c r="AF26" s="87" t="s">
        <v>311</v>
      </c>
      <c r="AG26" s="87" t="b">
        <v>0</v>
      </c>
      <c r="AH26" s="87" t="s">
        <v>306</v>
      </c>
      <c r="AI26" s="87" t="s">
        <v>196</v>
      </c>
      <c r="AJ26" s="87">
        <v>0</v>
      </c>
      <c r="AK26" s="87">
        <v>0</v>
      </c>
      <c r="AL26" s="87"/>
      <c r="AM26" s="87"/>
      <c r="AN26" s="87"/>
      <c r="AO26" s="87"/>
      <c r="AP26" s="87"/>
      <c r="AQ26" s="87"/>
      <c r="AR26" s="87"/>
      <c r="AS26" s="87"/>
      <c r="AT26" s="87">
        <v>1</v>
      </c>
      <c r="AU26" s="87">
        <v>3</v>
      </c>
      <c r="AV26" s="87">
        <v>3</v>
      </c>
      <c r="AW26" s="87" t="s">
        <v>247</v>
      </c>
      <c r="AX26" s="87"/>
      <c r="AY26" s="87"/>
      <c r="AZ26" s="87"/>
      <c r="BA26" s="87"/>
      <c r="BB26" s="87"/>
      <c r="BC26" s="87"/>
      <c r="BD26" s="87"/>
      <c r="BE26" s="87"/>
      <c r="BF26" s="87"/>
      <c r="BG26" s="87" t="s">
        <v>357</v>
      </c>
      <c r="BH26" s="87" t="s">
        <v>364</v>
      </c>
      <c r="BI26" s="87">
        <v>2058</v>
      </c>
      <c r="BJ26" s="87">
        <v>4098</v>
      </c>
      <c r="BK26" s="87">
        <v>17146</v>
      </c>
      <c r="BL26" s="87">
        <v>5863</v>
      </c>
      <c r="BM26" s="87"/>
      <c r="BN26" s="87" t="s">
        <v>381</v>
      </c>
      <c r="BO26" s="87" t="s">
        <v>396</v>
      </c>
      <c r="BP26" s="87" t="s">
        <v>523</v>
      </c>
      <c r="BQ26" s="87"/>
      <c r="BR26" s="128">
        <v>40114.506574074076</v>
      </c>
      <c r="BS26" s="87" t="s">
        <v>539</v>
      </c>
      <c r="BT26" s="87" t="b">
        <v>0</v>
      </c>
      <c r="BU26" s="87" t="b">
        <v>0</v>
      </c>
      <c r="BV26" s="87" t="b">
        <v>0</v>
      </c>
      <c r="BW26" s="87"/>
      <c r="BX26" s="87">
        <v>129</v>
      </c>
      <c r="BY26" s="87" t="s">
        <v>548</v>
      </c>
      <c r="BZ26" s="87" t="b">
        <v>0</v>
      </c>
      <c r="CA26" s="87" t="s">
        <v>66</v>
      </c>
      <c r="CB26" s="87">
        <v>3</v>
      </c>
      <c r="CC26" s="87" t="s">
        <v>247</v>
      </c>
      <c r="CD26" s="87"/>
      <c r="CE26" s="87"/>
      <c r="CF26" s="87"/>
      <c r="CG26" s="87"/>
      <c r="CH26" s="87"/>
      <c r="CI26" s="87"/>
      <c r="CJ26" s="87"/>
      <c r="CK26" s="87"/>
      <c r="CL26" s="87"/>
      <c r="CM26" s="87" t="s">
        <v>357</v>
      </c>
      <c r="CN26" s="87" t="s">
        <v>364</v>
      </c>
      <c r="CO26" s="87">
        <v>2058</v>
      </c>
      <c r="CP26" s="87">
        <v>4098</v>
      </c>
      <c r="CQ26" s="87">
        <v>17146</v>
      </c>
      <c r="CR26" s="87">
        <v>5863</v>
      </c>
      <c r="CS26" s="87"/>
      <c r="CT26" s="87" t="s">
        <v>381</v>
      </c>
      <c r="CU26" s="87" t="s">
        <v>396</v>
      </c>
      <c r="CV26" s="87" t="s">
        <v>523</v>
      </c>
      <c r="CW26" s="87"/>
      <c r="CX26" s="128">
        <v>40114.506574074076</v>
      </c>
      <c r="CY26" s="87" t="s">
        <v>539</v>
      </c>
      <c r="CZ26" s="87" t="b">
        <v>0</v>
      </c>
      <c r="DA26" s="87" t="b">
        <v>0</v>
      </c>
      <c r="DB26" s="87" t="b">
        <v>0</v>
      </c>
      <c r="DC26" s="87"/>
      <c r="DD26" s="87">
        <v>129</v>
      </c>
      <c r="DE26" s="87" t="s">
        <v>548</v>
      </c>
      <c r="DF26" s="87" t="b">
        <v>0</v>
      </c>
      <c r="DG26" s="87" t="s">
        <v>66</v>
      </c>
      <c r="DH26" s="87">
        <v>3</v>
      </c>
      <c r="DI26" s="87">
        <v>9</v>
      </c>
      <c r="DJ26" s="87">
        <v>9</v>
      </c>
      <c r="DK26" s="87">
        <v>1</v>
      </c>
      <c r="DL26" s="87">
        <v>1</v>
      </c>
      <c r="DM26" s="87">
        <v>4</v>
      </c>
      <c r="DN26" s="87">
        <v>4</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9BE60-9615-4CF7-A8A2-DCAE890667B1}">
  <dimension ref="A1:E17"/>
  <sheetViews>
    <sheetView workbookViewId="0" topLeftCell="A1"/>
  </sheetViews>
  <sheetFormatPr defaultColWidth="9.140625" defaultRowHeight="15"/>
  <cols>
    <col min="1" max="1" width="9.28125" style="0" bestFit="1" customWidth="1"/>
    <col min="2" max="2" width="9.57421875" style="0" bestFit="1" customWidth="1"/>
    <col min="3" max="3" width="15.7109375" style="0" bestFit="1" customWidth="1"/>
    <col min="4" max="4" width="16.57421875" style="0" bestFit="1" customWidth="1"/>
    <col min="5" max="5" width="9.57421875" style="0" bestFit="1" customWidth="1"/>
  </cols>
  <sheetData>
    <row r="1" spans="1:5" ht="15" customHeight="1">
      <c r="A1" s="7" t="s">
        <v>5</v>
      </c>
      <c r="B1" s="7" t="s">
        <v>603</v>
      </c>
      <c r="C1" s="7" t="s">
        <v>604</v>
      </c>
      <c r="D1" s="7" t="s">
        <v>605</v>
      </c>
      <c r="E1" s="7" t="s">
        <v>10</v>
      </c>
    </row>
    <row r="2" spans="1:5" ht="15">
      <c r="A2" s="87" t="s">
        <v>307</v>
      </c>
      <c r="B2" s="87">
        <v>1</v>
      </c>
      <c r="C2" s="87">
        <v>1</v>
      </c>
      <c r="D2" s="87">
        <v>-4</v>
      </c>
      <c r="E2" s="87" t="s">
        <v>606</v>
      </c>
    </row>
    <row r="3" spans="1:5" ht="15">
      <c r="A3" s="84" t="s">
        <v>305</v>
      </c>
      <c r="B3" s="87">
        <v>2</v>
      </c>
      <c r="C3" s="87">
        <v>2</v>
      </c>
      <c r="D3" s="87">
        <v>-3</v>
      </c>
      <c r="E3" s="87" t="s">
        <v>607</v>
      </c>
    </row>
    <row r="4" spans="1:5" ht="15">
      <c r="A4" s="84" t="s">
        <v>304</v>
      </c>
      <c r="B4" s="87">
        <v>2</v>
      </c>
      <c r="C4" s="87">
        <v>1</v>
      </c>
      <c r="D4" s="87">
        <v>-3</v>
      </c>
      <c r="E4" s="87" t="s">
        <v>608</v>
      </c>
    </row>
    <row r="5" spans="1:5" ht="15">
      <c r="A5" s="84" t="s">
        <v>303</v>
      </c>
      <c r="B5" s="87">
        <v>3</v>
      </c>
      <c r="C5" s="87">
        <v>2</v>
      </c>
      <c r="D5" s="87">
        <v>-2</v>
      </c>
      <c r="E5" s="87" t="s">
        <v>609</v>
      </c>
    </row>
    <row r="6" spans="1:5" ht="15">
      <c r="A6" s="84" t="s">
        <v>302</v>
      </c>
      <c r="B6" s="87">
        <v>3</v>
      </c>
      <c r="C6" s="87">
        <v>1</v>
      </c>
      <c r="D6" s="87">
        <v>-2</v>
      </c>
      <c r="E6" s="87" t="s">
        <v>610</v>
      </c>
    </row>
    <row r="7" spans="1:5" ht="15">
      <c r="A7" s="84" t="s">
        <v>301</v>
      </c>
      <c r="B7" s="87">
        <v>4</v>
      </c>
      <c r="C7" s="87">
        <v>1</v>
      </c>
      <c r="D7" s="87">
        <v>-1</v>
      </c>
      <c r="E7" s="87" t="s">
        <v>611</v>
      </c>
    </row>
    <row r="8" spans="1:5" ht="15">
      <c r="A8" s="84" t="s">
        <v>300</v>
      </c>
      <c r="B8" s="87">
        <v>1</v>
      </c>
      <c r="C8" s="87">
        <v>3</v>
      </c>
      <c r="D8" s="87">
        <v>-5</v>
      </c>
      <c r="E8" s="87" t="s">
        <v>612</v>
      </c>
    </row>
    <row r="9" spans="1:5" ht="15">
      <c r="A9" s="84" t="s">
        <v>299</v>
      </c>
      <c r="B9" s="87">
        <v>1</v>
      </c>
      <c r="C9" s="87">
        <v>2</v>
      </c>
      <c r="D9" s="87">
        <v>-4</v>
      </c>
      <c r="E9" s="87" t="s">
        <v>606</v>
      </c>
    </row>
    <row r="10" spans="1:5" ht="15">
      <c r="A10" s="84" t="s">
        <v>298</v>
      </c>
      <c r="B10" s="87">
        <v>1</v>
      </c>
      <c r="C10" s="87">
        <v>3</v>
      </c>
      <c r="D10" s="87">
        <v>-4</v>
      </c>
      <c r="E10" s="87" t="s">
        <v>613</v>
      </c>
    </row>
    <row r="11" spans="1:5" ht="15">
      <c r="A11" s="84" t="s">
        <v>297</v>
      </c>
      <c r="B11" s="87">
        <v>1</v>
      </c>
      <c r="C11" s="87">
        <v>3</v>
      </c>
      <c r="D11" s="87">
        <v>-3</v>
      </c>
      <c r="E11" s="87" t="s">
        <v>614</v>
      </c>
    </row>
    <row r="12" spans="1:5" ht="15">
      <c r="A12" s="84" t="s">
        <v>296</v>
      </c>
      <c r="B12" s="87">
        <v>5</v>
      </c>
      <c r="C12" s="87">
        <v>1</v>
      </c>
      <c r="D12" s="87">
        <v>0</v>
      </c>
      <c r="E12" s="87" t="s">
        <v>615</v>
      </c>
    </row>
    <row r="13" spans="1:5" ht="15">
      <c r="A13" s="84" t="s">
        <v>295</v>
      </c>
      <c r="B13" s="87">
        <v>6</v>
      </c>
      <c r="C13" s="87">
        <v>1</v>
      </c>
      <c r="D13" s="87">
        <v>1</v>
      </c>
      <c r="E13" s="87" t="s">
        <v>616</v>
      </c>
    </row>
    <row r="14" spans="1:5" ht="15">
      <c r="A14" s="84" t="s">
        <v>294</v>
      </c>
      <c r="B14" s="87">
        <v>7</v>
      </c>
      <c r="C14" s="87">
        <v>1</v>
      </c>
      <c r="D14" s="87">
        <v>2</v>
      </c>
      <c r="E14" s="87" t="s">
        <v>617</v>
      </c>
    </row>
    <row r="15" spans="1:5" ht="15">
      <c r="A15" s="84" t="s">
        <v>293</v>
      </c>
      <c r="B15" s="87">
        <v>8</v>
      </c>
      <c r="C15" s="87">
        <v>2</v>
      </c>
      <c r="D15" s="87">
        <v>3</v>
      </c>
      <c r="E15" s="87" t="s">
        <v>617</v>
      </c>
    </row>
    <row r="16" spans="1:5" ht="15">
      <c r="A16" s="84" t="s">
        <v>292</v>
      </c>
      <c r="B16" s="87">
        <v>8</v>
      </c>
      <c r="C16" s="87">
        <v>1</v>
      </c>
      <c r="D16" s="87">
        <v>3</v>
      </c>
      <c r="E16" s="87" t="s">
        <v>618</v>
      </c>
    </row>
    <row r="17" spans="1:5" ht="15">
      <c r="A17" s="84" t="s">
        <v>306</v>
      </c>
      <c r="B17" s="87">
        <v>9</v>
      </c>
      <c r="C17" s="87">
        <v>1</v>
      </c>
      <c r="D17" s="87">
        <v>4</v>
      </c>
      <c r="E17" s="87" t="s">
        <v>619</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9E223FE-7E73-4460-B496-E3E4EB840E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Nasir Assar</dc:creator>
  <cp:keywords/>
  <dc:description/>
  <cp:lastModifiedBy>Nasir Assar</cp:lastModifiedBy>
  <dcterms:created xsi:type="dcterms:W3CDTF">2008-01-30T00:41:58Z</dcterms:created>
  <dcterms:modified xsi:type="dcterms:W3CDTF">2023-03-10T20:30:35Z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