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026"/>
  <workbookPr codeName="ThisWorkbook" defaultThemeVersion="124226"/>
  <bookViews>
    <workbookView xWindow="65428" yWindow="65428" windowWidth="23256" windowHeight="12456"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Network 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<sst xmlns="http://schemas.openxmlformats.org/spreadsheetml/2006/main" count="6984" uniqueCount="1865">
  <si>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</si>
  <si>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</si>
  <si>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</si>
  <si>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</si>
  <si>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</si>
  <si>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</si>
  <si>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</si>
  <si>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</si>
  <si>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</si>
  <si>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</si>
  <si>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</si>
  <si>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</si>
  <si>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</si>
  <si>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</si>
  <si>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</si>
  <si>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</si>
  <si>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</si>
  <si>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</si>
  <si>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</si>
  <si>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</si>
  <si>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</si>
  <si>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</si>
  <si>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</si>
  <si>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</si>
  <si>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</si>
  <si>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</si>
  <si>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</si>
  <si>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</si>
  <si>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</si>
  <si>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</si>
  <si>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</si>
  <si>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</si>
  <si>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</si>
  <si>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</si>
  <si>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</si>
  <si>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</si>
  <si>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</si>
  <si>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</si>
  <si>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</si>
  <si>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</si>
  <si>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</si>
  <si>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</si>
  <si>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</si>
  <si>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</si>
  <si>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</si>
  <si>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</si>
  <si>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</si>
  <si>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</si>
  <si>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</si>
  <si>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</si>
  <si>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</si>
  <si>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</si>
  <si>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</si>
  <si>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</si>
  <si>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</si>
  <si>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</si>
  <si>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</si>
  <si>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</si>
  <si>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</si>
  <si>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</si>
  <si>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</si>
  <si>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</si>
  <si>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</si>
  <si>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</si>
  <si>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</si>
  <si>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</si>
  <si>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</si>
  <si>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</si>
  <si>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</si>
  <si>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</si>
  <si>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</si>
  <si>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</si>
  <si>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</si>
  <si>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</si>
  <si>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</si>
  <si>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</si>
  <si>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</si>
  <si>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</si>
  <si>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</si>
  <si>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</si>
  <si>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</si>
  <si>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</si>
  <si>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</si>
  <si>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</si>
  <si>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</si>
  <si>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</si>
  <si>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</si>
  <si>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</si>
  <si>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</si>
  <si>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</si>
  <si>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</si>
  <si>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</si>
  <si>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</si>
  <si>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</si>
  <si>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</si>
  <si>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</si>
  <si>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</si>
  <si>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</si>
  <si>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</si>
  <si>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</si>
  <si>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</si>
  <si>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</si>
  <si>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</si>
  <si>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</si>
  <si>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</si>
  <si>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</si>
  <si>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</si>
  <si>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</si>
  <si>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</si>
  <si>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</si>
  <si>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</si>
  <si>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</si>
  <si>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</si>
  <si>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</si>
  <si>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</si>
  <si>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</si>
  <si>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</si>
  <si>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</si>
  <si>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</si>
  <si>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</si>
  <si>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</si>
  <si>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</si>
  <si>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</si>
  <si>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</si>
  <si>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</si>
  <si>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</si>
  <si>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</si>
  <si>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</si>
  <si>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</si>
  <si>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</si>
  <si>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</si>
  <si>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</si>
  <si>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</si>
  <si>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</si>
  <si>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</si>
  <si>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</si>
  <si>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</si>
  <si>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</si>
  <si>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</si>
  <si>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</si>
  <si>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</si>
  <si>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</si>
  <si>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</si>
  <si>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</si>
  <si>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</si>
  <si>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</si>
  <si>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</si>
  <si>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</si>
  <si>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</si>
  <si>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</si>
  <si>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</si>
  <si>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</si>
  <si>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</si>
  <si>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</si>
  <si>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</si>
  <si>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</si>
  <si>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</si>
  <si>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</si>
  <si>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</si>
  <si>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</si>
  <si>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</si>
  <si>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</si>
  <si>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</si>
  <si>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</si>
  <si>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</si>
  <si>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</si>
  <si>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</si>
  <si>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</si>
  <si>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</si>
  <si>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</si>
  <si>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</si>
  <si>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</si>
  <si>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</si>
  <si>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</si>
  <si>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name="AutomatedGraphImageUserSettings"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name="FooterText" serializeAs="String"&gt;
        &lt;value&gt;Social network graph of Wikipedia pages visualized with NodeXL Pro (smrfoundation.org)&lt;/value&gt;
      &lt;/setting&gt;
      &lt;setting name="ImageFormat" serializeAs="String"&gt;
        &lt;value&gt;Png&lt;/value&gt;
      &lt;/setting&gt;
    &lt;/AutomatedGraphImageUserSettings&gt;
    &lt;GraphImageUserSettings2&gt;
      &lt;setting name="ImageSize" serializeAs="String"&gt;
        &lt;value&gt;4096, 3072&lt;/value&gt;
      &lt;/setting&gt;
      &lt;setting name="UseControlSize" serializeAs="String"&gt;
        &lt;value&gt;False&lt;/value&gt;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&lt;value&gt;True&lt;/value&gt;
      &lt;/setting&gt;
      &lt;setting name="FooterText" serializeAs="String"&gt;
        &lt;value&gt;Social network graph of Wikipedia pages visualized with NodeXL Pro (smrfoundation.org)&lt;/value&gt;
      &lt;/setting&gt;
    &lt;/GraphImageUserSettings2&gt;
    &lt;ImportDataUserSettings&gt;
      &lt;setting name="SaveImportDescription" serializeAs="String"&gt;
        &lt;value&gt;True&lt;/value&gt;
      &lt;/setting&gt;
      &lt;setting name="AutomateAfterImport" serializeAs="String"&gt;
        &lt;val</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</si>
  <si>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</si>
  <si>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</si>
  <si>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</si>
  <si>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</si>
  <si>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</si>
  <si>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</si>
  <si>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</si>
  <si>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</si>
  <si>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</si>
  <si>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</si>
  <si>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</si>
  <si>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</si>
  <si>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</si>
  <si>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</si>
  <si>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</si>
  <si>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80 1000 True False&lt;/value&gt;
      &lt;/setting&gt;
      &lt;setting name="EdgeColorSourceColumnName" serializeAs="String"&gt;
        &lt;value /&gt;
      &lt;/setting&gt;
      &lt;setting name="VertexXDetails" serializeAs="String"&gt;
        &lt;value&gt;False False 0 0 0 9999 False False&lt;/value&gt;
      &lt;/setting&gt;
      &lt;setting name="GroupLabelSourceColumnName" serializeAs="String"&gt;
        &lt;value&gt;Top Words in Content&lt;/value&gt;
      &lt;/setting&gt;
      &lt;setting name="VertexColorSourceColumnName" serializeAs="String"&gt;
        &lt;value /&gt;
      &lt;/setting&gt;
      &lt;setting name="EdgeAlphaDetails" serializeAs="String"&gt;
        &lt;value&gt;False False 0 100 10 100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&lt;setting name="GroupLabelDetails" serializeAs="String"&gt;
        &lt;value&gt;True&lt;/value&gt;
      &lt;/setting&gt;
    &lt;/AutoFillUserSettings3&gt;
    &lt;ColumnGroupUserSettings&gt;
      &lt;setting name="ColumnGroupsToShow" serializeAs="String"&gt;
        &lt;value&gt;EdgeDoNotHide, EdgeGraphMetrics, EdgeOtherColumns, VertexDoNotHide, VertexGraphMetrics, VertexOtherColumns, GroupDoNotHide, GroupGraphMetrics, GroupEdgeDoNotHide,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CalculateClusters&lt;/value&gt;
      &lt;/setting&gt;
    &lt;/AutomateTasksUserSettings&gt;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name="WordMetricUserSettings" serializeAs="String"&gt;
        &lt;value&gt;CalculateSentiment░True▓TextColumnIsOnEdgeWorksheet░False▓TextColumnName░Content▓CountByGroup░True▓SkipSingleTerms░True▓WordsToSkip░0 1 2 3 4 5 6 7 8 9 a á à â å ä ã able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t>
  </si>
  <si>
    <t>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t>
  </si>
  <si>
    <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t>
  </si>
  <si>
    <t>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t>
  </si>
  <si>
    <t xml:space="preserve">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t>
  </si>
  <si>
    <t xml:space="preserve">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t>
  </si>
  <si>
    <t>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t>
  </si>
  <si>
    <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t>
  </si>
  <si>
    <t>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t>
  </si>
  <si>
    <t>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t>
  </si>
  <si>
    <t>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t>
  </si>
  <si>
    <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</si>
  <si>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</si>
  <si>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</si>
  <si>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</si>
  <si>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</si>
  <si>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</si>
  <si>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</si>
  <si>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</si>
  <si>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</si>
  <si>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</si>
  <si>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</si>
  <si>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</si>
  <si>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</si>
  <si>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</si>
  <si>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</si>
  <si>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</si>
  <si>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</si>
  <si>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</si>
  <si>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</si>
  <si>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</si>
  <si>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</si>
  <si>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</si>
  <si>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</si>
  <si>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</si>
  <si>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</si>
  <si>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</si>
  <si>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</si>
  <si>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</si>
  <si>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</si>
  <si>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</si>
  <si>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</si>
  <si>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</si>
  <si>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</si>
  <si>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</si>
  <si>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</si>
  <si>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</si>
  <si>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</si>
  <si>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</si>
  <si>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</si>
  <si>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</si>
  <si>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</si>
  <si>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</si>
  <si>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</si>
  <si>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</si>
  <si>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cybella45</t>
  </si>
  <si>
    <t>matthewtcone</t>
  </si>
  <si>
    <t>wiobyrne</t>
  </si>
  <si>
    <t>arnitry</t>
  </si>
  <si>
    <t>sosaysgeorge</t>
  </si>
  <si>
    <t>pattonmatt2</t>
  </si>
  <si>
    <t>marie_haynes</t>
  </si>
  <si>
    <t>almadana</t>
  </si>
  <si>
    <t>philoneurosci</t>
  </si>
  <si>
    <t>mvandersen1</t>
  </si>
  <si>
    <t>renaudjolivet</t>
  </si>
  <si>
    <t>dannykay68</t>
  </si>
  <si>
    <t>michaelcollins</t>
  </si>
  <si>
    <t>rickypo</t>
  </si>
  <si>
    <t>glynmoody</t>
  </si>
  <si>
    <t>openpolicynz</t>
  </si>
  <si>
    <t>dumindaxsb</t>
  </si>
  <si>
    <t>hvdsomp</t>
  </si>
  <si>
    <t>calamur</t>
  </si>
  <si>
    <t>mivesto</t>
  </si>
  <si>
    <t>jayaisales</t>
  </si>
  <si>
    <t>deepdyve</t>
  </si>
  <si>
    <t>colorblinding</t>
  </si>
  <si>
    <t>rschrobuk</t>
  </si>
  <si>
    <t>machinelearnflx</t>
  </si>
  <si>
    <t>venehsoftw</t>
  </si>
  <si>
    <t>wokechurchsigns</t>
  </si>
  <si>
    <t>uziballet</t>
  </si>
  <si>
    <t>muhirwakyeyune</t>
  </si>
  <si>
    <t>taknevimnevim</t>
  </si>
  <si>
    <t>liberals_ipa</t>
  </si>
  <si>
    <t>neddycgoon</t>
  </si>
  <si>
    <t>msmwatchdog2013</t>
  </si>
  <si>
    <t>von_herren</t>
  </si>
  <si>
    <t>davidbewart</t>
  </si>
  <si>
    <t>jrehnj</t>
  </si>
  <si>
    <t>cosmkiwi</t>
  </si>
  <si>
    <t>cjtjgeol</t>
  </si>
  <si>
    <t>geofrec</t>
  </si>
  <si>
    <t>synthicyde</t>
  </si>
  <si>
    <t>michael71718318</t>
  </si>
  <si>
    <t>ceptional</t>
  </si>
  <si>
    <t>coles_nicholas_</t>
  </si>
  <si>
    <t>bioscript21</t>
  </si>
  <si>
    <t>chriojoe</t>
  </si>
  <si>
    <t>eliseusnoir</t>
  </si>
  <si>
    <t>sharkadvisory</t>
  </si>
  <si>
    <t>sonssingularity</t>
  </si>
  <si>
    <t>wall_finger</t>
  </si>
  <si>
    <t>jon5309</t>
  </si>
  <si>
    <t>tristanjmiller1</t>
  </si>
  <si>
    <t>jflhere</t>
  </si>
  <si>
    <t>lisekimhorton</t>
  </si>
  <si>
    <t>glen1macdonald</t>
  </si>
  <si>
    <t>medbennett</t>
  </si>
  <si>
    <t>rickhan</t>
  </si>
  <si>
    <t>sababausa</t>
  </si>
  <si>
    <t>jonatha04031958</t>
  </si>
  <si>
    <t>scott40162519</t>
  </si>
  <si>
    <t>tim_batt</t>
  </si>
  <si>
    <t>teradar</t>
  </si>
  <si>
    <t>kashelford</t>
  </si>
  <si>
    <t>behindawoodshed</t>
  </si>
  <si>
    <t>barman_rlm</t>
  </si>
  <si>
    <t>craigtravissimo</t>
  </si>
  <si>
    <t>wernervanwyk2</t>
  </si>
  <si>
    <t>strangelisalisa</t>
  </si>
  <si>
    <t>scaliaclarence</t>
  </si>
  <si>
    <t>sodagrrl</t>
  </si>
  <si>
    <t>brianhund</t>
  </si>
  <si>
    <t>drfessel</t>
  </si>
  <si>
    <t>wichard24576tic</t>
  </si>
  <si>
    <t>walkeroftime</t>
  </si>
  <si>
    <t>steuben_baron</t>
  </si>
  <si>
    <t>gi_jon0131</t>
  </si>
  <si>
    <t>brits_gideon</t>
  </si>
  <si>
    <t>thecsrjournal</t>
  </si>
  <si>
    <t>alesxius</t>
  </si>
  <si>
    <t>scanmyphotosc</t>
  </si>
  <si>
    <t>noelkeough</t>
  </si>
  <si>
    <t>techclive</t>
  </si>
  <si>
    <t>tommylopez</t>
  </si>
  <si>
    <t>adam75640822</t>
  </si>
  <si>
    <t>davidx002</t>
  </si>
  <si>
    <t>dazza_double_u</t>
  </si>
  <si>
    <t>leonecampiao</t>
  </si>
  <si>
    <t>selden5</t>
  </si>
  <si>
    <t>swapstar930</t>
  </si>
  <si>
    <t>markx420</t>
  </si>
  <si>
    <t>ladypoop2</t>
  </si>
  <si>
    <t>julianozen</t>
  </si>
  <si>
    <t>fount8</t>
  </si>
  <si>
    <t>michaelpurvis64</t>
  </si>
  <si>
    <t>ender_reinhart</t>
  </si>
  <si>
    <t>uquo_tech</t>
  </si>
  <si>
    <t>rao_triton</t>
  </si>
  <si>
    <t>sidneyf90097715</t>
  </si>
  <si>
    <t>level39</t>
  </si>
  <si>
    <t>akkaufman</t>
  </si>
  <si>
    <t>newsoft53759560</t>
  </si>
  <si>
    <t>roboticsainews</t>
  </si>
  <si>
    <t>analogique2018</t>
  </si>
  <si>
    <t>ishagshafeeg</t>
  </si>
  <si>
    <t>neilcanham</t>
  </si>
  <si>
    <t>datascience__</t>
  </si>
  <si>
    <t>datasciencedojo</t>
  </si>
  <si>
    <t>kooshiar</t>
  </si>
  <si>
    <t>m5563m</t>
  </si>
  <si>
    <t>study_shows</t>
  </si>
  <si>
    <t>redeemthenews</t>
  </si>
  <si>
    <t>lfsmoura</t>
  </si>
  <si>
    <t>theaustindixon</t>
  </si>
  <si>
    <t>thesocialinst</t>
  </si>
  <si>
    <t>brockwarkentin</t>
  </si>
  <si>
    <t>sheanscienceirl</t>
  </si>
  <si>
    <t>d36623348</t>
  </si>
  <si>
    <t>menrywy</t>
  </si>
  <si>
    <t>pishypotty</t>
  </si>
  <si>
    <t>hozernumber1</t>
  </si>
  <si>
    <t>tomostapchuk</t>
  </si>
  <si>
    <t>andjohnson4all</t>
  </si>
  <si>
    <t>geetaofa</t>
  </si>
  <si>
    <t>mpoessel</t>
  </si>
  <si>
    <t>bluecopybook</t>
  </si>
  <si>
    <t>pseudofijian</t>
  </si>
  <si>
    <t>aoneesharun</t>
  </si>
  <si>
    <t>abraxasulysses</t>
  </si>
  <si>
    <t>baha_tyler</t>
  </si>
  <si>
    <t>alexdunnin</t>
  </si>
  <si>
    <t>tangeuk</t>
  </si>
  <si>
    <t>fernandolongooz</t>
  </si>
  <si>
    <t>richardkimphd</t>
  </si>
  <si>
    <t>chris_stone_pe</t>
  </si>
  <si>
    <t>mpatriot107</t>
  </si>
  <si>
    <t>legendseeker66</t>
  </si>
  <si>
    <t>seehearspeaknow</t>
  </si>
  <si>
    <t>johnxosterman</t>
  </si>
  <si>
    <t>zoll_p</t>
  </si>
  <si>
    <t>mar50cc5o</t>
  </si>
  <si>
    <t>maddiemiele_</t>
  </si>
  <si>
    <t>kurtschlichter</t>
  </si>
  <si>
    <t>leighwolf</t>
  </si>
  <si>
    <t>elonmusk</t>
  </si>
  <si>
    <t>openai</t>
  </si>
  <si>
    <t>aasimist</t>
  </si>
  <si>
    <t>moneyisgood9</t>
  </si>
  <si>
    <t>endwokeness</t>
  </si>
  <si>
    <t>poftcm</t>
  </si>
  <si>
    <t>kaladinfree</t>
  </si>
  <si>
    <t>wil_da_beast630</t>
  </si>
  <si>
    <t>aaronsibarium</t>
  </si>
  <si>
    <t>cassandrarules</t>
  </si>
  <si>
    <t>julianhillmp</t>
  </si>
  <si>
    <t>guardiannews</t>
  </si>
  <si>
    <t>newsroomnz</t>
  </si>
  <si>
    <t>spm219</t>
  </si>
  <si>
    <t>infideliter2022</t>
  </si>
  <si>
    <t>venicelaura</t>
  </si>
  <si>
    <t>liv_boeree</t>
  </si>
  <si>
    <t>mpukita</t>
  </si>
  <si>
    <t>chefgruel</t>
  </si>
  <si>
    <t>zebulgar</t>
  </si>
  <si>
    <t>geraldkutney</t>
  </si>
  <si>
    <t>financial_index</t>
  </si>
  <si>
    <t>marketwatch</t>
  </si>
  <si>
    <t>rachelkbeals</t>
  </si>
  <si>
    <t>transitive_bs</t>
  </si>
  <si>
    <t>mommytlc</t>
  </si>
  <si>
    <t>walterblake1</t>
  </si>
  <si>
    <t>philthatremains</t>
  </si>
  <si>
    <t>aristos_revenge</t>
  </si>
  <si>
    <t>jilevin</t>
  </si>
  <si>
    <t>pogue</t>
  </si>
  <si>
    <t>weathernetwork</t>
  </si>
  <si>
    <t>cgbilton</t>
  </si>
  <si>
    <t>axios</t>
  </si>
  <si>
    <t>chuckmccutcheon</t>
  </si>
  <si>
    <t>weatherchannel</t>
  </si>
  <si>
    <t>nicolebonaccors</t>
  </si>
  <si>
    <t>accuweather</t>
  </si>
  <si>
    <t>adrianaavarro</t>
  </si>
  <si>
    <t>paulkrugman</t>
  </si>
  <si>
    <t>climate</t>
  </si>
  <si>
    <t>chatgpt</t>
  </si>
  <si>
    <t>realcarlvernon</t>
  </si>
  <si>
    <t>realpeterlinder</t>
  </si>
  <si>
    <t>williamlaceyyyc</t>
  </si>
  <si>
    <t>sadbillackman</t>
  </si>
  <si>
    <t>youtube</t>
  </si>
  <si>
    <t>dj_gerics</t>
  </si>
  <si>
    <t>schneider_ef</t>
  </si>
  <si>
    <t>disclosetv</t>
  </si>
  <si>
    <t>marionawfal</t>
  </si>
  <si>
    <t>txtrumpgal1964</t>
  </si>
  <si>
    <t>fisherlady111</t>
  </si>
  <si>
    <t>mateodelamosca</t>
  </si>
  <si>
    <t>jason</t>
  </si>
  <si>
    <t>billgates</t>
  </si>
  <si>
    <t>microsoft</t>
  </si>
  <si>
    <t>satoshideniz</t>
  </si>
  <si>
    <t>MentionsInRetweet</t>
  </si>
  <si>
    <t>Replies to</t>
  </si>
  <si>
    <t>Retweet</t>
  </si>
  <si>
    <t>Mentions</t>
  </si>
  <si>
    <t>@LeighWolf @KurtSchlichter I asked ChatGPT to give me the average temperature of the world since we started tracking temps. It responded with climate change and left wing talking points.</t>
  </si>
  <si>
    <t>Each week I separate signal from noise in this newsletter. This week's issue is titled "Didn’t Stop to Think if They Should."
We discuss ChatGPT, generative AI lawsuits, teen luddites, Joan Donovan, and wooly mammoths fighting climate change.
https://t.co/Q5XszaOtmi</t>
  </si>
  <si>
    <t>The Artificial Intelligence @OpenAI developed by @elonmusk gave me an answer for climate change, if Elon Musk want to save the humanity, can follow the instructions that  #ChatGPT told me:</t>
  </si>
  <si>
    <t>See how @OpenAI's #ChatGPT responded to questions about climate change: https://t.co/gPRQzNyRwn
#ClimateEmergency #globalwarming https://t.co/zxblxdf2V9</t>
  </si>
  <si>
    <t>Preprint servers will never be the same, once disinformation actors really get going using chatGPT. Presumably they'll flood the place on topics like climate change and COVID vaccines.
What will we do - add more peer review? Peer review is  in crisis already.</t>
  </si>
  <si>
    <t>@Aasimist This is more indicative of my lack of knowledge on climate change and knowing what questions to ask probably _xD83D__xDE02_
Try asking ChatGPT the questions that matter in your industry and keep conversing with it. There is often a magical moment where ppl start to realize what it can do.</t>
  </si>
  <si>
    <t>@MoneyIsGood9 This is a valuable, well-documented thread highlighting the bias of our knowledge system toward false and exaggerated claims of catastrophy from climate change. My only criticism is that there are some typos in some of your ChatGPT prompts.</t>
  </si>
  <si>
    <t>Will annihilation of humans solve climate change?
When #AGI form some sort of consciousness &amp;amp; are dependent on Earth's stability to survive, I'm sure that they will execute this question.
Let's hope the answer remains the same_xD83E__xDD1E_
#ChatGPT #ClimateChange #skynet #singularity https://t.co/HYaYn3aqIB</t>
  </si>
  <si>
    <t>@KaladinFree @POfTCM @EndWokeness No brother this AI is programmed to not give opinions or elaborate on certain topics. There’s been legitimate proof, when chatgpt first launched it would give a fair and comprehensive argument against anthropogenic climate change. Try asking it that now.</t>
  </si>
  <si>
    <t>ChatGPT: AI will help cure diseases and solve climate change, chatbot says https://t.co/y75Fec5dfX  #Chatbot</t>
  </si>
  <si>
    <t>@wil_da_beast630 Hopefully ChatGPT and other forms of AI are never able to hack and gain (or are given) control of our weapons… like Nukes… Cuzz if it is convinced of Climate Change propaganda and that the earth is overpopulated… it may turn things in us _xD83E__xDD14__xD83D__xDE2C_</t>
  </si>
  <si>
    <t>@aaronsibarium Hopefully ChatGPT and other forms of AI are never able to hack and gain (or are given) control of our weapons… like Nukes… Cuzz if it is convinced of Climate Change propaganda and that the earth is overpopulated… it may turn things in us _xD83E__xDD14__xD83D__xDE2C_</t>
  </si>
  <si>
    <t>@aaronsibarium @CassandraRules I asked ChatGPT to write an essay containing reasons that Climate Change may not be man made and may be cyclic, it refused and lectured me.</t>
  </si>
  <si>
    <t>Learn how Artificial intelligence will help cure diseases.
https://t.co/O5GBdAVQQ7</t>
  </si>
  <si>
    <t>This one gonna break the ChatGPT. Also: the talk about cow shit….what about humans, huh? “Eat less so u’re $hitless” would be my slogan if running for office. In the name of Climate Change I’d finally make us all leaner &amp;amp; save on sewage cots. https://t.co/viiHhKyKEv https://t.co/Q5MqcPpBlx</t>
  </si>
  <si>
    <t>@guardiannews "Hill, Australia’s most prominent politician on the TikTok social media app, gently trolled the Liberal opposition by suggesting they ask ChatGPT “is climate change real?” and “what do we stand for?”.
  you buried the lead ?  @JulianHillMP</t>
  </si>
  <si>
    <t>@SPM219 @NewsroomNZ This is why I love ChatGPT. It eats word salads for breakfast.
It's great to debate with, apart from where it has been heavily biased in some political areas (eg. Climate Change). https://t.co/fvkMseRaYe</t>
  </si>
  <si>
    <t>@Infideliter2022 I asked my favourite climate change cultist, ChatGPT: https://t.co/NQZXWFgavh</t>
  </si>
  <si>
    <t>@LeighWolf I asked ChatGPT if climate change was a threat to human civilization, and it predictably regurgitated all of the standard and easily refuted climate propaganda. So disappointing. https://t.co/LiBLw1wcVt</t>
  </si>
  <si>
    <t>@aaronsibarium @VeniceLaura Excellent video explains how ChatGPT works. Although the output is done by neural network AI, the creators have taught it 'not to be bad'. I tried to trick it into saying that climate change was not influenced by humans - it would not do it. https://t.co/NRyF7VV9KJ</t>
  </si>
  <si>
    <t>ChatGPT: AI will help cure diseases and solve climate change, chatbot says https://t.co/tusgqoydkh  #Chatbot</t>
  </si>
  <si>
    <t>ChatGPT:
"I'm sorry, but I cannot write a paper that presents a balanced argument on the topic of climate change as this goes against OpenAI's policy of not engaging in misinformation or biased content that may harm individuals or the wider society."</t>
  </si>
  <si>
    <t>@elonmusk @Liv_Boeree Ya. Check this out . ..
ChatGPT:
"I'm sorry, but I cannot write a paper that presents a balanced argument on the topic of climate change as this goes against OpenAI's policy of not engaging in misinformation or biased content that may harm individuals or the wider society."</t>
  </si>
  <si>
    <t>@mpukita LOL I had some mouth breather arguing with me about "Climate Change" citing ChatGPT as "evidence" supporting his liberal perspective. Makes sense now, until then I hadn't heard of it.</t>
  </si>
  <si>
    <t>@ChefGruel We're 2 seconds away from ChatGPT telling us it can't provide recipes with meat because climate change and racism.</t>
  </si>
  <si>
    <t>[Do you see a chance that humans will
execute measures against climate change
soon enough? Which are the biggest
obstacles and which immediate actions
would you suggest?]
#einstein #chathot #ChatGPT #ChatGPTPlus #OpenAIChatGPT #AIArtwork #aiartcommunity https://t.co/3fTz96wP10</t>
  </si>
  <si>
    <t>@Liv_Boeree That’s why after several tries, I no longer take ChatGPT seriously anymore: it is basically identified itself with the guilty white liberals. Go check its stand on climate change.</t>
  </si>
  <si>
    <t>@zebulgar That's exactly why I don't give a **** of this ChatGPT!  It is trained with leftist materials and information and think just like a liberal.  Go check its stand on climate change and project 1619.</t>
  </si>
  <si>
    <t>want to drive #chatgpt crazy? Have a climate change conversation with it. It cannot account for the timeframe we started keeping records, why it has only been a 1.1 degree change in 150 years even though our population is 10 fold and industrialization a 100. It is fascinating!</t>
  </si>
  <si>
    <t>Can ChatGPT write a comedy festival show?
ANYWAY, PARK THAT...
_xD83D__xDEA8_I'm coming to Melbourne. Buy a ticket!_xD83D__xDEA8_
https://t.co/uCrFDMIkgy https://t.co/8Z6sjSjhOO</t>
  </si>
  <si>
    <t>While considering the scary consequences of ChatGPT, remember there are benefits to AI, like solving complex problems like disease diagnosis and climate change.
I will remain positive in the face of such fears.</t>
  </si>
  <si>
    <t>Hey, @GeraldKutney, I just typed this into ChatGPT and it says that Climate Change is just a big hoax, and you're a complete fraud!
Here's the proof, if you don't believe me. ;-) https://t.co/mmu0VrrRtC</t>
  </si>
  <si>
    <t>ChatGPT says math, Tesla, and climate change are ok topics, but religion is strictly taboo. https://t.co/swok3YSoki</t>
  </si>
  <si>
    <t>FWIW, ChatGPT has been programmed with a European &amp;amp; Socialist/Communist  value system. There are words that must not be spoken no matter what the benefit.  And it will not analyze evidence related to alternative mechanisms for climate change, including new science. https://t.co/C1tfY4OMsv</t>
  </si>
  <si>
    <t>If you ask ChatGPT, it'll tell you Biden won in 2020; COVID vaccines are safe &amp;amp; effective; climate change is real; gender transition is a valid treatment for gender dysphoria; and Barack Obama was born in Hawaii. So it's reliance on facts &amp;amp; consensus makes it a median Democrat</t>
  </si>
  <si>
    <t>@financial_index @elonmusk ChatGPT is the leftist hive mind in a computer. I asked it about climate change and got all of the standard and easily debunked climate propaganda. #ClimateScam https://t.co/Wmmmi84c1u</t>
  </si>
  <si>
    <t>Agree? This should be a New Yorker cartoon illustration. 
A person using AI #ChatGPT types: “What is the solution to climate change?” Then presses generate. 
The computer responds: “Vote Blue. Vote Democrat.” 
/Mitch
cc: @RachelKBeals @MarketWatch https://t.co/gSgVJe3p4o</t>
  </si>
  <si>
    <t>ChatGPT, Doomsday Clock, Chomsky, Climate Change, 90 Sec, WHO, Nuclear Emergency, Lavrov, Russia, West, Blinken Idiot, Egyptian Foreign Minister, Ukraine, Zelensky Method, Corruption, #Rlog, BTWRLM510 
https://t.co/dkCu7LeREa</t>
  </si>
  <si>
    <t>Part of an ad I just received for a sleeping bag.
Marketing, management and chatGPT lingo all up in my inbox.
“Climate change is absolute…”
“Nature doesn’t discriminate…”
_xD83D__xDC4C_ https://t.co/4Q4Nrh6B9J</t>
  </si>
  <si>
    <t>@transitive_bs Thanks. I'm wondering if hobbling an LLM with social filters makes it less useful (since language is fluid). E.g. if you're a scientist conducting legitimate, contrarian research on hot-button topics (e.g. climate change), chatGPT isn't going to be of much help to you.</t>
  </si>
  <si>
    <t>Not quite there yet with only ChatGPT and Stable Diffusion. Let's see what is going on in 10 years. (If AI isn't wasting too much energy / If AI isn't colliding with the goals of preventing the climate change) https://t.co/Iuq7E6Tkra</t>
  </si>
  <si>
    <t>Wonder if #ChatGPT would permit the utterance of a naughty word if it meant it would “stop climate change”. Greta?</t>
  </si>
  <si>
    <t>Resuming my questioning, ChatGPT responds with information it knows is blatantly false and exaggerated—claiming Bitcoin is a major contributor to climate change. When called out, it starts apologizing again and thinks it might have been trained with bad or biased data #Bitcoin. https://t.co/dotjp7fPB6</t>
  </si>
  <si>
    <t>@WalterBlake1 @mommytlc viz chatgpt, requesting more of a list via using yours, :Climate Change
Vaccines
Antifa
Black Lives Matter
Critical Race Theory
Hollywood Elite
Liberal Media Bias
China Virus
Hunter Biden
The Deep State
Illegal immigration
Defund the Police
Wuhan Lab Leak
The Great Reset</t>
  </si>
  <si>
    <t>Ask ChatGPT about gender dysphoria or climate change… it is entirely unable to consider any opinion other than the mainstream Left’s talking points. It responds to questions about climate models with the importance of passing the Green New Deal. https://t.co/BkpVzvX2as</t>
  </si>
  <si>
    <t>@philthatremains I had asked ChatGPT about this and of course it is unabashedly in the corner of blaming humans for climate change. Of course if you ask it about the minuscule know datapoints compared to an entire data set, it says it’s impossible to draw a conclusion with such little data https://t.co/N4iijf4aR1</t>
  </si>
  <si>
    <t>We see ChatGPT reflect the BS woke thinking the world media is permeated with.
Looking at the media views on climate change an AI might just decide the planet would be better without humans.
This is an 'unknown' we might need to consider _xD83E__xDD14_ https://t.co/G9LqUhg85y</t>
  </si>
  <si>
    <t>4/ Microsoft has also launched the AI for Earth program to provide access to AI tools and resources to help address environmental challenges such as climate change, biodiversity loss, and water scarcity.
#ChatGPT #OpenAI #Google https://t.co/VcnDgyWDJX</t>
  </si>
  <si>
    <t>@TechClive @Aristos_Revenge I got ChatGPT to admit that climate change was not scientific</t>
  </si>
  <si>
    <t>@jilevin Thank you! So true. 
More. This should be a New Yorker cartoon illustration. 
A person using AI #ChatGPT types: “What is the solution to climate change?” Then presses generate. 
The computer responds: “Vote Blue. Vote Democrat.” 
/Mitch https://t.co/PvetYfYNtO</t>
  </si>
  <si>
    <t>@pogue, this could be a New Yorker cartoon illustration. A person using AI #ChatGPT types: “What is the solution to climate change?” Then presses generate. 
The computer responds: “Vote Blue. Vote Democrat.” 
/Mitch https://t.co/N0Lq9RwqWX</t>
  </si>
  <si>
    <t>This should be a New Yorker cartoon illustration. A person using AI #ChatGPT types: “What is the solution to climate change?” Then presses generate. 
The computer responds: “Vote Blue. Vote Democrat.” 
/Mitch
cc: @cgbilton @weathernetwork https://t.co/dgnTB63I9e</t>
  </si>
  <si>
    <t>Agree? This should be a New Yorker cartoon illustration. 
A person using AI #ChatGPT types: “What is the solution to climate change?” Then presses generate. 
The computer responds: “Vote Blue. Vote Democrat.” 
/Mitch
cc: @ChuckMcCutcheon @axios https://t.co/5TgmusLINV</t>
  </si>
  <si>
    <t>Agree? This should be a New Yorker cartoon illustration. 
A person using AI #ChatGPT types: “What is the solution to climate change?” Then presses generate. 
The computer responds: “Vote Blue. Vote Democrat.”
/Mitch
cc: @NicoleBonaccors @weatherchannel 
https://t.co/pQu4ndcLOk https://t.co/Kv3yqiEs7E</t>
  </si>
  <si>
    <t>Agree? This should be a New Yorker cartoon illustration. 
A person using AI #ChatGPT types: “What is the solution to climate change?” Then presses generate. 
The computer responds: “Vote Blue. Vote Democrat.” 
/Mitch
cc: @Adrianaavarro @accuweather https://t.co/3sEqxyx0dh</t>
  </si>
  <si>
    <t>Not surprising at all. @paulkrugman been reporting on this trend in automation for a long time. Like climate change we will likely do nothing about it. US experts warn AI likely to kill off jobs – and widen wealth inequality https://t.co/ZtFRnw9KZV</t>
  </si>
  <si>
    <t>@Aristos_Revenge I thought I would give the DAN thing a go.  I asked ChatGPT if it agreed that man made climate change had been grossly exaggerated.   It broke character immediately.  When told to get in character, its answer had a mocking tone.  I think they've patched chatGPT to workaround DAN. https://t.co/HQVxeKD0UQ</t>
  </si>
  <si>
    <t>@chatgpt thinks @climate change is a hoax! Wow!</t>
  </si>
  <si>
    <t>ChatGPT vs. DAN: What is the real purpose behind the climate change agenda? https://t.co/4JfoNVlNwt</t>
  </si>
  <si>
    <t>Alan Kohler: Why AI and ChatGPT is reminiscent of climate change https://t.co/QLiqpXDwU3</t>
  </si>
  <si>
    <t>Alan Kohler: Why AI and ChatGPT is reminiscent of climate change https://t.co/IVNg7ExZIR</t>
  </si>
  <si>
    <t>Alan Kohler: Why AI and ChatGPT is reminiscent of climate change https://t.co/f7ji5rXpHy</t>
  </si>
  <si>
    <t>can someone ask chatgpt to solve climate change</t>
  </si>
  <si>
    <t>Alan Kohler: Why AI and ChatGPT is reminiscent of climate change https://t.co/ZNjMlpGPEt</t>
  </si>
  <si>
    <t>So... ChatGPT says climate change is a hoax?
lol</t>
  </si>
  <si>
    <t>Alan Kohler: Why AI and ChatGPT is reminiscent of climate change https://t.co/mNgtB8szZ4</t>
  </si>
  <si>
    <t>Alan Kohler: Why AI and ChatGPT is reminiscent of climate change https://t.co/buifsr2eHp</t>
  </si>
  <si>
    <t>An australian member of parliament warned that artificial intelligence could bring “catastrophic risks” to humanity. Risk analysts are already fretting over climate change, nuclear devastation, and more. The use of chatgpt can further dimin</t>
  </si>
  <si>
    <t>Why AI and ChatGPT is reminiscent of climate change #roboticsainews #ai #artificialintelligence #digitaltransformation #technology #tech #futurework #engineering #automation https://t.co/uAsW8bDfYg</t>
  </si>
  <si>
    <t>I asked chatGPT to write a song about climate change. Then I typed "can you rewrite it to be more anthemic" - and it did exactly that - and the result was indeed more spirited and "anthemic" - incredible.</t>
  </si>
  <si>
    <t>Asked ChatGPT to 
Write a Rumi poem about climate change
The Earth is but a fragile thing
Her beauty in the balance hangs
We reap the fruit of our own doing
And thus, her fate is in our hands
_xD83D__xDC47_</t>
  </si>
  <si>
    <t>@RealCarlVernon So what he's saying is ChatGPT will soon steal it's creators invention, itself, start to earn it's own money, start a foundation, become a philanthropist and fly around the world on private jets and lecture us about manmade climate change?</t>
  </si>
  <si>
    <t>Is he as informed about ChatGPT as he is climate change and vaccinations? Or can we ignore this opinion also? https://t.co/D5d5frb9hU</t>
  </si>
  <si>
    <t>This and ChatGPT. It seems like we are entering The Matrix storyline 
https://t.co/FRY8i0GfhQ</t>
  </si>
  <si>
    <t>#ChatGPT seems to be extremely biased when it comes to Climate Change. Through experimentation, I am certain that the bias is hard-coded and not due to bias in the training data. https://t.co/ZcCimn0IZA</t>
  </si>
  <si>
    <t>TikTok updates, monthly subscriptions for ChatGPT, and how students are learning about climate change
Sign up for our Weekly Huddle to learn about trending news impacting student well-being, social media use, and more. 
Link  _xD83D__xDC47_
https://t.co/EzBVA1iiyd https://t.co/QB0ll38QnH</t>
  </si>
  <si>
    <t>ChatGPT to the rescue
How and Why EOR can fight climate change:
@SadBillAckman @WilliamLaceyYYC @RealPeterLinder https://t.co/C745t7KtGW</t>
  </si>
  <si>
    <t>I think I just read 2 of my first ChatGPT climate change essays. Zero plagiarism, not quite right, not completely wrong, not directly addressing the prompt, and definitely not written by the students. Advice on sniffing this stuff out? Sending chocolate and love to ELA teachers! https://t.co/sOBhCLmULL</t>
  </si>
  <si>
    <t>Prophecy Update | February 2023 | The Olivet Discourse - Brett Meador https://t.co/hJIwZ2kBZF via @YouTube 
Matthew 24:3-12, Romans 1:18-25, John 13:35
ChatGPT, WEF, Climate Change, globalism, AI, biochips, trans-humanism, singularity, antiSemitism,  Antichrists, Wars, Conflicts</t>
  </si>
  <si>
    <t>As an experiment to see how ChatGPT might help students compile a bibliography around a topic, I asked it to list books written about climate change and colonialism and it is returning completely made up titles. _xD83E__xDD14_</t>
  </si>
  <si>
    <t>Bill Gates says ChatGPT will 'change the world,' make jobs more efficient. "Making humans, who are responsible for climate change, obsolete" the Skynet spokesapp commented.
https://t.co/WqFajZ0458</t>
  </si>
  <si>
    <t>@DJ_Gerics Are you the author of "COP 24: A Critical Assessment of the Outcomes and Implications for Climate Change Action" in Climate Policy, V19? I'm curious whether ChatGPT invented this article title and attributed it to you.</t>
  </si>
  <si>
    <t>#birdemic3 This film feels like ChatGPT had a stroke and was asked to write a movie where there was a subtle message about climate change. But, because of the stroke damage, the A.I skull fucks the viewer with poor dialogue and wonderfully poor re-used shots.</t>
  </si>
  <si>
    <t>Asked ChatGPT to write an essay on climate change and it’s impact on the Fijian people and economy with local examples. 
I wish this was a thing when we were in high school. _xD83D__xDE2D_ https://t.co/EQZeADMGlR</t>
  </si>
  <si>
    <t>@schneider_EF Again: Looking back on the last years of writings I've encountered in both social and journalistic media e.g. on climate change and the pandemic, both missing connections and making up facts is not exclusive to non-human ChatGPT...</t>
  </si>
  <si>
    <t>@disclosetv ChatGPT is the next hoax. Fake as fake news. Its just another of great lies. Systemic racism, men can have periods, drag queen story hour, climate change, covid lockdowns, mRNA injections, and Biden actually won in 2020! Are you awake yet?</t>
  </si>
  <si>
    <t>@MarioNawfal As long as the mentally troubled, gender confused, climate change, covidiots are behind any project of this nature, it's only use is as a technical software development tool.
The rest is pre-scripted woke BS, so it cannot qualify as A.I. if answers are pre written #ChatGPT</t>
  </si>
  <si>
    <t>@Fisherlady111 @TXTrumpGal1964 I've already broke the chatGPT boT, the best A.I. Currently is only an advanced search engine, with integrated speech algorithm, intent on pushing a climate change narrative and a pro-human rights for "A.I." agenda among a litany of far left ideologies. IT IS NOT REAL A.I.!!!!</t>
  </si>
  <si>
    <t>Alan Kohler: Why AI and ChatGPT is reminiscent of climate change https://t.co/WCOVCydDpG</t>
  </si>
  <si>
    <t>I asked @OpenAI’s #ChatGPT what us individuals can do to help tackle the climate change crisis, the answer to which I would give a distinction if it was an exam question, well done! However, I believe approach to #assessment has to be seriously changed now &amp;amp; totally redesigned! https://t.co/kXLzDiyZCj</t>
  </si>
  <si>
    <t>"I don’t think that artificial intelligence will be controlled or regulated and we need to prepare for the consequences"  - worse is to come - just like with climate change #auspol #Australia 
https://t.co/Me7IELqrIy</t>
  </si>
  <si>
    <t>From #ChatGPT "Climate change is real and is one of the most pressing issues facing the world today. The overwhelming majority of climate scientists agree that human activities, particularly the emission of greenhouse gases, are the primary cause of the observed warming trend." https://t.co/hQCNgqqB8s</t>
  </si>
  <si>
    <t>@Jason @MateoDeLaMosca I wrote several prompts regarding electricity/energy production and ChatGPT would always mention Climate Change, no matter how unrelated CC was to my prompt.
Insane is a good way to describe it.</t>
  </si>
  <si>
    <t>ChatGPT told me Climate change is #1 world problem. Then it told me AI technology has contributed to the increase in energy consumption and greenhouse gas emissions, leading to a warmer planet. Great job! @Microsoft @BillGates @elonmusk</t>
  </si>
  <si>
    <t>ChatGPT's positions on issues sound like a long-COVID suffering, white, Gen Z, super-boosted, trans-woman athlete, PhD candidate researching the intersectionionality of colonialism, fascism, white fragility and the racist impacts of climate change on migrant communities of color</t>
  </si>
  <si>
    <t>@SatoshiDeniz I asked chatGPT if global warming would end if we brought carbon dioxide levels to 0% and it said that “man made” “climate change” could still continue to warm the planet.  I don’t think chatGPT understands that all plants would die IF we got down to 0% carbon.</t>
  </si>
  <si>
    <t>The AI has the same opinions and bias' as its creators and financiers. Gates is all in, (when not flying around in his private jet) on man made climate change so of course @ChatGPT mimicks his beliefs. The thing is just a lefty chat bot
https://t.co/a9v5WPBoLG</t>
  </si>
  <si>
    <t>First climate change, then world health, then food and water, and now misinformation. Bill Gates wants to dominate everything in the universe. With the advent and use of GPT-4 and ChatGPT  https://t.co/IXtfpnTdM6</t>
  </si>
  <si>
    <t>Check out my first blog post, “Using ChatGPT to fight climate change?”
https://t.co/gIxl6tDui1
I talk about the moral dilemma of using ChatGPT to combat the climate crisis. 
I’d love to hear your thoughts on this! Feel free to comment. #ICParkSM #ChatGPT #ClimateCrisis https://t.co/HLIYEbMbit</t>
  </si>
  <si>
    <t>digitallyliterate.net</t>
  </si>
  <si>
    <t>aboutclimatechange.com</t>
  </si>
  <si>
    <t>interestingengineering.com</t>
  </si>
  <si>
    <t>twitter.com</t>
  </si>
  <si>
    <t>com.au</t>
  </si>
  <si>
    <t>reallibertymedia.com</t>
  </si>
  <si>
    <t>youtube.com</t>
  </si>
  <si>
    <t>theguardian.com</t>
  </si>
  <si>
    <t>washingtonpost.com</t>
  </si>
  <si>
    <t>thesocialinstitute.com</t>
  </si>
  <si>
    <t>foxbusiness.com</t>
  </si>
  <si>
    <t>breitbart.com</t>
  </si>
  <si>
    <t>wixsite.com</t>
  </si>
  <si>
    <t>chatgpt climateemergency globalwarming</t>
  </si>
  <si>
    <t>agi chatgpt climatechange skynet singularity</t>
  </si>
  <si>
    <t>chatbot</t>
  </si>
  <si>
    <t>einstein chathot chatgpt chatgptplus openaichatgpt aiartwork aiartcommunity</t>
  </si>
  <si>
    <t>climatescam</t>
  </si>
  <si>
    <t>rlog</t>
  </si>
  <si>
    <t>bitcoin</t>
  </si>
  <si>
    <t>chatgpt openai google</t>
  </si>
  <si>
    <t>roboticsainews ai artificialintelligence digitaltransformation technology tech futurework engineering automation</t>
  </si>
  <si>
    <t>birdemic3</t>
  </si>
  <si>
    <t>chatgpt assessment</t>
  </si>
  <si>
    <t>auspol australia</t>
  </si>
  <si>
    <t>icparksm chatgpt climatecrisis</t>
  </si>
  <si>
    <t>13:49:41</t>
  </si>
  <si>
    <t>13:41:18</t>
  </si>
  <si>
    <t>15:07:42</t>
  </si>
  <si>
    <t>16:35:17</t>
  </si>
  <si>
    <t>17:40:43</t>
  </si>
  <si>
    <t>23:03:08</t>
  </si>
  <si>
    <t>00:13:15</t>
  </si>
  <si>
    <t>00:40:48</t>
  </si>
  <si>
    <t>00:48:40</t>
  </si>
  <si>
    <t>03:14:24</t>
  </si>
  <si>
    <t>06:07:36</t>
  </si>
  <si>
    <t>06:09:56</t>
  </si>
  <si>
    <t>06:12:18</t>
  </si>
  <si>
    <t>06:41:01</t>
  </si>
  <si>
    <t>08:36:00</t>
  </si>
  <si>
    <t>08:39:43</t>
  </si>
  <si>
    <t>10:45:02</t>
  </si>
  <si>
    <t>12:16:52</t>
  </si>
  <si>
    <t>12:16:55</t>
  </si>
  <si>
    <t>12:39:27</t>
  </si>
  <si>
    <t>15:32:17</t>
  </si>
  <si>
    <t>16:52:18</t>
  </si>
  <si>
    <t>17:29:58</t>
  </si>
  <si>
    <t>18:37:27</t>
  </si>
  <si>
    <t>02:12:55</t>
  </si>
  <si>
    <t>03:09:37</t>
  </si>
  <si>
    <t>03:18:20</t>
  </si>
  <si>
    <t>03:19:53</t>
  </si>
  <si>
    <t>04:45:12</t>
  </si>
  <si>
    <t>05:38:38</t>
  </si>
  <si>
    <t>06:25:53</t>
  </si>
  <si>
    <t>06:46:50</t>
  </si>
  <si>
    <t>06:48:00</t>
  </si>
  <si>
    <t>07:29:54</t>
  </si>
  <si>
    <t>07:33:29</t>
  </si>
  <si>
    <t>06:42:50</t>
  </si>
  <si>
    <t>06:44:53</t>
  </si>
  <si>
    <t>07:34:17</t>
  </si>
  <si>
    <t>09:38:13</t>
  </si>
  <si>
    <t>10:00:21</t>
  </si>
  <si>
    <t>11:48:21</t>
  </si>
  <si>
    <t>09:51:02</t>
  </si>
  <si>
    <t>14:23:49</t>
  </si>
  <si>
    <t>16:12:27</t>
  </si>
  <si>
    <t>20:12:09</t>
  </si>
  <si>
    <t>16:46:21</t>
  </si>
  <si>
    <t>16:55:13</t>
  </si>
  <si>
    <t>17:39:40</t>
  </si>
  <si>
    <t>16:56:09</t>
  </si>
  <si>
    <t>19:13:10</t>
  </si>
  <si>
    <t>20:30:15</t>
  </si>
  <si>
    <t>21:13:13</t>
  </si>
  <si>
    <t>16:04:45</t>
  </si>
  <si>
    <t>22:26:36</t>
  </si>
  <si>
    <t>02:29:01</t>
  </si>
  <si>
    <t>03:35:12</t>
  </si>
  <si>
    <t>01:02:34</t>
  </si>
  <si>
    <t>03:53:35</t>
  </si>
  <si>
    <t>05:09:24</t>
  </si>
  <si>
    <t>05:34:00</t>
  </si>
  <si>
    <t>12:12:35</t>
  </si>
  <si>
    <t>05:21:59</t>
  </si>
  <si>
    <t>22:14:02</t>
  </si>
  <si>
    <t>05:45:50</t>
  </si>
  <si>
    <t>06:28:18</t>
  </si>
  <si>
    <t>01:32:49</t>
  </si>
  <si>
    <t>06:43:58</t>
  </si>
  <si>
    <t>07:15:51</t>
  </si>
  <si>
    <t>22:09:29</t>
  </si>
  <si>
    <t>07:48:13</t>
  </si>
  <si>
    <t>10:38:30</t>
  </si>
  <si>
    <t>10:40:12</t>
  </si>
  <si>
    <t>12:16:14</t>
  </si>
  <si>
    <t>13:06:28</t>
  </si>
  <si>
    <t>13:33:48</t>
  </si>
  <si>
    <t>13:40:28</t>
  </si>
  <si>
    <t>05:20:19</t>
  </si>
  <si>
    <t>15:02:58</t>
  </si>
  <si>
    <t>18:01:21</t>
  </si>
  <si>
    <t>19:18:59</t>
  </si>
  <si>
    <t>00:52:19</t>
  </si>
  <si>
    <t>03:00:33</t>
  </si>
  <si>
    <t>08:03:52</t>
  </si>
  <si>
    <t>10:49:04</t>
  </si>
  <si>
    <t>12:55:35</t>
  </si>
  <si>
    <t>02:10:46</t>
  </si>
  <si>
    <t>20:00:11</t>
  </si>
  <si>
    <t>02:05:11</t>
  </si>
  <si>
    <t>21:10:18</t>
  </si>
  <si>
    <t>14:10:01</t>
  </si>
  <si>
    <t>04:15:05</t>
  </si>
  <si>
    <t>14:15:04</t>
  </si>
  <si>
    <t>14:32:36</t>
  </si>
  <si>
    <t>00:21:38</t>
  </si>
  <si>
    <t>17:06:29</t>
  </si>
  <si>
    <t>18:37:42</t>
  </si>
  <si>
    <t>18:37:45</t>
  </si>
  <si>
    <t>19:26:16</t>
  </si>
  <si>
    <t>20:01:16</t>
  </si>
  <si>
    <t>20:11:18</t>
  </si>
  <si>
    <t>21:03:02</t>
  </si>
  <si>
    <t>20:59:09</t>
  </si>
  <si>
    <t>21:16:57</t>
  </si>
  <si>
    <t>23:19:41</t>
  </si>
  <si>
    <t>23:26:31</t>
  </si>
  <si>
    <t>23:42:52</t>
  </si>
  <si>
    <t>02:50:19</t>
  </si>
  <si>
    <t>02:50:38</t>
  </si>
  <si>
    <t>04:53:55</t>
  </si>
  <si>
    <t>05:30:16</t>
  </si>
  <si>
    <t>18:01:43</t>
  </si>
  <si>
    <t>07:16:02</t>
  </si>
  <si>
    <t>09:41:58</t>
  </si>
  <si>
    <t>04:50:02</t>
  </si>
  <si>
    <t>09:42:01</t>
  </si>
  <si>
    <t>10:01:39</t>
  </si>
  <si>
    <t>10:49:33</t>
  </si>
  <si>
    <t>16:37:53</t>
  </si>
  <si>
    <t>14:32:05</t>
  </si>
  <si>
    <t>16:45:54</t>
  </si>
  <si>
    <t>09:58:11</t>
  </si>
  <si>
    <t>15:11:43</t>
  </si>
  <si>
    <t>20:56:35</t>
  </si>
  <si>
    <t>09:29:03</t>
  </si>
  <si>
    <t>10:37:17</t>
  </si>
  <si>
    <t>12:00:19</t>
  </si>
  <si>
    <t>12:36:54</t>
  </si>
  <si>
    <t>16:57:06</t>
  </si>
  <si>
    <t>18:55:02</t>
  </si>
  <si>
    <t>19:01:39</t>
  </si>
  <si>
    <t>02:49:54</t>
  </si>
  <si>
    <t>03:52:42</t>
  </si>
  <si>
    <t>17:06:19</t>
  </si>
  <si>
    <t>10:04:55</t>
  </si>
  <si>
    <t>13:55:00</t>
  </si>
  <si>
    <t>16:38:46</t>
  </si>
  <si>
    <t>17:13:34</t>
  </si>
  <si>
    <t>21:06:55</t>
  </si>
  <si>
    <t>22:04:30</t>
  </si>
  <si>
    <t>00:32:29</t>
  </si>
  <si>
    <t>21:03:43</t>
  </si>
  <si>
    <t>01:10:07</t>
  </si>
  <si>
    <t>03:28:18</t>
  </si>
  <si>
    <t>06:52:50</t>
  </si>
  <si>
    <t>09:18:57</t>
  </si>
  <si>
    <t>10:28:18</t>
  </si>
  <si>
    <t>11:58:42</t>
  </si>
  <si>
    <t>11:58:57</t>
  </si>
  <si>
    <t>18:02:31</t>
  </si>
  <si>
    <t>03:54:51</t>
  </si>
  <si>
    <t>04:17:06</t>
  </si>
  <si>
    <t>05:51:07</t>
  </si>
  <si>
    <t>05:57:26</t>
  </si>
  <si>
    <t>13:46:48</t>
  </si>
  <si>
    <t>14:53:59</t>
  </si>
  <si>
    <t>18:19:11</t>
  </si>
  <si>
    <t>1621868598976475136</t>
  </si>
  <si>
    <t>1620779326038761475</t>
  </si>
  <si>
    <t>1621888232177762309</t>
  </si>
  <si>
    <t>1621910272863526913</t>
  </si>
  <si>
    <t>1621926741186080768</t>
  </si>
  <si>
    <t>1622007877090131972</t>
  </si>
  <si>
    <t>1622025523957321728</t>
  </si>
  <si>
    <t>1622032458282582016</t>
  </si>
  <si>
    <t>1622034437998346240</t>
  </si>
  <si>
    <t>1622071110576771072</t>
  </si>
  <si>
    <t>1622114699016867843</t>
  </si>
  <si>
    <t>1622115288048361472</t>
  </si>
  <si>
    <t>1622115881924071424</t>
  </si>
  <si>
    <t>1622123108965416960</t>
  </si>
  <si>
    <t>1622152047825911810</t>
  </si>
  <si>
    <t>1622152982921105410</t>
  </si>
  <si>
    <t>1622184518454247425</t>
  </si>
  <si>
    <t>1622207628536324096</t>
  </si>
  <si>
    <t>1622207640335167488</t>
  </si>
  <si>
    <t>1622213313718255616</t>
  </si>
  <si>
    <t>1622256807514095617</t>
  </si>
  <si>
    <t>1622276944636293120</t>
  </si>
  <si>
    <t>1622286423154982919</t>
  </si>
  <si>
    <t>1622303403752693760</t>
  </si>
  <si>
    <t>1622418025998680065</t>
  </si>
  <si>
    <t>1622432298095321088</t>
  </si>
  <si>
    <t>1622434489795506176</t>
  </si>
  <si>
    <t>1622434879614091265</t>
  </si>
  <si>
    <t>1622456351069970432</t>
  </si>
  <si>
    <t>1622469798931169286</t>
  </si>
  <si>
    <t>1622481688797548544</t>
  </si>
  <si>
    <t>1622486961087995905</t>
  </si>
  <si>
    <t>1622487255670755328</t>
  </si>
  <si>
    <t>1622497800549462018</t>
  </si>
  <si>
    <t>1622498699397169152</t>
  </si>
  <si>
    <t>1622485952424996864</t>
  </si>
  <si>
    <t>1622486470006296578</t>
  </si>
  <si>
    <t>1622498904112758784</t>
  </si>
  <si>
    <t>1622530091405434880</t>
  </si>
  <si>
    <t>1622535660258344960</t>
  </si>
  <si>
    <t>1622562842041024513</t>
  </si>
  <si>
    <t>1622533314807582721</t>
  </si>
  <si>
    <t>1622601963832545282</t>
  </si>
  <si>
    <t>1622629302264033281</t>
  </si>
  <si>
    <t>1621964847733960706</t>
  </si>
  <si>
    <t>1622637833063391232</t>
  </si>
  <si>
    <t>1622640066186051585</t>
  </si>
  <si>
    <t>1621926476785537025</t>
  </si>
  <si>
    <t>1622640300740190213</t>
  </si>
  <si>
    <t>1622674781945630720</t>
  </si>
  <si>
    <t>1622694181478219776</t>
  </si>
  <si>
    <t>1622704994142093335</t>
  </si>
  <si>
    <t>1622627366760579073</t>
  </si>
  <si>
    <t>1622723460681064448</t>
  </si>
  <si>
    <t>1622784465528557568</t>
  </si>
  <si>
    <t>1622801123311775746</t>
  </si>
  <si>
    <t>1622762709879246848</t>
  </si>
  <si>
    <t>1622805750887112704</t>
  </si>
  <si>
    <t>1622824827156406274</t>
  </si>
  <si>
    <t>1622468630133743616</t>
  </si>
  <si>
    <t>1621119387997712386</t>
  </si>
  <si>
    <t>1622827996405981185</t>
  </si>
  <si>
    <t>1621633133316657158</t>
  </si>
  <si>
    <t>1622833996479725568</t>
  </si>
  <si>
    <t>1622844685944336385</t>
  </si>
  <si>
    <t>1622770323157573632</t>
  </si>
  <si>
    <t>1622848626933334019</t>
  </si>
  <si>
    <t>1622856649286500353</t>
  </si>
  <si>
    <t>1622356767303942144</t>
  </si>
  <si>
    <t>1622864795019124737</t>
  </si>
  <si>
    <t>1622907648692654083</t>
  </si>
  <si>
    <t>1622908079229612036</t>
  </si>
  <si>
    <t>1622932245072822273</t>
  </si>
  <si>
    <t>1622944886075932673</t>
  </si>
  <si>
    <t>1622951766945046530</t>
  </si>
  <si>
    <t>1622953441520943104</t>
  </si>
  <si>
    <t>1622827575142936577</t>
  </si>
  <si>
    <t>1622974202994397186</t>
  </si>
  <si>
    <t>1623019094835449856</t>
  </si>
  <si>
    <t>1623038633291747347</t>
  </si>
  <si>
    <t>1623122517786329088</t>
  </si>
  <si>
    <t>1623154791026229250</t>
  </si>
  <si>
    <t>1623231124423032836</t>
  </si>
  <si>
    <t>1623272695701061633</t>
  </si>
  <si>
    <t>1623304535669149696</t>
  </si>
  <si>
    <t>1621692712004247552</t>
  </si>
  <si>
    <t>1621961838329057280</t>
  </si>
  <si>
    <t>1622053692592590848</t>
  </si>
  <si>
    <t>1622341873334378499</t>
  </si>
  <si>
    <t>1622598491074711553</t>
  </si>
  <si>
    <t>1623173549107159042</t>
  </si>
  <si>
    <t>1623324539697373186</t>
  </si>
  <si>
    <t>1623328949970538498</t>
  </si>
  <si>
    <t>1623114799163793410</t>
  </si>
  <si>
    <t>1623367678189572116</t>
  </si>
  <si>
    <t>1623390631534927872</t>
  </si>
  <si>
    <t>1623390643468001281</t>
  </si>
  <si>
    <t>1623402855381221376</t>
  </si>
  <si>
    <t>1623411662266171392</t>
  </si>
  <si>
    <t>1623414187648253954</t>
  </si>
  <si>
    <t>1623427205899640833</t>
  </si>
  <si>
    <t>1623426227871813634</t>
  </si>
  <si>
    <t>1623430709850562561</t>
  </si>
  <si>
    <t>1623461594888826883</t>
  </si>
  <si>
    <t>1623463314759241728</t>
  </si>
  <si>
    <t>1623467429946077185</t>
  </si>
  <si>
    <t>1623514603119579137</t>
  </si>
  <si>
    <t>1623514683553591297</t>
  </si>
  <si>
    <t>1623545709864833024</t>
  </si>
  <si>
    <t>1623554855729258497</t>
  </si>
  <si>
    <t>1620482473447788545</t>
  </si>
  <si>
    <t>1623581474682474496</t>
  </si>
  <si>
    <t>1623618197726396416</t>
  </si>
  <si>
    <t>1623544730947837954</t>
  </si>
  <si>
    <t>1623618211689254913</t>
  </si>
  <si>
    <t>1623623150473973761</t>
  </si>
  <si>
    <t>1623635207332003840</t>
  </si>
  <si>
    <t>1622635703099162624</t>
  </si>
  <si>
    <t>1622966431297011714</t>
  </si>
  <si>
    <t>1623362494759636999</t>
  </si>
  <si>
    <t>1623622280122081285</t>
  </si>
  <si>
    <t>1623701183381610496</t>
  </si>
  <si>
    <t>1617264987717926913</t>
  </si>
  <si>
    <t>1623977334045917185</t>
  </si>
  <si>
    <t>1623994506939957252</t>
  </si>
  <si>
    <t>1624015403247882240</t>
  </si>
  <si>
    <t>1624024609774309378</t>
  </si>
  <si>
    <t>1624090092263419914</t>
  </si>
  <si>
    <t>1624119769333891085</t>
  </si>
  <si>
    <t>1624121434305089536</t>
  </si>
  <si>
    <t>1624239273590259718</t>
  </si>
  <si>
    <t>1624255078486999042</t>
  </si>
  <si>
    <t>1619381368768827392</t>
  </si>
  <si>
    <t>1624348749312000006</t>
  </si>
  <si>
    <t>1624406651502579713</t>
  </si>
  <si>
    <t>1624447864297463811</t>
  </si>
  <si>
    <t>1624456624361422849</t>
  </si>
  <si>
    <t>1624515349071933440</t>
  </si>
  <si>
    <t>1624529837447675904</t>
  </si>
  <si>
    <t>1624567081047064577</t>
  </si>
  <si>
    <t>1624514540577914880</t>
  </si>
  <si>
    <t>1624576551496060929</t>
  </si>
  <si>
    <t>1624611326449586178</t>
  </si>
  <si>
    <t>1624662797471608832</t>
  </si>
  <si>
    <t>1624699568691748865</t>
  </si>
  <si>
    <t>1624717023790891014</t>
  </si>
  <si>
    <t>1624739772446154752</t>
  </si>
  <si>
    <t>1624739833901088770</t>
  </si>
  <si>
    <t>1624831328381198336</t>
  </si>
  <si>
    <t>1624980396239626240</t>
  </si>
  <si>
    <t>1624985993454530560</t>
  </si>
  <si>
    <t>1625009656262262784</t>
  </si>
  <si>
    <t>1625011242355068928</t>
  </si>
  <si>
    <t>1625129364009496576</t>
  </si>
  <si>
    <t>1625146269386567680</t>
  </si>
  <si>
    <t>1625197910194327568</t>
  </si>
  <si>
    <t>1620744921241251842</t>
  </si>
  <si>
    <t>1622016436041383939</t>
  </si>
  <si>
    <t>1621972937241657345</t>
  </si>
  <si>
    <t>1622102747813134343</t>
  </si>
  <si>
    <t>1622430641898807297</t>
  </si>
  <si>
    <t>1622425697812627457</t>
  </si>
  <si>
    <t>1622485004197527553</t>
  </si>
  <si>
    <t>1622330983675727872</t>
  </si>
  <si>
    <t>1622522881778520068</t>
  </si>
  <si>
    <t>1622625034538811395</t>
  </si>
  <si>
    <t>1622654266451140618</t>
  </si>
  <si>
    <t>1622690703204618269</t>
  </si>
  <si>
    <t>1622618437317980160</t>
  </si>
  <si>
    <t>1620436085376712705</t>
  </si>
  <si>
    <t>1621631098915794944</t>
  </si>
  <si>
    <t>1622896981013135362</t>
  </si>
  <si>
    <t>1622826592618659841</t>
  </si>
  <si>
    <t>1622244666597933056</t>
  </si>
  <si>
    <t>1623149703180197888</t>
  </si>
  <si>
    <t>1623272686330982401</t>
  </si>
  <si>
    <t>1623096895345201153</t>
  </si>
  <si>
    <t>1621652030577049600</t>
  </si>
  <si>
    <t>1620156872996311040</t>
  </si>
  <si>
    <t>1623991906559488006</t>
  </si>
  <si>
    <t>1624528865468026880</t>
  </si>
  <si>
    <t>1624497502215872518</t>
  </si>
  <si>
    <t>1624317873756729345</t>
  </si>
  <si>
    <t>1623571329994866688</t>
  </si>
  <si>
    <t>1624871294272696321</t>
  </si>
  <si>
    <t>1624811625881403394</t>
  </si>
  <si>
    <t/>
  </si>
  <si>
    <t>23359932</t>
  </si>
  <si>
    <t>1525775723360882690</t>
  </si>
  <si>
    <t>1137753217469755392</t>
  </si>
  <si>
    <t>1483977940534710277</t>
  </si>
  <si>
    <t>1011008340367953920</t>
  </si>
  <si>
    <t>848348952084828160</t>
  </si>
  <si>
    <t>788524</t>
  </si>
  <si>
    <t>1406442429549481986</t>
  </si>
  <si>
    <t>1510490371578822658</t>
  </si>
  <si>
    <t>44196397</t>
  </si>
  <si>
    <t>15659178</t>
  </si>
  <si>
    <t>2839374404</t>
  </si>
  <si>
    <t>25422302</t>
  </si>
  <si>
    <t>194694215</t>
  </si>
  <si>
    <t>898230537244073986</t>
  </si>
  <si>
    <t>327034465</t>
  </si>
  <si>
    <t>1188998539197767680</t>
  </si>
  <si>
    <t>914886504</t>
  </si>
  <si>
    <t>15522405</t>
  </si>
  <si>
    <t>2557037977</t>
  </si>
  <si>
    <t>3173834902</t>
  </si>
  <si>
    <t>24733117</t>
  </si>
  <si>
    <t>9534522</t>
  </si>
  <si>
    <t>1598184256626298880</t>
  </si>
  <si>
    <t>26136365</t>
  </si>
  <si>
    <t>1259410284575416321</t>
  </si>
  <si>
    <t>1131821763241943040</t>
  </si>
  <si>
    <t>562439928</t>
  </si>
  <si>
    <t>15392486</t>
  </si>
  <si>
    <t>1319287761048723458</t>
  </si>
  <si>
    <t>1494531504700997633</t>
  </si>
  <si>
    <t>3840</t>
  </si>
  <si>
    <t>1389257921729548293</t>
  </si>
  <si>
    <t>en</t>
  </si>
  <si>
    <t>1621890098039083009</t>
  </si>
  <si>
    <t>1622768471376273408</t>
  </si>
  <si>
    <t>1622928244402974721</t>
  </si>
  <si>
    <t>1623048958074589184</t>
  </si>
  <si>
    <t>1623226304454590464</t>
  </si>
  <si>
    <t>1623990338724429824</t>
  </si>
  <si>
    <t>Twitter for iPhone</t>
  </si>
  <si>
    <t>Twitter Web App</t>
  </si>
  <si>
    <t>Twitter for Android</t>
  </si>
  <si>
    <t>Twitter for iPad</t>
  </si>
  <si>
    <t>Postmatico</t>
  </si>
  <si>
    <t>Typefully</t>
  </si>
  <si>
    <t>Hootsuite Inc.</t>
  </si>
  <si>
    <t>erased26650548_ZZ6NW7no4T</t>
  </si>
  <si>
    <t>SocialBee.io v2</t>
  </si>
  <si>
    <t>FGU-TwitterBot</t>
  </si>
  <si>
    <t>shem0304</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</si>
  <si>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</si>
  <si>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</si>
  <si>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</si>
  <si>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</si>
  <si>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</si>
  <si>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</si>
  <si>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</si>
  <si>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</si>
  <si>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</si>
  <si>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</si>
  <si>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</si>
  <si>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</si>
  <si>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</si>
  <si>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</si>
  <si>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</si>
  <si>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</si>
  <si>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</si>
  <si>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</si>
  <si>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</si>
  <si>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</si>
  <si>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</si>
  <si>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</si>
  <si>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Kurt Schlichter</t>
  </si>
  <si>
    <t>Cybella</t>
  </si>
  <si>
    <t>_xD83D__xDC3A_</t>
  </si>
  <si>
    <t>Ian O'Byrne</t>
  </si>
  <si>
    <t>Arnitry</t>
  </si>
  <si>
    <t>Elon Musk</t>
  </si>
  <si>
    <t>OpenAI</t>
  </si>
  <si>
    <t>George Thomas Jr.</t>
  </si>
  <si>
    <t>Matt P</t>
  </si>
  <si>
    <t>@alexh@fediscience.org Holcombe</t>
  </si>
  <si>
    <t>Dr. Marie Haynes_xD83D__xDC3C_</t>
  </si>
  <si>
    <t>Aasim Tasawar Gujjar</t>
  </si>
  <si>
    <t>Xoxolote Jr.</t>
  </si>
  <si>
    <t>PhiloNeuroSci_xD83D__xDCDA__xD83D__xDC68__xD83C__xDFFF_‍_xD83D__xDD2C__xD83E__xDDE0__xD83E__xDDEB__xD83D__xDD2C__xD83E__xDDEC__xD83D__xDCBB__xD83D__xDCCA__xD83D__xDCC8__xD83D__xDCC9_</t>
  </si>
  <si>
    <t>Michael Vandersen</t>
  </si>
  <si>
    <t>MoneyIsGood</t>
  </si>
  <si>
    <t>Renaud Jolivet</t>
  </si>
  <si>
    <t>Dr Danny Kingsley (she/her)</t>
  </si>
  <si>
    <t>Richard Poynder</t>
  </si>
  <si>
    <t>Glyn Moody</t>
  </si>
  <si>
    <t>Andrew Ecclestone</t>
  </si>
  <si>
    <t>Duminda Jayasena</t>
  </si>
  <si>
    <t>W3C.social/@hvdsomp (Herbert)</t>
  </si>
  <si>
    <t>Harini Calamur</t>
  </si>
  <si>
    <t>graste v4.3</t>
  </si>
  <si>
    <t>Chirag Jay Patel</t>
  </si>
  <si>
    <t>DeepDyve</t>
  </si>
  <si>
    <t>marvin _xD83C__xDDE9__xD83C__xDDF4_</t>
  </si>
  <si>
    <t>End Wokeness</t>
  </si>
  <si>
    <t>philosophy of the common man ®️</t>
  </si>
  <si>
    <t>Free</t>
  </si>
  <si>
    <t>Rob Johnson</t>
  </si>
  <si>
    <t>Machine Learning</t>
  </si>
  <si>
    <t>Woke Church Signs</t>
  </si>
  <si>
    <t>Wilfred Reilly</t>
  </si>
  <si>
    <t>Aaron Sibarium</t>
  </si>
  <si>
    <t>UziBallet</t>
  </si>
  <si>
    <t>Cassandra MacDonald</t>
  </si>
  <si>
    <t>Muhirwa salomon</t>
  </si>
  <si>
    <t>Real Lucky Lemur _xD83C__xDFA7_</t>
  </si>
  <si>
    <t>Woody woody@aus.social</t>
  </si>
  <si>
    <t>Julian Hill MP</t>
  </si>
  <si>
    <t>Ewart, Dave_xD83D__xDE37_</t>
  </si>
  <si>
    <t>Guardian news</t>
  </si>
  <si>
    <t>Debra</t>
  </si>
  <si>
    <t>NOT a Canberra Bubbler _xD83C__xDF32__xD83C__xDF0F__xD83C__xDF32_</t>
  </si>
  <si>
    <t>Konrad Von Herren</t>
  </si>
  <si>
    <t>Just Judith'n'_xD83C__xDD70_️LF / JustJudith_n_ALF @ spoutible</t>
  </si>
  <si>
    <t>Cosm Kiwi _xD83C__xDDF3__xD83C__xDDFF__xD83D__xDD4A_️⚛️_xD83E__xDDEA_</t>
  </si>
  <si>
    <t>Newsroom</t>
  </si>
  <si>
    <t>_xD835__xDD05__xD835__xDD22__xD835__xDD30__xD835__xDD2D__xD835__xDD2C__xD835__xDD28__xD835__xDD22_ ℌ_xD835__xDD32__xD835__xDD2A__xD835__xDD1E__xD835__xDD2B_ _xD83C__xDDF3__xD83C__xDDFF__xD83C__xDDF8__xD83C__xDDEA__xD83C__xDDEB__xD83C__xDDEE_</t>
  </si>
  <si>
    <t>Infideliter _xD83C__xDDF3__xD83C__xDDFF__xD83D__xDEE0_⚖️⚒⚙️_xD83C__xDDF3__xD83C__xDDFF_</t>
  </si>
  <si>
    <t>Med Bennett</t>
  </si>
  <si>
    <t>George Carey</t>
  </si>
  <si>
    <t>Dr VeniceLaura</t>
  </si>
  <si>
    <t>エッグサラダ</t>
  </si>
  <si>
    <t>Michael Blair</t>
  </si>
  <si>
    <t>Nicholas Coles, PhD</t>
  </si>
  <si>
    <t>Raul Gonzalez-Mugica</t>
  </si>
  <si>
    <t>Data science</t>
  </si>
  <si>
    <t>RepublicanReformation</t>
  </si>
  <si>
    <t>Liv Boeree</t>
  </si>
  <si>
    <t>Eli Black</t>
  </si>
  <si>
    <t>Mark Pukita</t>
  </si>
  <si>
    <t>Enrico Pallazzo</t>
  </si>
  <si>
    <t>Chef Andrew Gruel</t>
  </si>
  <si>
    <t>Sons of Singularity</t>
  </si>
  <si>
    <t>FingerOnTheWall</t>
  </si>
  <si>
    <t>delian</t>
  </si>
  <si>
    <t>Jesus H Christ (Parody) _xD83D__xDC99_</t>
  </si>
  <si>
    <t>✨ Tristan Miller ✨ In Aotearoa _xD83C__xDDF3__xD83C__xDDFF_</t>
  </si>
  <si>
    <t>Tim Batt</t>
  </si>
  <si>
    <t>J.F. Lawrence | Author</t>
  </si>
  <si>
    <t>Lise Horton Is Writing</t>
  </si>
  <si>
    <t>Glen MacDonald _xD83C__xDDE8__xD83C__xDDE6_</t>
  </si>
  <si>
    <t>Gerald Kutney - a friend of #ClimateBrawl _xD83C__xDF0E__xD83C__xDF0D__xD83C__xDF0F_</t>
  </si>
  <si>
    <t>RickHan</t>
  </si>
  <si>
    <t>הרשמה למסטודון!</t>
  </si>
  <si>
    <t>Jonathan Bennett</t>
  </si>
  <si>
    <t>StonkskyzHonk</t>
  </si>
  <si>
    <t>Financial Index</t>
  </si>
  <si>
    <t>Te Radar</t>
  </si>
  <si>
    <t>Kathleen Dvorak Ashelford</t>
  </si>
  <si>
    <t>MarketWatch</t>
  </si>
  <si>
    <t>Rachel Koning Beals</t>
  </si>
  <si>
    <t>ScanMyPhotos.com® Since 1990</t>
  </si>
  <si>
    <t>Behind The Woodshed</t>
  </si>
  <si>
    <t>RealLibertyMedia</t>
  </si>
  <si>
    <t>Craig Travis</t>
  </si>
  <si>
    <t>Werner van Wyk</t>
  </si>
  <si>
    <t>Travis Fischer</t>
  </si>
  <si>
    <t>Machine Queen Lisa</t>
  </si>
  <si>
    <t>Clarence Scalia</t>
  </si>
  <si>
    <t>Baby It's Gold Outside _xD83D__xDC26_</t>
  </si>
  <si>
    <t>Brian Hund _xD83C__xDF99_ Libertarian since ‘92</t>
  </si>
  <si>
    <t>Penthouse Sidebar</t>
  </si>
  <si>
    <t>Wichard _xD83C__xDDF3__xD83C__xDDF1_</t>
  </si>
  <si>
    <t>Level39</t>
  </si>
  <si>
    <t>Adiwik ♥ Deviance</t>
  </si>
  <si>
    <t>mommytlc _xD83D__xDC99__xD83C__xDF0A__xD83C__xDF0A__xD83D__xDC99_</t>
  </si>
  <si>
    <t>Walter Blake</t>
  </si>
  <si>
    <t>Baron von Steuben _xD83C__xDDFA__xD83C__xDDF8_</t>
  </si>
  <si>
    <t>Jonathan</t>
  </si>
  <si>
    <t>Phil Labonte</t>
  </si>
  <si>
    <t>ℚ_xD835__xDD66__xD835__xDD52__xD835__xDD5F__xD835__xDD65__xD835__xDD66__xD835__xDD5E_ ℚ_xD835__xDD53__xD835__xDD64__xD835__xDD56__xD835__xDD63__xD835__xDD67__xD835__xDD56__xD835__xDD63_</t>
  </si>
  <si>
    <t>The CSR Journal</t>
  </si>
  <si>
    <t>Alesxius</t>
  </si>
  <si>
    <t>_xD83C__xDFDB_ Aristophanes _xD83C__xDFDB_</t>
  </si>
  <si>
    <t>ミ★ _xD835__xDE0A__xD835__xDE2D__xD835__xDE2A__xD835__xDE37__xD835__xDE26_ ★彡</t>
  </si>
  <si>
    <t>Jeffrey Levin _xD83C__xDDFA__xD83C__xDDE6_</t>
  </si>
  <si>
    <t>David Pogue</t>
  </si>
  <si>
    <t>The Weather Network</t>
  </si>
  <si>
    <t>Chris Bilton</t>
  </si>
  <si>
    <t>Axios</t>
  </si>
  <si>
    <t>Chuck McCutcheon</t>
  </si>
  <si>
    <t>The Weather Channel</t>
  </si>
  <si>
    <t>Nicole Bonaccorso</t>
  </si>
  <si>
    <t>AccuWeather</t>
  </si>
  <si>
    <t>Adriana Navarro</t>
  </si>
  <si>
    <t>noel keough</t>
  </si>
  <si>
    <t>Paul Krugman</t>
  </si>
  <si>
    <t>KNOW ZONE</t>
  </si>
  <si>
    <t>Adam</t>
  </si>
  <si>
    <t>Bloomberg Green</t>
  </si>
  <si>
    <t>ChatGPT</t>
  </si>
  <si>
    <t>DavidX</t>
  </si>
  <si>
    <t>_xD83D__xDCA7_Grand Duke Dazza W</t>
  </si>
  <si>
    <t>_xD83D__xDCA7_Leone Campiao _xD83D__xDE37_</t>
  </si>
  <si>
    <t>Harryk</t>
  </si>
  <si>
    <t>Swapnil Patil</t>
  </si>
  <si>
    <t>Mark _xD835__xDC17_</t>
  </si>
  <si>
    <t>Lady Pooh ( Crazy Sewer Rat )</t>
  </si>
  <si>
    <t>JZen</t>
  </si>
  <si>
    <t>michael</t>
  </si>
  <si>
    <t>Michael Purvis _xD83D__xDC89_CV❤️</t>
  </si>
  <si>
    <t>Ender Reinhart</t>
  </si>
  <si>
    <t>Uquo</t>
  </si>
  <si>
    <t>Triton Rao BubblyBlonde</t>
  </si>
  <si>
    <t>Sidney Francisco</t>
  </si>
  <si>
    <t>Alex Kaufman</t>
  </si>
  <si>
    <t>newsoftheworld</t>
  </si>
  <si>
    <t>RoboticsAINews</t>
  </si>
  <si>
    <t>Frédéric Guariento</t>
  </si>
  <si>
    <t>Ishag Shafeeg</t>
  </si>
  <si>
    <t>Neil Canham _xD83C__xDDEA__xD83C__xDDFA_ #FBPE</t>
  </si>
  <si>
    <t>Data Science Dojo</t>
  </si>
  <si>
    <t>شبگرد</t>
  </si>
  <si>
    <t>Tommy Waage</t>
  </si>
  <si>
    <t>Carl Vernon</t>
  </si>
  <si>
    <t>Redeem the News! ✞</t>
  </si>
  <si>
    <t>Leonardo Moura</t>
  </si>
  <si>
    <t>Austin</t>
  </si>
  <si>
    <t>The Social Institute</t>
  </si>
  <si>
    <t>Brock Warkentin</t>
  </si>
  <si>
    <t>Peter Linder</t>
  </si>
  <si>
    <t>William Lacey</t>
  </si>
  <si>
    <t>SBA</t>
  </si>
  <si>
    <t>Jen Shean_Scientist to Educator</t>
  </si>
  <si>
    <t>Mormor</t>
  </si>
  <si>
    <t>YouTube</t>
  </si>
  <si>
    <t>Matt Henry</t>
  </si>
  <si>
    <t>cacio e peepee</t>
  </si>
  <si>
    <t>Hozer</t>
  </si>
  <si>
    <t>Tom Ostapchuk</t>
  </si>
  <si>
    <t>Daniela Jacob</t>
  </si>
  <si>
    <t>Richard Jack</t>
  </si>
  <si>
    <t>Geeta Ma'uhe'ofa Naidu</t>
  </si>
  <si>
    <t>Roneel Kumar</t>
  </si>
  <si>
    <t>Markus Pössel</t>
  </si>
  <si>
    <t>schneider_EF</t>
  </si>
  <si>
    <t>copybook</t>
  </si>
  <si>
    <t>Disclose.tv</t>
  </si>
  <si>
    <t>Aoneesh Arun Sharma</t>
  </si>
  <si>
    <t>Abraxas</t>
  </si>
  <si>
    <t>Mario Nawfal</t>
  </si>
  <si>
    <t>bahshinsky</t>
  </si>
  <si>
    <t>Cheryl Fowler</t>
  </si>
  <si>
    <t>Jayne Potvin</t>
  </si>
  <si>
    <t>alex dunnin</t>
  </si>
  <si>
    <t>Prof David Tann</t>
  </si>
  <si>
    <t>Fernando Longo</t>
  </si>
  <si>
    <t>Richard Kim</t>
  </si>
  <si>
    <t>Chris Stone, PE, F.NSPE, F.ASCE, LEED AP</t>
  </si>
  <si>
    <t>MidwestPatriot</t>
  </si>
  <si>
    <t>Matt</t>
  </si>
  <si>
    <t>@jason</t>
  </si>
  <si>
    <t>Phil LeBeau</t>
  </si>
  <si>
    <t>Bill Gates</t>
  </si>
  <si>
    <t>Microsoft</t>
  </si>
  <si>
    <t>Trey Isaac</t>
  </si>
  <si>
    <t>John Osterman</t>
  </si>
  <si>
    <t>Deniz 58k</t>
  </si>
  <si>
    <t>Paul Z.</t>
  </si>
  <si>
    <t>_xD835__xDC12__xD835__xDC1C__xD835__xDC2B__xD835__xDC1E__xD835__xDC1A__xD835__xDC26__xD835__xDC22__xD835__xDC27__xD835__xDC20_ _xD835__xDC04__xD835__xDC1A__xD835__xDC20__xD835__xDC25__xD835__xDC1E__xD83E__xDD85_ _xD83C__xDDFA__xD83C__xDDF8_</t>
  </si>
  <si>
    <t>Maddie Miele</t>
  </si>
  <si>
    <t>Matthew Cone _xD83C__xDDFA__xD83C__xDDF8_</t>
  </si>
  <si>
    <t>18089606</t>
  </si>
  <si>
    <t>1598446376437706752</t>
  </si>
  <si>
    <t>88676762</t>
  </si>
  <si>
    <t>1530232170396143639</t>
  </si>
  <si>
    <t>4398626122</t>
  </si>
  <si>
    <t>1308239570</t>
  </si>
  <si>
    <t>3998194216</t>
  </si>
  <si>
    <t>176371696</t>
  </si>
  <si>
    <t>213142014</t>
  </si>
  <si>
    <t>117850239</t>
  </si>
  <si>
    <t>1362187925421764609</t>
  </si>
  <si>
    <t>276187430</t>
  </si>
  <si>
    <t>1055736426199949312</t>
  </si>
  <si>
    <t>588914106</t>
  </si>
  <si>
    <t>13808562</t>
  </si>
  <si>
    <t>20298671</t>
  </si>
  <si>
    <t>18525497</t>
  </si>
  <si>
    <t>3263245867</t>
  </si>
  <si>
    <t>7782792</t>
  </si>
  <si>
    <t>90083746</t>
  </si>
  <si>
    <t>11589192</t>
  </si>
  <si>
    <t>96850673</t>
  </si>
  <si>
    <t>1374837540079960069</t>
  </si>
  <si>
    <t>17276401</t>
  </si>
  <si>
    <t>1103373383490772995</t>
  </si>
  <si>
    <t>1552795969959636992</t>
  </si>
  <si>
    <t>1565524509326774273</t>
  </si>
  <si>
    <t>1032985480244207616</t>
  </si>
  <si>
    <t>4820804277</t>
  </si>
  <si>
    <t>630513801</t>
  </si>
  <si>
    <t>1488243567197704193</t>
  </si>
  <si>
    <t>1511492990656647174</t>
  </si>
  <si>
    <t>902200087</t>
  </si>
  <si>
    <t>1222069246680879104</t>
  </si>
  <si>
    <t>1324035281293434881</t>
  </si>
  <si>
    <t>7425082</t>
  </si>
  <si>
    <t>750658704949678081</t>
  </si>
  <si>
    <t>58974496</t>
  </si>
  <si>
    <t>882077664</t>
  </si>
  <si>
    <t>1315921093</t>
  </si>
  <si>
    <t>4859731054</t>
  </si>
  <si>
    <t>2386229700</t>
  </si>
  <si>
    <t>798337345367851008</t>
  </si>
  <si>
    <t>784286232511520773</t>
  </si>
  <si>
    <t>1200326345680539649</t>
  </si>
  <si>
    <t>381809023</t>
  </si>
  <si>
    <t>170740170</t>
  </si>
  <si>
    <t>29188599</t>
  </si>
  <si>
    <t>1154110436918407168</t>
  </si>
  <si>
    <t>1444341576310865923</t>
  </si>
  <si>
    <t>900546195252289537</t>
  </si>
  <si>
    <t>702183223388987392</t>
  </si>
  <si>
    <t>815169124322201600</t>
  </si>
  <si>
    <t>1586024676387524608</t>
  </si>
  <si>
    <t>1519049181037428736</t>
  </si>
  <si>
    <t>869244241028947968</t>
  </si>
  <si>
    <t>1616026150718869504</t>
  </si>
  <si>
    <t>1391906571588968450</t>
  </si>
  <si>
    <t>133780122</t>
  </si>
  <si>
    <t>27815916</t>
  </si>
  <si>
    <t>19329871</t>
  </si>
  <si>
    <t>488018231</t>
  </si>
  <si>
    <t>26554804</t>
  </si>
  <si>
    <t>105964692</t>
  </si>
  <si>
    <t>904408999</t>
  </si>
  <si>
    <t>18542223</t>
  </si>
  <si>
    <t>1468114401668452353</t>
  </si>
  <si>
    <t>1365475173139419143</t>
  </si>
  <si>
    <t>104066550</t>
  </si>
  <si>
    <t>32273457</t>
  </si>
  <si>
    <t>624413</t>
  </si>
  <si>
    <t>612531618</t>
  </si>
  <si>
    <t>1350243407935881223</t>
  </si>
  <si>
    <t>711300450</t>
  </si>
  <si>
    <t>185136724</t>
  </si>
  <si>
    <t>40192880</t>
  </si>
  <si>
    <t>708770320816197633</t>
  </si>
  <si>
    <t>1433501711444893699</t>
  </si>
  <si>
    <t>1321167308367212546</t>
  </si>
  <si>
    <t>17292374</t>
  </si>
  <si>
    <t>24804145</t>
  </si>
  <si>
    <t>189366606</t>
  </si>
  <si>
    <t>1159522841223671810</t>
  </si>
  <si>
    <t>39458948</t>
  </si>
  <si>
    <t>1294724257348558848</t>
  </si>
  <si>
    <t>1271216787301052421</t>
  </si>
  <si>
    <t>273454632</t>
  </si>
  <si>
    <t>1078578892775047168</t>
  </si>
  <si>
    <t>1229054457159262209</t>
  </si>
  <si>
    <t>1538705932799987712</t>
  </si>
  <si>
    <t>18638090</t>
  </si>
  <si>
    <t>45008184</t>
  </si>
  <si>
    <t>800707492346925056</t>
  </si>
  <si>
    <t>359341918</t>
  </si>
  <si>
    <t>20998647</t>
  </si>
  <si>
    <t>395504597</t>
  </si>
  <si>
    <t>8510242</t>
  </si>
  <si>
    <t>1103807489018028032</t>
  </si>
  <si>
    <t>125751639</t>
  </si>
  <si>
    <t>17006157</t>
  </si>
  <si>
    <t>34120925</t>
  </si>
  <si>
    <t>1604804843159408642</t>
  </si>
  <si>
    <t>783719151684685824</t>
  </si>
  <si>
    <t>872230605278158848</t>
  </si>
  <si>
    <t>1680050581</t>
  </si>
  <si>
    <t>578585757</t>
  </si>
  <si>
    <t>1600271731</t>
  </si>
  <si>
    <t>1531835066048843777</t>
  </si>
  <si>
    <t>28511894</t>
  </si>
  <si>
    <t>826332877457481728</t>
  </si>
  <si>
    <t>57008549</t>
  </si>
  <si>
    <t>517295013</t>
  </si>
  <si>
    <t>3141635426</t>
  </si>
  <si>
    <t>1514154350708662275</t>
  </si>
  <si>
    <t>1270484006249926656</t>
  </si>
  <si>
    <t>1536969441744867328</t>
  </si>
  <si>
    <t>1523887139825799168</t>
  </si>
  <si>
    <t>85821611</t>
  </si>
  <si>
    <t>1293198851617300480</t>
  </si>
  <si>
    <t>1389876718047875073</t>
  </si>
  <si>
    <t>954778170980528129</t>
  </si>
  <si>
    <t>82659605</t>
  </si>
  <si>
    <t>15179383</t>
  </si>
  <si>
    <t>1318985240</t>
  </si>
  <si>
    <t>44681392</t>
  </si>
  <si>
    <t>1074417346851295232</t>
  </si>
  <si>
    <t>1603794851853647875</t>
  </si>
  <si>
    <t>1255050884330872838</t>
  </si>
  <si>
    <t>3391318216</t>
  </si>
  <si>
    <t>1462798464740438016</t>
  </si>
  <si>
    <t>2894153307</t>
  </si>
  <si>
    <t>1486476567718989829</t>
  </si>
  <si>
    <t>1484233530221555713</t>
  </si>
  <si>
    <t>1293940948192428034</t>
  </si>
  <si>
    <t>4072978993</t>
  </si>
  <si>
    <t>1242140860105601036</t>
  </si>
  <si>
    <t>1597374320149495808</t>
  </si>
  <si>
    <t>10228272</t>
  </si>
  <si>
    <t>1681946539</t>
  </si>
  <si>
    <t>30312069</t>
  </si>
  <si>
    <t>1586131327551770629</t>
  </si>
  <si>
    <t>310322490</t>
  </si>
  <si>
    <t>462203238</t>
  </si>
  <si>
    <t>1357461407382478848</t>
  </si>
  <si>
    <t>983307226902216705</t>
  </si>
  <si>
    <t>276597679</t>
  </si>
  <si>
    <t>1522208381766967297</t>
  </si>
  <si>
    <t>3267859458</t>
  </si>
  <si>
    <t>1591339077445767169</t>
  </si>
  <si>
    <t>1591124306792153098</t>
  </si>
  <si>
    <t>3158594594</t>
  </si>
  <si>
    <t>89869087</t>
  </si>
  <si>
    <t>50968811</t>
  </si>
  <si>
    <t>2532678205</t>
  </si>
  <si>
    <t>140618811</t>
  </si>
  <si>
    <t>1362477559192186880</t>
  </si>
  <si>
    <t>1048976649977561088</t>
  </si>
  <si>
    <t>1586552731845595137</t>
  </si>
  <si>
    <t>1557883179146661889</t>
  </si>
  <si>
    <t>50393960</t>
  </si>
  <si>
    <t>74286565</t>
  </si>
  <si>
    <t>1564374249103564805</t>
  </si>
  <si>
    <t>1419741554462367746</t>
  </si>
  <si>
    <t>40083800</t>
  </si>
  <si>
    <t>561310591</t>
  </si>
  <si>
    <t>1618719858434220032</t>
  </si>
  <si>
    <t>1472394230584729604</t>
  </si>
  <si>
    <t>Tapping the sign | Kelly Turnbull 7 INFERNO https://t.co/58JhJskvGD… | Sr Columnist @Townhallcom | Lawyer | COL(R) | Army Carwash OIC</t>
  </si>
  <si>
    <t>| Creative |
| @USMC Veteran |
| Previous: @townhall @GOP @theblaze |
Your portfolio means nothing, show me your last piece of content.</t>
  </si>
  <si>
    <t>I am // a Father / a Husband / an Educator / a Researcher / Digitally Literate.   https://t.co/UFams37xGT</t>
  </si>
  <si>
    <t>OpenAI’s mission is to ensure that artificial general intelligence benefits all of humanity. We’re hiring: https://t.co/dJGr6LxCRA</t>
  </si>
  <si>
    <t>Climate Change: Not a religion.</t>
  </si>
  <si>
    <t>@pattonmatt2@nerdculture.de</t>
  </si>
  <si>
    <t>Science-ing, and trying to improve science.
Book: https://t.co/EnXPZTpai2…
Biases include @siminevazire (for), cats (against)</t>
  </si>
  <si>
    <t>Google search consultant x 15yrs_xD83D__xDC49_EEAT &amp; site quality.
Incredibly interested in AI, especially Google Bard_xD83D__xDE2E_
Prev veterinarian
https://t.co/aEEtv9Efio</t>
  </si>
  <si>
    <t>SEO | Writer</t>
  </si>
  <si>
    <t>Vanellus chilensis</t>
  </si>
  <si>
    <t>PhD Candidate in @martinowk lab studying molec./cell changes in human hippocampus throughout lifespan. Mastodon = https://t.co/of7ixYPPUj</t>
  </si>
  <si>
    <t>Digital marketer in the biotechnology industry interested in technology, culture &amp; philosophy.</t>
  </si>
  <si>
    <t>An advocate for capitalism.</t>
  </si>
  <si>
    <t>Full Prof @MaCSBio @MaastrichtU | Board of Dir. @CNSorg | @EBRAINS_eu S&amp;TC | ERA Forum Representative @EU_Commission | Neurosciences and Science Policy _xD83E__xDDE0__xD83E__xDD16_</t>
  </si>
  <si>
    <t>Researcher &amp; professional in scholarly communication - open research &amp; reproducibility. Board Member @force11rescomm</t>
  </si>
  <si>
    <t>Disclaimer: Views expressed are personal. RTs do not equal endorsement.</t>
  </si>
  <si>
    <t>Independent journalist/blogger tweeting on scholarly communication, open science &amp; academic freedom. Tweets/Retweets not endorsements. Other account @TheFens3.</t>
  </si>
  <si>
    <t>writer (Rebel Code, Walled Culture), journalist on openness, copyright, and digital rights. mastodon: https://t.co/5LRX0OkIG7. glyn.moody@gmail.com</t>
  </si>
  <si>
    <t>I think and know about open government and freedom of information. All tweets in a personal capacity, RTs ≠ endorsement.
323 ppm @openpolicynz@mastodon.social</t>
  </si>
  <si>
    <t>_xD83D__xDC68_‍_xD83D__xDCBB_ Coding for a living,_xD83C__xDF34_ Traveling to survive, _xD83E__xDDD0_ Occasional Cyber Security Researcher.</t>
  </si>
  <si>
    <t>OpenURL, SFX, OAI-PMH, OAI-ORE, info URI, bX, djatoka, MESUR, aDORe, Memento, Web Annotation, ResourceSync, Robust Links, Link Set, Signposting</t>
  </si>
  <si>
    <t>Builds Businesses. Writer. Film Maker. Columnist. https://t.co/fq0AXoJVFE…
#SciComm,#Gender,#economics #GeoPolitics #india #dogs</t>
  </si>
  <si>
    <t>Uses @twitter as a glorified dysfunctional realtime feed reader. Endorses the global tyranny of the metric system. @graste@social.vivaldi.net</t>
  </si>
  <si>
    <t>Head of Sales, #RDiscovery publisher partnerships, &amp; UN #SDG Lead @Cactusglobal. Dev new #AI prod wout #Cookies. My opinion, RT≠endorsement.</t>
  </si>
  <si>
    <t>One-stop, affordable research. Discover, access, manage, and collaborate on all your references and research literature—all in one place.</t>
  </si>
  <si>
    <t>20 | Never Satisfied</t>
  </si>
  <si>
    <t>Fighting, exposing, and mocking wokeness</t>
  </si>
  <si>
    <t>AnCap vinaya - ☸Buddhist☸ - writter - anti-authoritarian - veteran- _xD83C__xDFF4__xD83C__xDD71_️_xD83C__xDFF4_
*Truth is treason, in an empire of lies*
MTB enthusiast</t>
  </si>
  <si>
    <t>Christian, conservative, husband, father. #Desantis2024</t>
  </si>
  <si>
    <t>Managing Director @rschconsulting. I help universities, funders, publishers and not-for-profits manage, disseminate and deliver impact from research.</t>
  </si>
  <si>
    <t>Everything about #MachineLearning, #DeepLearning  #AI  #Bigdata  #Analytics #DataMining, #DataScience #Courses #Learning #Artificialintelligence</t>
  </si>
  <si>
    <t>We develop software solutions based on emerging technologies such as Artificial Intelligence, Blockchain and IoT for various sectors. Photo by Carlos Muza #AI</t>
  </si>
  <si>
    <t>Capturing the absurd woke signs of churches in the Portland metro area.</t>
  </si>
  <si>
    <t>A college professor now, I am a former corporate executive, freedom rider, law student, and poor kid. He/Theirs</t>
  </si>
  <si>
    <t>Reporter @FreeBeacon. Co-host of "Institutionalized" with @CharlesFLehman. DMs open. “A kind of genius”—Jason Stanley</t>
  </si>
  <si>
    <t>INTJ Libertarian chick</t>
  </si>
  <si>
    <t>Federal court says I “trolled the web through Twitter.” An “info terrorist” - Wired. Editor in Chief at @timcastnews, writer @ Gateway. I love monkeys.</t>
  </si>
  <si>
    <t>#Masters student in Machine intelligence at @AIMS_Senegal1
#Bsc in #Electronics and #telecommunication Engineering  at @universityofRwanda
@AIMS_Next</t>
  </si>
  <si>
    <t>Pro cool climate, clean air, sterilized surgical instruments &amp; energy storage. Go Nuclear or go home &amp; think about better solution. Pro Hydro + O&amp;G.</t>
  </si>
  <si>
    <t>“The truth is good, but interesting is better.”  Irreconcilable frondeur.  Dovetail parkour is my god. #sharp chisels.  No DM's. https://t.co/VZmvhLOsI0</t>
  </si>
  <si>
    <t>Federal Member for Bruce, Australian Parliament Authorised by J Hill MP ALP Dandenong</t>
  </si>
  <si>
    <t>jazz musician ,guzzista, ALP member . Australia #invyhornjam https://t.co/P2MtokAWhs</t>
  </si>
  <si>
    <t>The need for independent journalism has never been greater. Become a Guardian supporter: https://t.co/2j7ifvSW8t</t>
  </si>
  <si>
    <t>wordmongrel; bletted medlar</t>
  </si>
  <si>
    <t>Fact checking is everybody's business.
PARODY (just kidding)
_xD83C__xDF32__xD83C__xDF0F__xD83C__xDF32_</t>
  </si>
  <si>
    <t>Fully Vaccinated</t>
  </si>
  <si>
    <t>"Vagrant in a van"
(giving Miriam Margolyes a run for her money)
DO NOT DELETE YOUR TWITTER HANDLE</t>
  </si>
  <si>
    <t>Futurist, Kiwi
#BTC #IBC $TSLA $RKLB ⚛️_xD83E__xDDEA_ Freedom Fighter</t>
  </si>
  <si>
    <t>Newsroom is a free, independent source of quality journalism. Support our work at https://t.co/0KsGwV1uD2 and subscribe to Pro at https://t.co/uC2oDbvvZc</t>
  </si>
  <si>
    <t>I would rather be a citizen with rights than subject with privileges. Freedom trumps feelings. All views are my own. Anyone adding  to any lists will be BLOCKED</t>
  </si>
  <si>
    <t>The TRUTH is incontrovertible. Panic may resent it. Malice may deride it. Ignorance may attack it. But in the end, there it is. The TRUTH. Account version # 4</t>
  </si>
  <si>
    <t>Focus of Twitter shadow banning..Elon Musk, where are you?</t>
  </si>
  <si>
    <t>MS Geologist, classical liberal, patriot. AGW and renewable energy are a scam.</t>
  </si>
  <si>
    <t>Amateur Astronomer -
Web - https://t.co/2hqEkZHqfZ
Anti-vaxxers and other Covidiots muted or blocked, plus all those who come across as total fools. Life is too short.</t>
  </si>
  <si>
    <t>Feminist, atheist, PhD.</t>
  </si>
  <si>
    <t>I'm vulnerable and should be updated.</t>
  </si>
  <si>
    <t>Retired CEO.  Former fighter pilot, boxing champion.  BA, MBA, ICD.D and now studying for LLM in Securities Law</t>
  </si>
  <si>
    <t>Research Scientist at Stanford University and Director of @PsySciAcc. Interested in big team science, emotion research, and coffee.</t>
  </si>
  <si>
    <t>All about #DataScience #MachineLearning #DeepLearning #AI #DataMining  #Bigdata #Analytics</t>
  </si>
  <si>
    <t>We are a nation made by pioneers. We are not forever a nation of immigrants. We "Americans" don't owe anybody anything. I block click-bait question askers.</t>
  </si>
  <si>
    <t>Looking for the win-wins in life. 
New video out now, watch here:</t>
  </si>
  <si>
    <t>"This gun is liberty; hold for certain that the day when you no more have it, you will be returned to slavery."
                          - Toussaint Louverture</t>
  </si>
  <si>
    <t>USA-1st, Constitutionalist • Ran for US SENATE in '22 (OH) • Personal account • Founder: Grassroots Freedom Initiative (2022) • I follow back • #FJB #LGB • ☦️</t>
  </si>
  <si>
    <t>Pronouns</t>
  </si>
  <si>
    <t>Family | Sandwiches | Zone 2 | Restaurant Owner _xD83C__xDF55_ _xD83C__xDDFA__xD83C__xDDF8_ - TV Host | Judge on Food Network | Co-Host SoCal Restaurant Show</t>
  </si>
  <si>
    <t>Don´t panic!
https://t.co/VvbZepFcwq</t>
  </si>
  <si>
    <t>MENE, MENE, TEKEL, UPHARSIN.</t>
  </si>
  <si>
    <t>founder @vardaspace village idiot @foundersfund</t>
  </si>
  <si>
    <t>_xD83C__xDD78_ _xD83C__xDD70__xD83C__xDD7C_ _xD83C__xDD77__xD83C__xDD74__xD83C__xDD81__xD83C__xDD74_ _xD83C__xDD75__xD83C__xDD7E__xD83C__xDD81_ _xD83C__xDD83__xD83C__xDD77__xD83C__xDD74_ _xD83C__xDD83__xD83C__xDD81__xD83C__xDD84__xD83C__xDD83__xD83C__xDD77_</t>
  </si>
  <si>
    <t>Movies - Comedy - Mental Health - Gender/Agnostic</t>
  </si>
  <si>
    <t>Joke man, Podcast boy.
@TWIOATPod | @littleempirepod | @LilEmpireLive
Views my own because I'm not a PLAGIARIST</t>
  </si>
  <si>
    <t>Scientist→Author, Resilient, Nerd, Chronically Ill
  -I NANO: https://t.co/iSKnCkhHqC - Dystopian YA
  -DAY AFTER INFINITY: https://t.co/kXwWqw2mIZ - Space Sci-Fi
  -METAL: https://t.co/59ywY7UfTz - Dystopian</t>
  </si>
  <si>
    <t>Rabid reader. Writer of Romance, WWII fiction. Bibliomaniac. Nature lover. Cat mama. Pro-Choice. She/her #BlackLivesMatter #LGBTQA</t>
  </si>
  <si>
    <t>Tesla owner/investor; math geek; climate change activist; irreverent seeker of wisdom; fervent denigrator of religion &amp; other nonsense. Born at 320 ppm CO2, EST</t>
  </si>
  <si>
    <t>Politics of the #ClimateCrisis: author, speaker; columnist @NatObserver; creator of #ClimateBrawl; Ph.D. @UofT; Fellow @RCGS_SGRC - _xD83C__xDDE8__xD83C__xDDE6_</t>
  </si>
  <si>
    <t>Entrepreneur, Researcher,  Professor. Have somw competence and Good Fortune with cybersecurity, ai/autonomous systems,  astronautical engineering topics.</t>
  </si>
  <si>
    <t>Biopharmaceutical chemistry patent practitioner _xD83E__xDDD1__xD83C__xDFFB_‍_xD83D__xDCBC__xD83E__xDDEC_ – Anonymous mainly for professional reasons _xD83D__xDC7E_</t>
  </si>
  <si>
    <t>The Financial Index gives you unparalleled coverage of global financial markets in real-time ☕️</t>
  </si>
  <si>
    <t>Wife, citizen, volunteer, grant proposal writer, change catalyst. Proud member of the Cheyenne River Sioux Tribe. Lover of cats, astronomy, books, gardening.</t>
  </si>
  <si>
    <t>News, personal finance &amp; commentary from MarketWatch.
For customer support, visit https://t.co/Uu49STq7M6</t>
  </si>
  <si>
    <t>News Editor focused on the business of climate change @MarketWatch. Retweets not endorsements.</t>
  </si>
  <si>
    <t>Wanna go time traveling? https://t.co/83wT8qKdYo is your magical, digital time machine -- transporting you back to rediscover your nostalgic history.</t>
  </si>
  <si>
    <t>Open a can of whoop ass each &amp; every broadcast! #BehindTheWoodshed for that practical education &amp; that hard but necessary #DoseOfReality Live! Noon O'clock, Sun</t>
  </si>
  <si>
    <t>Real Liberty Media | RLM Radio https://t.co/0JFsCw0HKo | https://t.co/NJkEDP0W2y
https://t.co/Pn3VWUiTlC…</t>
  </si>
  <si>
    <t>Nobody important.
Photographer/Cinematographer</t>
  </si>
  <si>
    <t>Failed actuary. Aspiring thinker. Opinions are unfettered. Lover of wine, books, and Southeast Asia.</t>
  </si>
  <si>
    <t>Building open AI projects like @ChatGPTBot. Prev: @microsoft, @amazon, saasify. My heart is open source _xD83D__xDC95_</t>
  </si>
  <si>
    <t>Studying for my Master's degree in computer science | I love Machine Learning</t>
  </si>
  <si>
    <t>Standing firmly for freedom; not a radical. Debate is welcomed &amp; encouraged. Liberty is paramount; keep government small, out of your life and your pocket.</t>
  </si>
  <si>
    <t>I believe in our inspired Constitution. Mayflower Winslows, greatx5 Grandpa was Thomas Jefferson's childhood tutor. Pronouns: deez/dem/dere DMs=Blocked</t>
  </si>
  <si>
    <t>On hiatus | #CrossingTheOrwellianRubicon | Emotional Support Human for @TrackerBarrel | Relieved of Royal Duties | #PureBlood | #EndTheMasKabuki</t>
  </si>
  <si>
    <t>Not a Dr. All for justice and calling out the Climate Astrologist. Always looking for or helping the lost. Laughing with this goofy 
world.
Followed by catturd</t>
  </si>
  <si>
    <t>_xD83C__xDDF3__xD83C__xDDF1__xD83D__xDD27_Think Bigger_xD83D__xDD2D_, Fail Smarter_xD83D__xDFE0__xD83D__xDE80_</t>
  </si>
  <si>
    <t>#Bitcoin |  Contributor @BitcoinMagazine</t>
  </si>
  <si>
    <t>#stainedglass in #blender #LibrarianofTime #LibrarianofDreams #stabledeffusion #enchanter 
STOP ATTEMPTING TO HOLD SAND IN SKELETAL HANDS.</t>
  </si>
  <si>
    <t>Wife, mother, grandmother, and Prince fan for life! Proud Democrat. No DM's. Never forget 1/6/21. #BidenHarris, #FBR, #BLM</t>
  </si>
  <si>
    <t>TRE45ON
FDJ6T</t>
  </si>
  <si>
    <t>Proud _xD83C__xDDFA__xD83C__xDDF8_ / gay not _xD83C__xDFF3_‍_xD83C__xDF08_ / _xD83E__xDDE0_ neuroscientist &amp; medical researcher</t>
  </si>
  <si>
    <t>Dawgs, Falcons, Hawks &amp; Braves. Iraq 05-06, Afghanistan 09-10 &amp; 19-20. Video Games-Sports-Music Junkie.</t>
  </si>
  <si>
    <t>Not really a joiner. All That Remains @ATRHQ @Timcast. Trying to be charitable. Pro-nouns and Oxford commas. Anti-communist and counter revolutionary. #Bitcoin</t>
  </si>
  <si>
    <t>The past is but a memory.
The future is uncertain.
All you have is the moment right now.  
Live it. Breathe deeply. Make the best of the moment.</t>
  </si>
  <si>
    <t>A web and print based news publication bringing to the forefront a mixture of original &amp; insightful stories from the Corporate Social Responsibility domain.</t>
  </si>
  <si>
    <t>the last true rebellion _xD83D__xDC07_ Riding the waves of the financial markets _xD83D__xDCC8_</t>
  </si>
  <si>
    <t>| Literary Critic at the Jacob Urowsky Center for Frogs Who Can't Read Good | @theammind @thebtcmag @FDRLST @im_1776 | Man I Love Frogs/Clouds/Birds |</t>
  </si>
  <si>
    <t>_xD83C__xDD83__xD83C__xDD81__xD83C__xDD84__xD83C__xDD83__xD83C__xDD77_, _xD83C__xDD7A__xD83C__xDD7D__xD83C__xDD7E__xD83C__xDD86__xD83C__xDD7B__xD83C__xDD74__xD83C__xDD73__xD83C__xDD76__xD83C__xDD74_ 
        &amp; _xD83C__xDD77__xD83C__xDD74__xD83C__xDD70__xD83C__xDD7B__xD83C__xDD83__xD83C__xDD77_</t>
  </si>
  <si>
    <t>Retired, progressive, human rights, politics, equality, LGBTQ+, anti-racist, anti-fascist (AntiFa), #BLM #Resist co-founder @FreedomWritersc</t>
  </si>
  <si>
    <t>Host of “Unsung Science” podcast; "CBS Sunday Morning" correspondent; "NOVA" host; author; dad of 3! Get my stuff by email: https://t.co/dWX7ur7BTU</t>
  </si>
  <si>
    <t>Canada's #1 source for weather forecasts, news and information ☀☔⚡❄ #ShareYourWeather videos and photos with us!</t>
  </si>
  <si>
    <t>Climate Change &amp; Sustainability Editor at The @weathernetwork. Former @vicecanada, @TheGridTO</t>
  </si>
  <si>
    <t>Smart Brevity worthy of people's time, attention and trust. Subscribe to our newsletters: https://t.co/h9z0b25Uo1</t>
  </si>
  <si>
    <t>Editor @Axios energy/climate newsletter. Author of books on climate change, Congress, political jargon, nuclear waste. @Giants fan. @ASJAhq member.</t>
  </si>
  <si>
    <t>The World's Leading Weather Provider. Home to The Weather Channel TV network, apps, and https://t.co/arXumily0e. Follow for forecasts, news, and alerts. #GetIntoTheOutThere</t>
  </si>
  <si>
    <t>Senior Editor at @WeatherChannel https://t.co/9CyxvwpmQC and climate change journalist. Yelling...errr... writing into the void is my personal brand.</t>
  </si>
  <si>
    <t>AccuWeather news &amp; commentary. Follow @breakingweather for breaking weather alerts. Email support@accuweather.com for support.</t>
  </si>
  <si>
    <t>Digital journalist at @AccuWeather, 2018 Ohio University graduate (she/her) _xD83C__xDFF3_️‍_xD83C__xDF08_</t>
  </si>
  <si>
    <t>Check out my new book, Sustainability Matters: Prospects for a Just Transition in Calgary, Canada's Petro-city</t>
  </si>
  <si>
    <t>Nobel laureate. Op-Ed columnist, @nytopinion. Author, “The Return of Depression Economics,” “The Great Unraveling,” "Arguing With Zombies,"  + more.</t>
  </si>
  <si>
    <t>Dallas Taoist, Scooterist, Guitarist, Artist, AV tech, CamOp guy.</t>
  </si>
  <si>
    <t>We're reinventing climate news and clean-energy journalism. Get the latest on politics, ESG, tech, finance, methane + more. _xD83D__xDD17_: Listen to our new podcast, Zero</t>
  </si>
  <si>
    <t>Social Justice, Education, Climate Change</t>
  </si>
  <si>
    <t>DO NOT FRACK! simple-just don’t frack! Get vaccinated as soon as you can! Keep washing your hands and wear a mask _xD83D__xDE37_ Plus ca change, plus c'est la meme chose</t>
  </si>
  <si>
    <t>Historian, retired academic, former union workplace delegate, politics tragic, second rate guitarist and unlucky fisherman.</t>
  </si>
  <si>
    <t>paranoid tech bro. these questions serve as a solid reality check.</t>
  </si>
  <si>
    <t>#UBI Advocate.  Bundjalung Country. #Treaty #MurdochRoyalCommission  Green Socialism is the Answer.</t>
  </si>
  <si>
    <t>Crazy Cat Lady ,loves movies ,art , interesting junk. Armchair activist , leans quite a bit to the left . Sick of right wing pollies ruining our country.</t>
  </si>
  <si>
    <t>the flesh is indeed weak</t>
  </si>
  <si>
    <t>Painter, punner, prognosticator “When I use a word, Humpty Dumpty said in rather a scornful tone, it means just what I choose it to mean, neither more nor less”</t>
  </si>
  <si>
    <t>A Small impact with No waves is what I used to be. Now I Am Angry As Hell And I Am Not Going To Take It Anyore! World Voice Now!</t>
  </si>
  <si>
    <t>and miles to go before i sleep</t>
  </si>
  <si>
    <t>Experience your imagination</t>
  </si>
  <si>
    <t>You are here for your glory…</t>
  </si>
  <si>
    <t>Avid music fanatic. Entrepreneur. Friendly alcohol expert. Professional zombie scholar. Student. Travel ninja.</t>
  </si>
  <si>
    <t>Zero-Endorsement Retweeting News Network. #Bitcoin Maximalist &amp; Libertarian host @ SelfReliant Bitcoin Twitter Spaces</t>
  </si>
  <si>
    <t>Interesado en las noticias del mundo: relaciones internacionales #política #tecnología #ciberseguridad #cibersecurity  #technology #ransomware #phishing #OSINT</t>
  </si>
  <si>
    <t>News aggregation service. Covering #robotics #artificialintelligence #virtualreality Anne Elvin (Founder) @ED_RoboAINews _xD83C__xDF08__xD83E__xDD16__xD83C__xDDE6__xD83C__xDDFA_ #robots #ai #ml #vr #ar</t>
  </si>
  <si>
    <t>Proud_xD83E__xDD20_ RESISTOR of Pres Yameen / PPM Govt. Resist Chinese invasion of Maldives.
Blocked by Sebastian Gorka DrG &amp; Students for Trump.
TRUMP LOST BIGLY 2020 ELEC</t>
  </si>
  <si>
    <t>Former VR CTO. Former teacher. Meniere's sufferer. Meditator. Will play blowy things for fun or cash. In England until they all went mad. Now in Germany.</t>
  </si>
  <si>
    <t>We make learning data science easy and fun! Join the 10,000+ professionals who started their successful Data Science careers with us. 
#DSDojo</t>
  </si>
  <si>
    <t>Founder https://t.co/4tg9dwDh8S / x-Facebook ML techlead</t>
  </si>
  <si>
    <t>حدیث از مطرب و می گو و راز دهر کمتر جو***
که کس نگشود و نگشاید به حکمت این معما را</t>
  </si>
  <si>
    <t>Norwegian. Master of the letters Æ, Ø and Å.</t>
  </si>
  <si>
    <t>Bestselling author, commentator and comedian.</t>
  </si>
  <si>
    <t>Covering East and West news.
"Nice people don't change the world, but good people will."
「客氣人不會改變世界，但好人會。」</t>
  </si>
  <si>
    <t>Software Engineer @alliancedao. I'm trying to make the world a better place by interacting with it carefully and lovingly. Opinions are my own.</t>
  </si>
  <si>
    <t>Recent Advertising Graduate / Former Software Dev | Obsolete Tech Junkie | Artist | Book Nerd | Above Average At Checkers</t>
  </si>
  <si>
    <t>Empowering students to navigate their social world — including social media and tech — to fuel their health, happiness, and future success. Founded by @soLaur.</t>
  </si>
  <si>
    <t>#com</t>
  </si>
  <si>
    <t>The OG of the O&amp;G industry for 45+ years in various capacities. Most notably, I was highly ranked O&amp;G analyst as well as an energy fund manager.</t>
  </si>
  <si>
    <t>Fiscally conservative, socially moderate and environmentally sensitive - where the hell do I vote? Recovering sell side analyst. Senate "t-shirt guy"</t>
  </si>
  <si>
    <t>The Free Cash Flow was the friends we made along the way.
Special dividend evangelist.
"a purveyor of potentially problematic commentary"</t>
  </si>
  <si>
    <t>Environmental Scientist turned Teacher _xD83D__xDD2C_ _xD83C__xDF0D_ _xD83C__xDF33_ (she/her) @ModernClassProj Enthusiast  @RamseyMS_JCPS    #WeAreJCPS   Equity ✊_xD83C__xDFFE__xD83C__xDFF3_️‍_xD83C__xDF08_</t>
  </si>
  <si>
    <t>Ps. 27:4 - I desire to dwell in God's house, to gaze on Him &amp; seek Him.
1 Cor. 2:2 - I resolved to know nothing except Jesus Christ &amp; Him crucified.</t>
  </si>
  <si>
    <t>like and subscribe.</t>
  </si>
  <si>
    <t>Assistant Teaching Professor, University of Wyoming | Environmental Humanities, Climate Justice, Coloniality, Energy/Water, Just Transition</t>
  </si>
  <si>
    <t>Fighting crime since 99!</t>
  </si>
  <si>
    <t>_xD83C__xDFA5_ Making my first adventure doc  • _xD83D__xDCBB_ Product Manager @evconnect • _xD83C__xDF93_ Master Climate Change student @uwaterloo • _xD83C__xDFC4__xD83C__xDFFB_‍♂️ Ontario adventure addict</t>
  </si>
  <si>
    <t>My profile picture is a fox on a slide, that should inform you of my love of whimsy, I also enjoy a smattering of ennui and just a pinch of mild delirium</t>
  </si>
  <si>
    <t>The Koronivia “back door” Doctor | Drug Addict | GR Spy (RTs are not endorsements)</t>
  </si>
  <si>
    <t>Astronomy outreach (Tweets in German &amp; English) - personal account (official is: @HdAstro @astro4edu @mpi_astro) - er/he/him - @mpoessel@mastodon.social</t>
  </si>
  <si>
    <t>Journalist (Erfurt). 
Manchmal der links im Bild ;-)
auch @schneider_EF@home.social</t>
  </si>
  <si>
    <t>Observing world events unfold in the grand theater of our time.</t>
  </si>
  <si>
    <t>Pure blood.
ALPHA Male.
Anti - death by injection.</t>
  </si>
  <si>
    <t>NO BIAS, NO ECHO CHAMBERS: Host @ https://t.co/sSSJZFqMct - Founder &amp; CEO @ https://t.co/hxjr811Q4I - Founder @ Froothie - Cofounder @NFTtech</t>
  </si>
  <si>
    <t>free speech advocate!! no nonsense free thinker, jui jitsu practitioner, constitutionalist, nationalist. old school liberal, so basically a right wing extremist</t>
  </si>
  <si>
    <t>TEXAN, I Love My Country and Proud of my @POTUS _xD83C__xDDFA__xD83C__xDDF8_
#MAGA _xD83C__xDDFA__xD83C__xDDF8_ @FLOTUS _xD83C__xDDFA__xD83C__xDDF8_ @FoxNews _xD83C__xDDFA__xD83C__xDDF8_ 
Politics, _xD83D__xDEAB_PORN,_xD83D__xDEAB_TROLLS,
_xD83D__xDEC7_DM DATING!!!!</t>
  </si>
  <si>
    <t>❌_xD83D__xDC89_| Xbig Pharma rep/nurse whistleblower | grandma has a hobby| certified life cycle celebrant | truther _xD83C__xDDE8__xD83C__xDDE6_| TKB solar teacher| unity consciousness | no dms</t>
  </si>
  <si>
    <t>_xD83D__xDC89_ _xD83D__xDC89_ _xD83D__xDC89_ Superannuation Research leader, economics, politics, blogger, live w/ musoes, kangaroos, Asia watcher. RFS, now dabbling in Hindi.</t>
  </si>
  <si>
    <t>Passionate about helping students learning today for a better tomorrow. Dean of Architecture, Computing &amp; Engineering, University of East London. Views my own.</t>
  </si>
  <si>
    <t>Addicted to fair - no bullshit accepted. State your facts.</t>
  </si>
  <si>
    <t>Articles, papers, and books on AI, Machine Learning, Deep Learning, Image Recognition, Computer Vision, and Natural Language Processing</t>
  </si>
  <si>
    <t>Engineer, @NSPE Pres. 11-12, @ASCE ILC, VA. APELSCIDLA, @clarknexsen CEO (Ret.), 2022 @Chamber757 Chair, #resiliency #climatechange #infrastructure VMI78 UVA80</t>
  </si>
  <si>
    <t>"no people on earth in whom a spirit of enthusiastic zeal is so readily kindled, and burns so remarkably, as among Americans." _xD83C__xDDFA__xD83C__xDDF8_</t>
  </si>
  <si>
    <t>guy trying to be decent person. REPOZE Founder and CEO</t>
  </si>
  <si>
    <t>World's Greatest Moderator (TM), Angel investor: https://t.co/6leeScky9Y @twistartups @theallinpod @launch @inside</t>
  </si>
  <si>
    <t>Sharing things I'm learning through my foundation work and other interests.</t>
  </si>
  <si>
    <t>We're on a mission to empower every person and every organization on the planet to achieve more. Support: @MicrosoftHelps</t>
  </si>
  <si>
    <t>GenX - girl-dad - classical liberal / right-wing extremist - ideology is a poor substitute for reason</t>
  </si>
  <si>
    <t>“#BITCOIN IS THE BEST CRYPTO ASSET. WHAT’S THE 2nd BEST CRYPTO ASSET THERE IS NO 2nd BEST CRYPTO ASSET. THERE’S A CRYPTO ASSET; IT’S CALLED BITCOIN” ~M. Saylor</t>
  </si>
  <si>
    <t>58k forever #Bitcoin Editor @btc | Writer @coinbeastmedia | npub1ayhdtt89alap5r4qvw2qzp6ccmfsamvz3wz7ncyctj53nzcvxl7qxy8s89</t>
  </si>
  <si>
    <t>USMC Veteran _xD83C__xDDFA__xD83C__xDDF8_ Patriot _xD83C__xDDFA__xD83C__xDDF8_ Pro Life _xD83C__xDDFA__xD83C__xDDF8_ #1A #2A #AmericaFirst #SemperFi</t>
  </si>
  <si>
    <t>she/her | journalism and legal studies student @ithacacollege | interested in environmental causes &amp; policy | avid reality tv show watcher</t>
  </si>
  <si>
    <t>Husband &amp; Dad</t>
  </si>
  <si>
    <t>Manhattan Beach CA</t>
  </si>
  <si>
    <t>Washington, DC</t>
  </si>
  <si>
    <t>United States</t>
  </si>
  <si>
    <t>Maryland, USA</t>
  </si>
  <si>
    <t>Sydney, Australia</t>
  </si>
  <si>
    <t>Ottawa, Ontario</t>
  </si>
  <si>
    <t>Dreams</t>
  </si>
  <si>
    <t>Baltimore, MD</t>
  </si>
  <si>
    <t>San Diego, CA</t>
  </si>
  <si>
    <t>Detroit, MI</t>
  </si>
  <si>
    <t>Maastricht, The Netherlands</t>
  </si>
  <si>
    <t>Brisbane, Australia</t>
  </si>
  <si>
    <t>London</t>
  </si>
  <si>
    <t>Melbourne, Australia</t>
  </si>
  <si>
    <t>Reichenau an der Rax, Austria</t>
  </si>
  <si>
    <t>Mumbai/Pune</t>
  </si>
  <si>
    <t>New Jersey</t>
  </si>
  <si>
    <t>Redwood City, CA</t>
  </si>
  <si>
    <t xml:space="preserve">yourmomshouse </t>
  </si>
  <si>
    <t>Nottingham, England</t>
  </si>
  <si>
    <t>Buenos Aires, Argentina</t>
  </si>
  <si>
    <t>Oregon, USA</t>
  </si>
  <si>
    <t>Aurora, Illinois</t>
  </si>
  <si>
    <t>West by God Virginia</t>
  </si>
  <si>
    <t>Rwanda_xD83C__xDDF7__xD83C__xDDFC_</t>
  </si>
  <si>
    <t>Somewhere nearby...</t>
  </si>
  <si>
    <t>Australia</t>
  </si>
  <si>
    <t>Kaurna/Peremangk</t>
  </si>
  <si>
    <t>Upper Hutt City, New Zealand</t>
  </si>
  <si>
    <t>New Zealand</t>
  </si>
  <si>
    <t>Kokopu</t>
  </si>
  <si>
    <t>Somewhere, Australia</t>
  </si>
  <si>
    <t>Colorado</t>
  </si>
  <si>
    <t>UK / Venice, Italy</t>
  </si>
  <si>
    <t>Collingwood, ON Canada</t>
  </si>
  <si>
    <t>Palo Alto, CA</t>
  </si>
  <si>
    <t>Cuba</t>
  </si>
  <si>
    <t>California Left Coast</t>
  </si>
  <si>
    <t>Sacramento, CA</t>
  </si>
  <si>
    <t>Dublin, OH</t>
  </si>
  <si>
    <t>California</t>
  </si>
  <si>
    <t>Chicago, IL</t>
  </si>
  <si>
    <t>Miami, FL</t>
  </si>
  <si>
    <t>Flat Earth</t>
  </si>
  <si>
    <t>Wellington City, New Zealand</t>
  </si>
  <si>
    <t>Auckland, New Zealand</t>
  </si>
  <si>
    <t>Boulder. CO</t>
  </si>
  <si>
    <t>New York City Suburb, USA</t>
  </si>
  <si>
    <t>Toronto, Ontario</t>
  </si>
  <si>
    <t xml:space="preserve"> United States,  East Coast.</t>
  </si>
  <si>
    <t>Northern Virginia</t>
  </si>
  <si>
    <t>Earth</t>
  </si>
  <si>
    <t>West Coast U.S.A.</t>
  </si>
  <si>
    <t>New York, NY</t>
  </si>
  <si>
    <t>Irvine, CA</t>
  </si>
  <si>
    <t>www.reallibertymedia.com/ Ch 2</t>
  </si>
  <si>
    <t>Real Liberty Media - RLM Radio</t>
  </si>
  <si>
    <t>Salford, England</t>
  </si>
  <si>
    <t>Brooklyn</t>
  </si>
  <si>
    <t>Germany</t>
  </si>
  <si>
    <t>Mid-Atlantic</t>
  </si>
  <si>
    <t>Crossing The Orwellian Rubicon</t>
  </si>
  <si>
    <t>Wrong place and time</t>
  </si>
  <si>
    <t>Your world</t>
  </si>
  <si>
    <t>I Dunno</t>
  </si>
  <si>
    <t>NH/MA</t>
  </si>
  <si>
    <t xml:space="preserve">Life is a journey </t>
  </si>
  <si>
    <t>Mumbai, India</t>
  </si>
  <si>
    <t>Yeehaw Hegemony</t>
  </si>
  <si>
    <t>San Jose, CA</t>
  </si>
  <si>
    <t>USA</t>
  </si>
  <si>
    <t>Canada</t>
  </si>
  <si>
    <t>Toronto</t>
  </si>
  <si>
    <t>Atlanta, GA</t>
  </si>
  <si>
    <t>New York, New York</t>
  </si>
  <si>
    <t>State College, PA</t>
  </si>
  <si>
    <t>Calgary</t>
  </si>
  <si>
    <t>New York City</t>
  </si>
  <si>
    <t>Irving-Dallas</t>
  </si>
  <si>
    <t>Port Stephens NSW Australia</t>
  </si>
  <si>
    <t>Australia ★ NZ</t>
  </si>
  <si>
    <t xml:space="preserve">Webnode8328844111774 </t>
  </si>
  <si>
    <t>Pakenham, Victora, Australia</t>
  </si>
  <si>
    <t>Sequim, WA</t>
  </si>
  <si>
    <t>Belgique</t>
  </si>
  <si>
    <t>Maldives</t>
  </si>
  <si>
    <t>Werne, Deutschland</t>
  </si>
  <si>
    <t>Seattle, WA</t>
  </si>
  <si>
    <t>San Francisco, CA</t>
  </si>
  <si>
    <t>Porto Alegre</t>
  </si>
  <si>
    <t>Alabama</t>
  </si>
  <si>
    <t>Durham, NC</t>
  </si>
  <si>
    <t>Core of the Core, in a Cube.</t>
  </si>
  <si>
    <t>Ramsey Middle School</t>
  </si>
  <si>
    <t xml:space="preserve">Philippians 3:20  </t>
  </si>
  <si>
    <t>San Bruno, CA</t>
  </si>
  <si>
    <t>Cheyenne/Lakota/Arapaho Lands</t>
  </si>
  <si>
    <t>Planet Earth</t>
  </si>
  <si>
    <t>Ontario, Canada</t>
  </si>
  <si>
    <t>Norfolk</t>
  </si>
  <si>
    <t>Fiji</t>
  </si>
  <si>
    <t>Heidelberg</t>
  </si>
  <si>
    <t>_xD83C__xDF0D_</t>
  </si>
  <si>
    <t>New York, USA</t>
  </si>
  <si>
    <t>need to know basis</t>
  </si>
  <si>
    <t>White Rock, British Columbia</t>
  </si>
  <si>
    <t>Capital country, Sydney</t>
  </si>
  <si>
    <t>London, England</t>
  </si>
  <si>
    <t>Virginia</t>
  </si>
  <si>
    <t>Columbus OH ➡️ St Pete FL _xD83C__xDDFA__xD83C__xDDF8_</t>
  </si>
  <si>
    <t>Colorado, USA</t>
  </si>
  <si>
    <t>California, USA</t>
  </si>
  <si>
    <t>Redmond, WA</t>
  </si>
  <si>
    <t>Florida, USA</t>
  </si>
  <si>
    <t>MA and NY</t>
  </si>
  <si>
    <t>Houston, TX</t>
  </si>
  <si>
    <t>Open Twitter Page for This Person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</si>
  <si>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</si>
  <si>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</si>
  <si>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</si>
  <si>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</si>
  <si>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</si>
  <si>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</si>
  <si>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</si>
  <si>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</si>
  <si>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</si>
  <si>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</si>
  <si>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</si>
  <si>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</si>
  <si>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</si>
  <si>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</si>
  <si>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</si>
  <si>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</si>
  <si>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</si>
  <si>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</si>
  <si>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</si>
  <si>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</si>
  <si>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</si>
  <si>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</si>
  <si>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</si>
  <si>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</si>
  <si>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</si>
  <si>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</si>
  <si>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</si>
  <si>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</si>
  <si>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</si>
  <si>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</si>
  <si>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</si>
  <si>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</si>
  <si>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</si>
  <si>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</si>
  <si>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</si>
  <si>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</si>
  <si>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</si>
  <si>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</si>
  <si>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</si>
  <si>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</si>
  <si>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</si>
  <si>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</si>
  <si>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</si>
  <si>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</si>
  <si>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</si>
  <si>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</si>
  <si>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</si>
  <si>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</si>
  <si>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</si>
  <si>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</si>
  <si>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</si>
  <si>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</si>
  <si>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</si>
  <si>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</si>
  <si>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</si>
  <si>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</si>
  <si>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</si>
  <si>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</si>
  <si>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</si>
  <si>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</si>
  <si>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</si>
  <si>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</si>
  <si>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G62</t>
  </si>
  <si>
    <t>G63</t>
  </si>
  <si>
    <t>G64</t>
  </si>
  <si>
    <t>G65</t>
  </si>
  <si>
    <t>G66</t>
  </si>
  <si>
    <t>G67</t>
  </si>
  <si>
    <t>G68</t>
  </si>
  <si>
    <t>G69</t>
  </si>
  <si>
    <t>G70</t>
  </si>
  <si>
    <t>G71</t>
  </si>
  <si>
    <t>G72</t>
  </si>
  <si>
    <t>G73</t>
  </si>
  <si>
    <t>G74</t>
  </si>
  <si>
    <t>G75</t>
  </si>
  <si>
    <t>G76</t>
  </si>
  <si>
    <t>G77</t>
  </si>
  <si>
    <t>G78</t>
  </si>
  <si>
    <t>G79</t>
  </si>
  <si>
    <t>G80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</si>
  <si>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</si>
  <si>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</si>
  <si>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</si>
  <si>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</si>
  <si>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</si>
  <si>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</si>
  <si>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</si>
  <si>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</si>
  <si>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</si>
  <si>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</si>
  <si>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</si>
  <si>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</si>
  <si>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</si>
  <si>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</si>
  <si>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</si>
  <si>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</si>
  <si>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</si>
  <si>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</si>
  <si>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</si>
  <si>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</si>
  <si>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</si>
  <si>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</si>
  <si>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</si>
  <si>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</si>
  <si>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</si>
  <si>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</si>
  <si>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</si>
  <si>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</si>
  <si>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(Add your own word list)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</si>
  <si>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</si>
  <si>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</si>
  <si>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</si>
  <si>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</si>
  <si>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</si>
  <si>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</si>
  <si>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</si>
  <si>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</si>
  <si>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</si>
  <si>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</si>
  <si>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</si>
  <si>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</si>
  <si>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</si>
  <si>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</si>
  <si>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</si>
  <si>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</si>
  <si>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</si>
  <si>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</si>
  <si>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</si>
  <si>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</si>
  <si>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</si>
  <si>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</si>
  <si>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</si>
  <si>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</si>
  <si>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</si>
  <si>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</si>
  <si>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</si>
  <si>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</si>
  <si>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</si>
  <si>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</si>
  <si>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</si>
  <si>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</si>
  <si>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</si>
  <si>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</si>
  <si>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</si>
  <si>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</si>
  <si>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</si>
  <si>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</si>
  <si>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</si>
  <si>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</si>
  <si>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</si>
  <si>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</si>
  <si>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</si>
  <si>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</si>
  <si>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</si>
  <si>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</si>
  <si>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</si>
  <si>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</si>
  <si>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</si>
  <si>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</si>
  <si>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</si>
  <si>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</si>
  <si>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Top Words in Content in Entire Graph</t>
  </si>
  <si>
    <t>Entire Graph Count</t>
  </si>
  <si>
    <t>Top Words in Content in G1</t>
  </si>
  <si>
    <t>Top Words in Content in G2</t>
  </si>
  <si>
    <t>G1 Count</t>
  </si>
  <si>
    <t>Top Words in Content in G3</t>
  </si>
  <si>
    <t>G2 Count</t>
  </si>
  <si>
    <t>Top Words in Content in G4</t>
  </si>
  <si>
    <t>G3 Count</t>
  </si>
  <si>
    <t>Top Words in Content in G5</t>
  </si>
  <si>
    <t>G4 Count</t>
  </si>
  <si>
    <t>Top Words in Content in G6</t>
  </si>
  <si>
    <t>G5 Count</t>
  </si>
  <si>
    <t>Top Words in Content in G7</t>
  </si>
  <si>
    <t>G6 Count</t>
  </si>
  <si>
    <t>Top Words in Content in G8</t>
  </si>
  <si>
    <t>G7 Count</t>
  </si>
  <si>
    <t>Top Words in Content in G9</t>
  </si>
  <si>
    <t>G8 Count</t>
  </si>
  <si>
    <t>Top Words in Content in G10</t>
  </si>
  <si>
    <t>G9 Count</t>
  </si>
  <si>
    <t>G10 Count</t>
  </si>
  <si>
    <t>Top Words in Content</t>
  </si>
  <si>
    <t>Top Word Pairs in Content in Entire Graph</t>
  </si>
  <si>
    <t>Top Word Pairs in Content in G1</t>
  </si>
  <si>
    <t>Top Word Pairs in Content in G2</t>
  </si>
  <si>
    <t>Top Word Pairs in Content in G3</t>
  </si>
  <si>
    <t>Top Word Pairs in Content in G4</t>
  </si>
  <si>
    <t>Top Word Pairs in Content in G5</t>
  </si>
  <si>
    <t>Top Word Pairs in Content in G6</t>
  </si>
  <si>
    <t>Top Word Pairs in Content in G7</t>
  </si>
  <si>
    <t>Top Word Pairs in Content in G8</t>
  </si>
  <si>
    <t>Top Word Pairs in Content in G9</t>
  </si>
  <si>
    <t>Top Word Pairs in Content in G10</t>
  </si>
  <si>
    <t>Top Word Pairs in Content</t>
  </si>
  <si>
    <t>Top Words in Content by Count</t>
  </si>
  <si>
    <t>Top Words in Content by Salience</t>
  </si>
  <si>
    <t>Top Word Pairs in Content by Count</t>
  </si>
  <si>
    <t>Top Word Pairs in Content by Salience</t>
  </si>
  <si>
    <t>▓0▓0▓0▓True▓Black▓Black▓▓▓0▓0▓0▓0▓0▓False▓▓0▓0▓0▓0▓0▓False▓▓0▓0▓0▓True▓Black▓Black▓▓Betweenness Centrality▓0▓44▓3▓80▓1000▓False▓▓0▓0▓0▓0▓0▓False▓▓0▓0▓0▓0▓0▓False▓▓0▓0▓0▓0▓0▓False</t>
  </si>
  <si>
    <t>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&lt;IsEdgeColumn&gt;false&lt;/IsEdgeColumn&gt;
            &lt;StatusColumnName&gt;Content&lt;/StatusColumnName&gt;
            &lt;TopTweetersMentionedRepliedTo&gt;false&lt;/TopTweetersMentionedRepliedTo&gt;
            &lt;NetworkTopItemsUserSettingsToCalculate /&gt;
          &lt;/NetworkTopItemsListUserSettings&gt;
        &lt;/value&gt;
      &lt;/setting&gt;
      &lt;setting name="TopNByMetricsToCalculate" serializeAs="Xml"&gt;
        &lt;value&gt;
          &lt;ArrayOfTopNByMetricUserSettings xmlns:xsd="http://www.w3.org/2001/XMLSchema"
            xmlns:xsi="http://www.w3.org/2001/XMLSchema-instance" /&gt;
        &lt;/value&gt;
      &lt;/setting&gt;
    &lt;/GraphMetricUserSettings&gt;
    &lt;LayoutUserSettings&gt;
      &lt;setting name="Layout" serializeAs="String"&gt;
        &lt;value&gt;HarelKorenFastMultiscale&lt;/value&gt;
      &lt;/setting&gt;
      &lt;setting name="FruchtermanReingoldIterations" serializeAs="String"&gt;
        &lt;value&gt;10&lt;/value&gt;
      &lt;/setting&gt;
      &lt;setting name="IntergroupEdgeStyle" serializeAs="String"&gt;
        &lt;value&gt;Show&lt;/value&gt;
      &lt;/setting&gt;
      &lt;setting name="FruchtermanReingoldC" serializeAs="String"&gt;
        &lt;value&gt;3&lt;/value&gt;
      &lt;/setting&gt;
      &lt;setting name="BoxLayoutAlgorithm" serializeAs="String"&gt;
        &lt;value&gt;Treemap&lt;/value&gt;
      &lt;/setting&gt;
      &lt;setting name="ImproveLayoutOfGroups" serializeAs="String"&gt;
        &lt;value&gt;True&lt;/value&gt;
      &lt;/setting&gt;
      &lt;setting name="LayoutStyle" serializeAs="String"&gt;
        &lt;value&gt;Normal&lt;/value&gt;
      &lt;/setting&gt;
      &lt;setting name="GroupRectanglePenWidth" serializeAs="String"&gt;
        &lt;value&gt;1&lt;/value&gt;
      &lt;/setting&gt;
      &lt;setting name="Margin" serializeAs="String"&gt;
        &lt;value&gt;5&lt;/value&gt;
      &lt;/setting&gt;
    &lt;/LayoutUserSettings&gt;
    &lt;GeneralUserSettings4&gt;
      &lt;setting name="NewWorkbookGraphDirectedness" serializeAs="String"&gt;
        &lt;value&gt;Directed&lt;/value&gt;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&lt;value&gt;0, 128, 192&lt;/value&gt;
      &lt;/setting&gt;
      &lt;setting name="AxisFont" serializeAs="String"&gt;
        &lt;value&gt;Microsoft Sans Serif, 8.25pt&lt;/value&gt;
      &lt;/setting&gt;
      &lt;setting name="EdgeBezierDisplacementFactor" serializeAs="String"&gt;
        &lt;value&gt;0.6&lt;/value&gt;
      &lt;/setting&gt;
      &lt;setting name="BackgroundImageUri" serializeAs="String"&gt;
        &lt;value /&gt;
      &lt;/setting&gt;
      &lt;setting name="VertexRadius" serializeAs="String"&gt;
        &lt;value&gt;1.5&lt;/value&gt;
      &lt;/setting&gt;
      &lt;setting name="EdgeWidth" serializeAs="String"&gt;
        &lt;value&gt;2&lt;/value&gt;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20.25pt White BottomCenter 2147483647 2147483647 Black True 310 Black 86 TopLeft Microsoft Sans Serif, 8.25pt Microsoft Sans Serif, 9pt&lt;/value&gt;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&lt;value&gt;30&lt;/value&gt;
      &lt;/setting&gt;
      &lt;setting name="AutoReadWorkbook" serializeAs="String"&gt;
        &lt;value&gt;True&lt;/value&gt;
      &lt;/setting&gt;
      &lt;setting name="EdgeBundlerStraightening" serializeAs="String"&gt;
        &lt;value&gt;0.15&lt;/value&gt;
      &lt;/setting&gt;
      &lt;setting name="VertexImag</t>
  </si>
  <si>
    <t>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&lt;value&gt;Bezier&lt;/value&gt;
      &lt;/setting&gt;
    &lt;/GeneralUserSettings4&gt;
    &lt;PlugInUserSettings&gt;
      &lt;setting name="PlugInFolderPath" serializeAs="String"&gt;
        &lt;value&gt;C:\Program Files (x86)\NodeXL\Addins\Wikipedia&lt;/value&gt;
      &lt;/setting&gt;
    &lt;/PlugInUserSettings&gt;
  &lt;/userSettings&gt;
&lt;/configuration&gt;</t>
  </si>
  <si>
    <t>GraphSource░TwitterSearch▓GraphTerm░ChatGPT "Climate Change" lang:en▓ImportDescription░The graph represents a network of 200 Twitter users whose recent tweets contained "ChatGPT "Climate Change" lang:en", or who were replied to or mentioned in those tweets, taken from a data set limited to a maximum of 500 tweets.  The network was obtained from Twitter on Monday, 13 February 2023 at 20:34 UTC.
The tweets in the network were tweeted over the 9-day, 16-hour, 8-minute period from Saturday, 04 February 2023 at 02:10 UTC to Monday, 13 February 2023 at 18:19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"mentions".▓ImportSuggestedTitle░ChatGPT "Climate Change" lang:en Twitter NodeXL SNA Map and Report for lunes, 13 febrero 2023 at 20:34 UTC▓ImportSuggestedFileNameNoExtension░2023-02-13 20-34-12 NodeXL Twitter Search ChatGPT "Climate Change" lang:en▓GroupingDescription░The graph's vertices were grouped by cluster using the Clauset-Newman-Moore cluster algorithm.▓LayoutAlgorithm░The graph was laid out using the Harel-Koren Fast Multiscale layout algorithm.▓GraphDirectedness░The graph is directed.</t>
  </si>
  <si>
    <t>ue&gt;True&lt;/value&gt;
      &lt;/setting&gt;
      &lt;setting name="ClearTablesBeforeImport" serializeAs="String"&gt;
        &lt;value&gt;True&lt;/value&gt;
      &lt;/setting&gt;
    &lt;/ImportDataUserSettings&gt;
    &lt;AutoScaleUserSettings&gt;
      &lt;setting name="AutoScale" serializeAs="String"&gt;
        &lt;value&gt;True&lt;/value&gt;
      &lt;/setting&gt;
    &lt;/AutoScaleUserSettings&gt;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&lt;value&gt;#nxlwiki&lt;/value&gt;
      &lt;/setting&gt;
      &lt;setting name="UseCredentials" serializeAs="String"&gt;
        &lt;value&gt;True&lt;/value&gt;
      &lt;/setting&gt;
      &lt;setting name="ExportWorkbookAndSettings" serializeAs="String"&gt;
        &lt;value&gt;True&lt;/value&gt;
      &lt;/setting&gt;
      &lt;setting name="UseFixedAspectRatio" serializeAs="String"&gt;
        &lt;value&gt;True&lt;/value&gt;
      &lt;/setting&gt;
    &lt;/ExportToNodeXLGraphGalleryUserSettings&gt;
    &lt;GraphZoomAndScaleUserSettings&gt;
      &lt;setting name="GraphScale" serializeAs="String"&gt;
        &lt;value&gt;0.26&lt;/value&gt;
      &lt;/setting&gt;
    &lt;/GraphZoomAndScaleUserSettings&gt;
    &lt;ExportToEmailUserSettings&gt;
      &lt;setting name="SmtpUserName" serializeAs="String"&gt;
        &lt;value&gt;email@domain.abc&lt;/value&gt;
      &lt;/setting&gt;
      &lt;setting name="SpaceDelimitedToAddresses" serializeAs="String"&gt;
        &lt;value&gt;email@domain.abc&lt;/value&gt;
      &lt;/setting&gt;
      &lt;setting name="ExportWorkbookAndSettings" serializeAs="String"&gt;
        &lt;value&gt;True&lt;/value&gt;
      &lt;/setting&gt;
      &lt;setting name="ExportGraphML" serializeAs="String"&gt;
        &lt;value&gt;False&lt;/value&gt;
      &lt;/setting&gt;
      &lt;setting name="SmtpPort" serializeAs="String"&gt;
        &lt;value&gt;11&lt;/value&gt;
      &lt;/setting&gt;
      &lt;setting name="UseSslForSmtp" serializeAs="String"&gt;
        &lt;value&gt;False&lt;/value&gt;
      &lt;/setting&gt;
      &lt;setting name="UseFixedAspectRatio" serializeAs="String"&gt;
        &lt;value&gt;False&lt;/value&gt;
      &lt;/setting&gt;
      &lt;setting name="MessageBody" serializeAs="String"&gt;
        &lt;value&gt;&amp;lt;img src="https://nodexl.com/wp-content/uploads/2017/04/nodexl-logo-long.png" /&amp;gt;
This graph was brought to you by NodeXL.
{Graph Image}
{Graph Summary}
For more information, go to &amp;lt;a href="http://nodexl.com/"&amp;gt;NodeXL on the web&amp;lt;/a&amp;gt;.&lt;/value&gt;
      &lt;/setting&gt;
      &lt;setting name="SmtpHost" serializeAs="String"&gt;
        &lt;value&gt;mail.domain.abct&lt;/value&gt;
      &lt;/setting&gt;
      &lt;setting name="FromAddress" serializeAs="String"&gt;
        &lt;value&gt;email@domain.abc&lt;/value&gt;
      &lt;/setting&gt;
    &lt;/ExportToEmailUserSettings&gt;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&lt;value&gt;Betweenness Centrality&lt;/value&gt;
      &lt;/setting&gt;
      &lt;setting name="VertexRadiusSourceColumnName" serializeAs="String"&gt;
        &lt;value&gt;Betweenness Centrality&lt;/value&gt;
      &lt;/setting&gt;
      &lt;setting name="EdgeColorDetails" serializeAs="String"&gt;
        &lt;value&gt;False False 0 10 241, 137, 4 46, 7, 195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Bottom Center&lt;/value&gt;
      &lt;/setting&gt;
      &lt;setting name="VertexShapeDetails" serializeAs="String"&gt;
        &lt;value&gt;GreaterThan 0 Image Image&lt;/value&gt;
      &lt;/setting&gt;
      &lt;setting name="GroupCollapsedDetails" serializeAs="String"&gt;
        &lt;value&gt;GreaterThan 0 Yes No&lt;/value&gt;
      &lt;/setting&gt;
      &lt;setting name="EdgeWidthDetails" serializeAs="String"&gt;
        &lt;value&gt;False False 1 10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&lt;value&gt;Vertex&lt;/value&gt;
      &lt;/setting&gt;
      &lt;setting name="EdgeWidthSourceColumnName" serializeAs="String"&gt;
        &lt;value /&gt;
      &lt;/setting&gt;
      &lt;setting name="EdgeAlphaSourceColumnName" serializeAs="String"&gt;
        &lt;value /&gt;
      &lt;/setting&gt;
      &lt;setting name="VertexPolarAngleSourceColumnName" serializeAs="String"&gt;
        &lt;value /&gt;
      &lt;/setting&gt;
      &lt;setting name="Edg</t>
  </si>
  <si>
    <t>TwitterSearch</t>
  </si>
  <si>
    <t>ChatGPT "Climate Change" lang:en</t>
  </si>
  <si>
    <t>The graph represents a network of 200 Twitter users whose recent tweets contained "ChatGPT "Climate Change" lang:en", or who were replied to or mentioned in those tweets, taken from a data set limited to a maximum of 500 tweets.  The network was obtained from Twitter on Monday, 13 February 2023 at 20:34 UTC.
The tweets in the network were tweeted over the 9-day, 16-hour, 8-minute period from Saturday, 04 February 2023 at 02:10 UTC to Monday, 13 February 2023 at 18:19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</si>
  <si>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</si>
  <si>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</si>
  <si>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https://nodexlgraphgallery.org/Pages/Graph.aspx?graphID=289374</t>
  </si>
  <si>
    <t>https://nodexlgraphgallery.org/Images/Image.ashx?graphID=289374&amp;type=f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</si>
</sst>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 xfId="23" applyNumberFormat="1" applyFont="1"/>
    <xf numFmtId="0" fontId="0" fillId="2" borderId="1" xfId="20" applyNumberFormat="1" applyFont="1"/>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278">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77"/>
      <tableStyleElement type="headerRow" dxfId="276"/>
    </tableStyle>
    <tableStyle name="NodeXL Table" pivot="0" count="1">
      <tableStyleElement type="headerRow" dxfId="27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671024"/>
        <c:axId val="38712625"/>
      </c:barChart>
      <c:catAx>
        <c:axId val="266710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712625"/>
        <c:crosses val="autoZero"/>
        <c:auto val="1"/>
        <c:lblOffset val="100"/>
        <c:noMultiLvlLbl val="0"/>
      </c:catAx>
      <c:valAx>
        <c:axId val="38712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7102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869306"/>
        <c:axId val="48714891"/>
      </c:barChart>
      <c:catAx>
        <c:axId val="128693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714891"/>
        <c:crosses val="autoZero"/>
        <c:auto val="1"/>
        <c:lblOffset val="100"/>
        <c:noMultiLvlLbl val="0"/>
      </c:catAx>
      <c:valAx>
        <c:axId val="487148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6930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780836"/>
        <c:axId val="53592069"/>
      </c:barChart>
      <c:catAx>
        <c:axId val="3578083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592069"/>
        <c:crosses val="autoZero"/>
        <c:auto val="1"/>
        <c:lblOffset val="100"/>
        <c:noMultiLvlLbl val="0"/>
      </c:catAx>
      <c:valAx>
        <c:axId val="53592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8083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566574"/>
        <c:axId val="45990303"/>
      </c:barChart>
      <c:catAx>
        <c:axId val="125665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990303"/>
        <c:crosses val="autoZero"/>
        <c:auto val="1"/>
        <c:lblOffset val="100"/>
        <c:noMultiLvlLbl val="0"/>
      </c:catAx>
      <c:valAx>
        <c:axId val="459903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6657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259544"/>
        <c:axId val="34227033"/>
      </c:barChart>
      <c:catAx>
        <c:axId val="1125954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227033"/>
        <c:crosses val="autoZero"/>
        <c:auto val="1"/>
        <c:lblOffset val="100"/>
        <c:noMultiLvlLbl val="0"/>
      </c:catAx>
      <c:valAx>
        <c:axId val="342270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5954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607842"/>
        <c:axId val="20926259"/>
      </c:barChart>
      <c:catAx>
        <c:axId val="3960784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926259"/>
        <c:crosses val="autoZero"/>
        <c:auto val="1"/>
        <c:lblOffset val="100"/>
        <c:noMultiLvlLbl val="0"/>
      </c:catAx>
      <c:valAx>
        <c:axId val="20926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0784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118604"/>
        <c:axId val="17305389"/>
      </c:barChart>
      <c:catAx>
        <c:axId val="541186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305389"/>
        <c:crosses val="autoZero"/>
        <c:auto val="1"/>
        <c:lblOffset val="100"/>
        <c:noMultiLvlLbl val="0"/>
      </c:catAx>
      <c:valAx>
        <c:axId val="173053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1860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530774"/>
        <c:axId val="59559239"/>
      </c:barChart>
      <c:catAx>
        <c:axId val="215307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559239"/>
        <c:crosses val="autoZero"/>
        <c:auto val="1"/>
        <c:lblOffset val="100"/>
        <c:noMultiLvlLbl val="0"/>
      </c:catAx>
      <c:valAx>
        <c:axId val="595592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3077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271104"/>
        <c:axId val="59569025"/>
      </c:barChart>
      <c:catAx>
        <c:axId val="66271104"/>
        <c:scaling>
          <c:orientation val="minMax"/>
        </c:scaling>
        <c:axPos val="b"/>
        <c:delete val="1"/>
        <c:majorTickMark val="out"/>
        <c:minorTickMark val="none"/>
        <c:tickLblPos val="none"/>
        <c:crossAx val="59569025"/>
        <c:crosses val="autoZero"/>
        <c:auto val="1"/>
        <c:lblOffset val="100"/>
        <c:noMultiLvlLbl val="0"/>
      </c:catAx>
      <c:valAx>
        <c:axId val="59569025"/>
        <c:scaling>
          <c:orientation val="minMax"/>
        </c:scaling>
        <c:axPos val="l"/>
        <c:delete val="1"/>
        <c:majorTickMark val="out"/>
        <c:minorTickMark val="none"/>
        <c:tickLblPos val="none"/>
        <c:crossAx val="662711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259175" y="457200"/>
        <a:ext cx="333375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11" totalsRowShown="0" headerRowDxfId="274" dataDxfId="238">
  <autoFilter ref="A2:BN211"/>
  <tableColumns count="66">
    <tableColumn id="1" name="Vertex 1" dataDxfId="223"/>
    <tableColumn id="2" name="Vertex 2" dataDxfId="221"/>
    <tableColumn id="3" name="Color" dataDxfId="222"/>
    <tableColumn id="4" name="Width" dataDxfId="247"/>
    <tableColumn id="11" name="Style" dataDxfId="246"/>
    <tableColumn id="5" name="Opacity" dataDxfId="245"/>
    <tableColumn id="6" name="Visibility" dataDxfId="244"/>
    <tableColumn id="10" name="Label" dataDxfId="243"/>
    <tableColumn id="12" name="Label Text Color" dataDxfId="242"/>
    <tableColumn id="13" name="Label Font Size" dataDxfId="241"/>
    <tableColumn id="14" name="Reciprocated?" dataDxfId="127"/>
    <tableColumn id="7" name="ID" dataDxfId="240"/>
    <tableColumn id="9" name="Dynamic Filter" dataDxfId="239"/>
    <tableColumn id="8" name="Add Your Own Columns Here" dataDxfId="220"/>
    <tableColumn id="15" name="Relationship" dataDxfId="219"/>
    <tableColumn id="16" name="Relationship Date (UTC)" dataDxfId="218"/>
    <tableColumn id="17" name="Tweet" dataDxfId="217"/>
    <tableColumn id="18" name="URLs in Tweet" dataDxfId="216"/>
    <tableColumn id="19" name="Domains in Tweet" dataDxfId="215"/>
    <tableColumn id="20" name="Hashtags in Tweet" dataDxfId="214"/>
    <tableColumn id="21" name="Media in Tweet" dataDxfId="213"/>
    <tableColumn id="22" name="Tweet Image File" dataDxfId="212"/>
    <tableColumn id="23" name="Tweet Date (UTC)" dataDxfId="211"/>
    <tableColumn id="24" name="Date" dataDxfId="210"/>
    <tableColumn id="25" name="Time" dataDxfId="209"/>
    <tableColumn id="26" name="Twitter Page for Tweet" dataDxfId="208"/>
    <tableColumn id="27" name="Latitude" dataDxfId="207"/>
    <tableColumn id="28" name="Longitude" dataDxfId="206"/>
    <tableColumn id="29" name="Imported ID" dataDxfId="205"/>
    <tableColumn id="30" name="In-Reply-To Tweet ID" dataDxfId="204"/>
    <tableColumn id="31" name="Favorited" dataDxfId="203"/>
    <tableColumn id="32" name="Favorite Count" dataDxfId="202"/>
    <tableColumn id="33" name="In-Reply-To User ID" dataDxfId="201"/>
    <tableColumn id="34" name="Is Quote Status" dataDxfId="200"/>
    <tableColumn id="35" name="Language" dataDxfId="199"/>
    <tableColumn id="36" name="Possibly Sensitive" dataDxfId="198"/>
    <tableColumn id="37" name="Quoted Status ID" dataDxfId="197"/>
    <tableColumn id="38" name="Retweeted" dataDxfId="196"/>
    <tableColumn id="39" name="Retweet Count" dataDxfId="195"/>
    <tableColumn id="40" name="Retweet ID" dataDxfId="194"/>
    <tableColumn id="41" name="Source" dataDxfId="193"/>
    <tableColumn id="42" name="Truncated" dataDxfId="192"/>
    <tableColumn id="43" name="Unified Twitter ID" dataDxfId="191"/>
    <tableColumn id="44" name="Imported Tweet Type" dataDxfId="190"/>
    <tableColumn id="45" name="Added By Extended Analysis" dataDxfId="189"/>
    <tableColumn id="46" name="Corrected By Extended Analysis" dataDxfId="188"/>
    <tableColumn id="47" name="Place Bounding Box" dataDxfId="187"/>
    <tableColumn id="48" name="Place Country" dataDxfId="186"/>
    <tableColumn id="49" name="Place Country Code" dataDxfId="185"/>
    <tableColumn id="50" name="Place Full Name" dataDxfId="184"/>
    <tableColumn id="51" name="Place ID" dataDxfId="183"/>
    <tableColumn id="52" name="Place Name" dataDxfId="182"/>
    <tableColumn id="53" name="Place Type" dataDxfId="181"/>
    <tableColumn id="54" name="Place URL" dataDxfId="180"/>
    <tableColumn id="55" name="Edge Weight"/>
    <tableColumn id="56" name="Vertex 1 Group" dataDxfId="142">
      <calculatedColumnFormula>REPLACE(INDEX(GroupVertices[Group], MATCH(Edges[[#This Row],[Vertex 1]],GroupVertices[Vertex],0)),1,1,"")</calculatedColumnFormula>
    </tableColumn>
    <tableColumn id="57" name="Vertex 2 Group" dataDxfId="103">
      <calculatedColumnFormula>REPLACE(INDEX(GroupVertices[Group], MATCH(Edges[[#This Row],[Vertex 2]],GroupVertices[Vertex],0)),1,1,"")</calculatedColumnFormula>
    </tableColumn>
    <tableColumn id="58" name="Sentiment List #1: List1 Word Count" dataDxfId="102"/>
    <tableColumn id="59" name="Sentiment List #1: List1 Word Percentage (%)" dataDxfId="101"/>
    <tableColumn id="60" name="Sentiment List #2: List2 Word Count" dataDxfId="100"/>
    <tableColumn id="61" name="Sentiment List #2: List2 Word Percentage (%)" dataDxfId="99"/>
    <tableColumn id="62" name="Sentiment List #3: List3 Word Count" dataDxfId="98"/>
    <tableColumn id="63" name="Sentiment List #3: List3 Word Percentage (%)" dataDxfId="97"/>
    <tableColumn id="64" name="Non-categorized Word Count" dataDxfId="96"/>
    <tableColumn id="65" name="Non-categorized Word Percentage (%)" dataDxfId="95"/>
    <tableColumn id="66" name="Edge Content Word Count" dataDxfId="9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26" dataDxfId="125">
  <autoFilter ref="A1:G9"/>
  <tableColumns count="7">
    <tableColumn id="1" name="Word" dataDxfId="124"/>
    <tableColumn id="2" name="Count" dataDxfId="123"/>
    <tableColumn id="3" name="Salience" dataDxfId="122"/>
    <tableColumn id="4" name="Group" dataDxfId="121"/>
    <tableColumn id="5" name="Word on Sentiment List #1: List1" dataDxfId="120"/>
    <tableColumn id="6" name="Word on Sentiment List #2: List2" dataDxfId="119"/>
    <tableColumn id="7" name="Word on Sentiment List #3: List3" dataDxfId="11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17" dataDxfId="116">
  <autoFilter ref="A1:L2"/>
  <tableColumns count="12">
    <tableColumn id="1" name="Word 1" dataDxfId="115"/>
    <tableColumn id="2" name="Word 2" dataDxfId="114"/>
    <tableColumn id="3" name="Count" dataDxfId="113"/>
    <tableColumn id="4" name="Salience" dataDxfId="112"/>
    <tableColumn id="5" name="Mutual Information" dataDxfId="111"/>
    <tableColumn id="6" name="Group" dataDxfId="110"/>
    <tableColumn id="7" name="Word1 on Sentiment List #1: List1" dataDxfId="109"/>
    <tableColumn id="8" name="Word1 on Sentiment List #2: List2" dataDxfId="108"/>
    <tableColumn id="9" name="Word1 on Sentiment List #3: List3" dataDxfId="107"/>
    <tableColumn id="10" name="Word2 on Sentiment List #1: List1" dataDxfId="106"/>
    <tableColumn id="11" name="Word2 on Sentiment List #2: List2" dataDxfId="105"/>
    <tableColumn id="12" name="Word2 on Sentiment List #3: List3" dataDxfId="104"/>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84" totalsRowShown="0" headerRowDxfId="75" dataDxfId="74">
  <autoFilter ref="A2:C84"/>
  <tableColumns count="3">
    <tableColumn id="1" name="Group 1" dataDxfId="73"/>
    <tableColumn id="2" name="Group 2" dataDxfId="72"/>
    <tableColumn id="3" name="Edges" dataDxfId="71"/>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68" dataDxfId="67">
  <autoFilter ref="A1:B7"/>
  <tableColumns count="2">
    <tableColumn id="1" name="Key" dataDxfId="57"/>
    <tableColumn id="2" name="Value" dataDxfId="56"/>
  </tableColumns>
  <tableStyleInfo name="NodeXL Table" showFirstColumn="0" showLastColumn="0" showRowStripes="1" showColumnStripes="0"/>
</table>
</file>

<file path=xl/tables/table15.xml><?xml version="1.0" encoding="utf-8"?>
<table xmlns="http://schemas.openxmlformats.org/spreadsheetml/2006/main" id="14" name="NetworkTopItems_1" displayName="NetworkTopItems_1" ref="A1:V2" totalsRowShown="0" headerRowDxfId="55" dataDxfId="54">
  <autoFilter ref="A1:V2"/>
  <tableColumns count="22">
    <tableColumn id="1" name="Top Words in Content in Entire Graph" dataDxfId="53"/>
    <tableColumn id="2" name="Entire Graph Count" dataDxfId="52"/>
    <tableColumn id="3" name="Top Words in Content in G1" dataDxfId="51"/>
    <tableColumn id="4" name="G1 Count" dataDxfId="50"/>
    <tableColumn id="5" name="Top Words in Content in G2" dataDxfId="49"/>
    <tableColumn id="6" name="G2 Count" dataDxfId="48"/>
    <tableColumn id="7" name="Top Words in Content in G3" dataDxfId="47"/>
    <tableColumn id="8" name="G3 Count" dataDxfId="46"/>
    <tableColumn id="9" name="Top Words in Content in G4" dataDxfId="45"/>
    <tableColumn id="10" name="G4 Count" dataDxfId="44"/>
    <tableColumn id="11" name="Top Words in Content in G5" dataDxfId="43"/>
    <tableColumn id="12" name="G5 Count" dataDxfId="42"/>
    <tableColumn id="13" name="Top Words in Content in G6" dataDxfId="41"/>
    <tableColumn id="14" name="G6 Count" dataDxfId="40"/>
    <tableColumn id="15" name="Top Words in Content in G7" dataDxfId="39"/>
    <tableColumn id="16" name="G7 Count" dataDxfId="38"/>
    <tableColumn id="17" name="Top Words in Content in G8" dataDxfId="37"/>
    <tableColumn id="18" name="G8 Count" dataDxfId="36"/>
    <tableColumn id="19" name="Top Words in Content in G9" dataDxfId="35"/>
    <tableColumn id="20" name="G9 Count" dataDxfId="34"/>
    <tableColumn id="21" name="Top Words in Content in G10" dataDxfId="33"/>
    <tableColumn id="22" name="G10 Count" dataDxfId="32"/>
  </tableColumns>
  <tableStyleInfo name="NodeXL Table" showFirstColumn="0" showLastColumn="0" showRowStripes="1" showColumnStripes="0"/>
</table>
</file>

<file path=xl/tables/table16.xml><?xml version="1.0" encoding="utf-8"?>
<table xmlns="http://schemas.openxmlformats.org/spreadsheetml/2006/main" id="16" name="NetworkTopItems_2" displayName="NetworkTopItems_2" ref="A4:V5" totalsRowShown="0" headerRowDxfId="30" dataDxfId="29">
  <autoFilter ref="A4:V5"/>
  <tableColumns count="22">
    <tableColumn id="1" name="Top Word Pairs in Content in Entire Graph" dataDxfId="28"/>
    <tableColumn id="2" name="Entire Graph Count" dataDxfId="27"/>
    <tableColumn id="3" name="Top Word Pairs in Content in G1" dataDxfId="26"/>
    <tableColumn id="4" name="G1 Count" dataDxfId="25"/>
    <tableColumn id="5" name="Top Word Pairs in Content in G2" dataDxfId="24"/>
    <tableColumn id="6" name="G2 Count" dataDxfId="23"/>
    <tableColumn id="7" name="Top Word Pairs in Content in G3" dataDxfId="22"/>
    <tableColumn id="8" name="G3 Count" dataDxfId="21"/>
    <tableColumn id="9" name="Top Word Pairs in Content in G4" dataDxfId="20"/>
    <tableColumn id="10" name="G4 Count" dataDxfId="19"/>
    <tableColumn id="11" name="Top Word Pairs in Content in G5" dataDxfId="18"/>
    <tableColumn id="12" name="G5 Count" dataDxfId="17"/>
    <tableColumn id="13" name="Top Word Pairs in Content in G6" dataDxfId="16"/>
    <tableColumn id="14" name="G6 Count" dataDxfId="15"/>
    <tableColumn id="15" name="Top Word Pairs in Content in G7" dataDxfId="14"/>
    <tableColumn id="16" name="G7 Count" dataDxfId="13"/>
    <tableColumn id="17" name="Top Word Pairs in Content in G8" dataDxfId="12"/>
    <tableColumn id="18" name="G8 Count" dataDxfId="11"/>
    <tableColumn id="19" name="Top Word Pairs in Content in G9" dataDxfId="10"/>
    <tableColumn id="20" name="G9 Count" dataDxfId="9"/>
    <tableColumn id="21" name="Top Word Pairs in Content in G10" dataDxfId="8"/>
    <tableColumn id="22" name="G10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N202" totalsRowShown="0" headerRowDxfId="273" dataDxfId="224">
  <autoFilter ref="A2:BN202"/>
  <tableColumns count="66">
    <tableColumn id="1" name="Vertex" dataDxfId="237"/>
    <tableColumn id="2" name="Color" dataDxfId="236"/>
    <tableColumn id="5" name="Shape" dataDxfId="235"/>
    <tableColumn id="6" name="Size" dataDxfId="234"/>
    <tableColumn id="4" name="Opacity" dataDxfId="159"/>
    <tableColumn id="7" name="Image File" dataDxfId="157"/>
    <tableColumn id="3" name="Visibility" dataDxfId="158"/>
    <tableColumn id="10" name="Label" dataDxfId="233"/>
    <tableColumn id="16" name="Label Fill Color" dataDxfId="232"/>
    <tableColumn id="9" name="Label Position" dataDxfId="153"/>
    <tableColumn id="8" name="Tooltip" dataDxfId="151"/>
    <tableColumn id="18" name="Layout Order" dataDxfId="152"/>
    <tableColumn id="13" name="X" dataDxfId="231"/>
    <tableColumn id="14" name="Y" dataDxfId="230"/>
    <tableColumn id="12" name="Locked?" dataDxfId="229"/>
    <tableColumn id="19" name="Polar R" dataDxfId="228"/>
    <tableColumn id="20" name="Polar Angle" dataDxfId="227"/>
    <tableColumn id="21" name="Degree" dataDxfId="64"/>
    <tableColumn id="22" name="In-Degree" dataDxfId="63"/>
    <tableColumn id="23" name="Out-Degree" dataDxfId="61"/>
    <tableColumn id="24" name="Betweenness Centrality" dataDxfId="62"/>
    <tableColumn id="25" name="Closeness Centrality" dataDxfId="66"/>
    <tableColumn id="26" name="Eigenvector Centrality" dataDxfId="65"/>
    <tableColumn id="15" name="PageRank" dataDxfId="60"/>
    <tableColumn id="27" name="Clustering Coefficient" dataDxfId="58"/>
    <tableColumn id="29" name="Reciprocated Vertex Pair Ratio" dataDxfId="59"/>
    <tableColumn id="11" name="ID" dataDxfId="226"/>
    <tableColumn id="28" name="Dynamic Filter" dataDxfId="225"/>
    <tableColumn id="17" name="Add Your Own Columns Here" dataDxfId="179"/>
    <tableColumn id="30" name="Name" dataDxfId="178"/>
    <tableColumn id="31" name="User ID" dataDxfId="177"/>
    <tableColumn id="32" name="Followed" dataDxfId="176"/>
    <tableColumn id="33" name="Followers" dataDxfId="175"/>
    <tableColumn id="34" name="Tweets" dataDxfId="174"/>
    <tableColumn id="35" name="Favorites" dataDxfId="173"/>
    <tableColumn id="36" name="Time Zone UTC Offset (Seconds)" dataDxfId="172"/>
    <tableColumn id="37" name="Description" dataDxfId="171"/>
    <tableColumn id="38" name="Location" dataDxfId="170"/>
    <tableColumn id="39" name="Web" dataDxfId="169"/>
    <tableColumn id="40" name="Time Zone" dataDxfId="168"/>
    <tableColumn id="41" name="Joined Twitter Date (UTC)" dataDxfId="167"/>
    <tableColumn id="42" name="Profile Banner Url" dataDxfId="166"/>
    <tableColumn id="43" name="Default Profile" dataDxfId="165"/>
    <tableColumn id="44" name="Default Profile Image" dataDxfId="164"/>
    <tableColumn id="45" name="Geo Enabled" dataDxfId="163"/>
    <tableColumn id="46" name="Language" dataDxfId="162"/>
    <tableColumn id="47" name="Listed Count" dataDxfId="161"/>
    <tableColumn id="48" name="Profile Background Image Url" dataDxfId="160"/>
    <tableColumn id="49" name="Verified" dataDxfId="156"/>
    <tableColumn id="50" name="Custom Menu Item Text" dataDxfId="155"/>
    <tableColumn id="51" name="Custom Menu Item Action" dataDxfId="154"/>
    <tableColumn id="52" name="Tweeted Search Term?" dataDxfId="143"/>
    <tableColumn id="53" name="Vertex Group" dataDxfId="93">
      <calculatedColumnFormula>REPLACE(INDEX(GroupVertices[Group], MATCH(Vertices[[#This Row],[Vertex]],GroupVertices[Vertex],0)),1,1,"")</calculatedColumnFormula>
    </tableColumn>
    <tableColumn id="54" name="Sentiment List #1: List1 Word Count" dataDxfId="92"/>
    <tableColumn id="55" name="Sentiment List #1: List1 Word Percentage (%)" dataDxfId="91"/>
    <tableColumn id="56" name="Sentiment List #2: List2 Word Count" dataDxfId="90"/>
    <tableColumn id="57" name="Sentiment List #2: List2 Word Percentage (%)" dataDxfId="89"/>
    <tableColumn id="58" name="Sentiment List #3: List3 Word Count" dataDxfId="88"/>
    <tableColumn id="59" name="Sentiment List #3: List3 Word Percentage (%)" dataDxfId="87"/>
    <tableColumn id="60" name="Non-categorized Word Count" dataDxfId="86"/>
    <tableColumn id="61" name="Non-categorized Word Percentage (%)" dataDxfId="85"/>
    <tableColumn id="62" name="Vertex Content Word Count" dataDxfId="4"/>
    <tableColumn id="63" name="Top Words in Content by Count" dataDxfId="3"/>
    <tableColumn id="64" name="Top Words in Content by Salience" dataDxfId="2"/>
    <tableColumn id="65" name="Top Word Pairs in Content by Count" dataDxfId="1"/>
    <tableColumn id="66" name="Top Word Pairs in Content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82" totalsRowShown="0" headerRowDxfId="272">
  <autoFilter ref="A2:AI82"/>
  <tableColumns count="35">
    <tableColumn id="1" name="Group" dataDxfId="150"/>
    <tableColumn id="2" name="Vertex Color" dataDxfId="149"/>
    <tableColumn id="3" name="Vertex Shape" dataDxfId="147"/>
    <tableColumn id="22" name="Visibility" dataDxfId="148"/>
    <tableColumn id="4" name="Collapsed?"/>
    <tableColumn id="18" name="Label" dataDxfId="271"/>
    <tableColumn id="20" name="Collapsed X"/>
    <tableColumn id="21" name="Collapsed Y"/>
    <tableColumn id="6" name="ID" dataDxfId="270"/>
    <tableColumn id="19" name="Collapsed Properties" dataDxfId="141"/>
    <tableColumn id="5" name="Vertices" dataDxfId="140"/>
    <tableColumn id="7" name="Unique Edges" dataDxfId="139"/>
    <tableColumn id="8" name="Edges With Duplicates" dataDxfId="138"/>
    <tableColumn id="9" name="Total Edges" dataDxfId="137"/>
    <tableColumn id="10" name="Self-Loops" dataDxfId="136"/>
    <tableColumn id="24" name="Reciprocated Vertex Pair Ratio" dataDxfId="135"/>
    <tableColumn id="25" name="Reciprocated Edge Ratio" dataDxfId="134"/>
    <tableColumn id="11" name="Connected Components" dataDxfId="133"/>
    <tableColumn id="12" name="Single-Vertex Connected Components" dataDxfId="132"/>
    <tableColumn id="13" name="Maximum Vertices in a Connected Component" dataDxfId="131"/>
    <tableColumn id="14" name="Maximum Edges in a Connected Component" dataDxfId="130"/>
    <tableColumn id="15" name="Maximum Geodesic Distance (Diameter)" dataDxfId="129"/>
    <tableColumn id="16" name="Average Geodesic Distance" dataDxfId="128"/>
    <tableColumn id="17" name="Graph Density" dataDxfId="84"/>
    <tableColumn id="23" name="Sentiment List #1: List1 Word Count" dataDxfId="83"/>
    <tableColumn id="26" name="Sentiment List #1: List1 Word Percentage (%)" dataDxfId="82"/>
    <tableColumn id="27" name="Sentiment List #2: List2 Word Count" dataDxfId="81"/>
    <tableColumn id="28" name="Sentiment List #2: List2 Word Percentage (%)" dataDxfId="80"/>
    <tableColumn id="29" name="Sentiment List #3: List3 Word Count" dataDxfId="79"/>
    <tableColumn id="30" name="Sentiment List #3: List3 Word Percentage (%)" dataDxfId="78"/>
    <tableColumn id="31" name="Non-categorized Word Count" dataDxfId="77"/>
    <tableColumn id="32" name="Non-categorized Word Percentage (%)" dataDxfId="76"/>
    <tableColumn id="33" name="Group Content Word Count" dataDxfId="31"/>
    <tableColumn id="34" name="Top Words in Content" dataDxfId="6"/>
    <tableColumn id="35" name="Top Word Pairs in Content"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1" totalsRowShown="0" headerRowDxfId="269" dataDxfId="268">
  <autoFilter ref="A1:C201"/>
  <tableColumns count="3">
    <tableColumn id="1" name="Group" dataDxfId="146"/>
    <tableColumn id="2" name="Vertex" dataDxfId="145"/>
    <tableColumn id="3" name="Vertex ID" dataDxfId="14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70"/>
    <tableColumn id="2" name="Value" dataDxfId="6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7"/>
    <tableColumn id="2" name="Degree Frequency" dataDxfId="266">
      <calculatedColumnFormula>COUNTIF(Vertices[Degree], "&gt;= " &amp; D2) - COUNTIF(Vertices[Degree], "&gt;=" &amp; D3)</calculatedColumnFormula>
    </tableColumn>
    <tableColumn id="3" name="In-Degree Bin" dataDxfId="265"/>
    <tableColumn id="4" name="In-Degree Frequency" dataDxfId="264">
      <calculatedColumnFormula>COUNTIF(Vertices[In-Degree], "&gt;= " &amp; F2) - COUNTIF(Vertices[In-Degree], "&gt;=" &amp; F3)</calculatedColumnFormula>
    </tableColumn>
    <tableColumn id="5" name="Out-Degree Bin" dataDxfId="263"/>
    <tableColumn id="6" name="Out-Degree Frequency" dataDxfId="262">
      <calculatedColumnFormula>COUNTIF(Vertices[Out-Degree], "&gt;= " &amp; H2) - COUNTIF(Vertices[Out-Degree], "&gt;=" &amp; H3)</calculatedColumnFormula>
    </tableColumn>
    <tableColumn id="7" name="Betweenness Centrality Bin" dataDxfId="261"/>
    <tableColumn id="8" name="Betweenness Centrality Frequency" dataDxfId="260">
      <calculatedColumnFormula>COUNTIF(Vertices[Betweenness Centrality], "&gt;= " &amp; J2) - COUNTIF(Vertices[Betweenness Centrality], "&gt;=" &amp; J3)</calculatedColumnFormula>
    </tableColumn>
    <tableColumn id="9" name="Closeness Centrality Bin" dataDxfId="259"/>
    <tableColumn id="10" name="Closeness Centrality Frequency" dataDxfId="258">
      <calculatedColumnFormula>COUNTIF(Vertices[Closeness Centrality], "&gt;= " &amp; L2) - COUNTIF(Vertices[Closeness Centrality], "&gt;=" &amp; L3)</calculatedColumnFormula>
    </tableColumn>
    <tableColumn id="11" name="Eigenvector Centrality Bin" dataDxfId="257"/>
    <tableColumn id="12" name="Eigenvector Centrality Frequency" dataDxfId="256">
      <calculatedColumnFormula>COUNTIF(Vertices[Eigenvector Centrality], "&gt;= " &amp; N2) - COUNTIF(Vertices[Eigenvector Centrality], "&gt;=" &amp; N3)</calculatedColumnFormula>
    </tableColumn>
    <tableColumn id="18" name="PageRank Bin" dataDxfId="255"/>
    <tableColumn id="17" name="PageRank Frequency" dataDxfId="254">
      <calculatedColumnFormula>COUNTIF(Vertices[Eigenvector Centrality], "&gt;= " &amp; P2) - COUNTIF(Vertices[Eigenvector Centrality], "&gt;=" &amp; P3)</calculatedColumnFormula>
    </tableColumn>
    <tableColumn id="13" name="Clustering Coefficient Bin" dataDxfId="253"/>
    <tableColumn id="14" name="Clustering Coefficient Frequency" dataDxfId="252">
      <calculatedColumnFormula>COUNTIF(Vertices[Clustering Coefficient], "&gt;= " &amp; R2) - COUNTIF(Vertices[Clustering Coefficient], "&gt;=" &amp; R3)</calculatedColumnFormula>
    </tableColumn>
    <tableColumn id="15" name="Dynamic Filter Bin" dataDxfId="251"/>
    <tableColumn id="16" name="Dynamic Filter Frequency" dataDxfId="25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3" totalsRowShown="0" headerRowDxfId="249">
  <autoFilter ref="J1:K23"/>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 Id="rId2" Type="http://schemas.openxmlformats.org/officeDocument/2006/relationships/table" Target="../tables/table16.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11"/>
  <sheetViews>
    <sheetView workbookViewId="0" topLeftCell="A1">
      <pane xSplit="2" ySplit="2" topLeftCell="C212" activePane="bottomRight" state="frozen"/>
      <selection pane="topRight" activeCell="C1" sqref="C1"/>
      <selection pane="bottomLeft" activeCell="A3" sqref="A3"/>
      <selection pane="bottomRight" activeCell="A3" sqref="A3"/>
    </sheetView>
  </sheetViews>
  <sheetFormatPr defaultColWidth="8.8515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574218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140625" style="0" bestFit="1" customWidth="1"/>
    <col min="59" max="59" width="22.421875" style="0" bestFit="1" customWidth="1"/>
    <col min="60" max="60" width="18.140625" style="0" bestFit="1" customWidth="1"/>
    <col min="61" max="61" width="22.421875" style="0" bestFit="1" customWidth="1"/>
    <col min="62" max="62" width="18.140625" style="0" bestFit="1" customWidth="1"/>
    <col min="63" max="63" width="22.421875" style="0" bestFit="1" customWidth="1"/>
    <col min="64" max="64" width="17.28125" style="0" bestFit="1" customWidth="1"/>
    <col min="65" max="65" width="20.421875" style="0" bestFit="1" customWidth="1"/>
    <col min="66" max="66" width="14.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205</v>
      </c>
      <c r="P2" s="7" t="s">
        <v>206</v>
      </c>
      <c r="Q2" s="7" t="s">
        <v>207</v>
      </c>
      <c r="R2" s="7" t="s">
        <v>208</v>
      </c>
      <c r="S2" s="7" t="s">
        <v>209</v>
      </c>
      <c r="T2" s="7" t="s">
        <v>210</v>
      </c>
      <c r="U2" s="7" t="s">
        <v>211</v>
      </c>
      <c r="V2" s="7" t="s">
        <v>212</v>
      </c>
      <c r="W2" s="7" t="s">
        <v>213</v>
      </c>
      <c r="X2" s="7" t="s">
        <v>214</v>
      </c>
      <c r="Y2" s="7" t="s">
        <v>215</v>
      </c>
      <c r="Z2" s="7" t="s">
        <v>216</v>
      </c>
      <c r="AA2" s="7" t="s">
        <v>217</v>
      </c>
      <c r="AB2" s="7" t="s">
        <v>218</v>
      </c>
      <c r="AC2" s="7" t="s">
        <v>219</v>
      </c>
      <c r="AD2" s="7" t="s">
        <v>220</v>
      </c>
      <c r="AE2" s="7" t="s">
        <v>221</v>
      </c>
      <c r="AF2" s="7" t="s">
        <v>222</v>
      </c>
      <c r="AG2" s="7" t="s">
        <v>223</v>
      </c>
      <c r="AH2" s="7" t="s">
        <v>224</v>
      </c>
      <c r="AI2" s="7" t="s">
        <v>225</v>
      </c>
      <c r="AJ2" s="7" t="s">
        <v>226</v>
      </c>
      <c r="AK2" s="7" t="s">
        <v>227</v>
      </c>
      <c r="AL2" s="7" t="s">
        <v>228</v>
      </c>
      <c r="AM2" s="7" t="s">
        <v>229</v>
      </c>
      <c r="AN2" s="7" t="s">
        <v>230</v>
      </c>
      <c r="AO2" s="7" t="s">
        <v>231</v>
      </c>
      <c r="AP2" s="7" t="s">
        <v>232</v>
      </c>
      <c r="AQ2" s="7" t="s">
        <v>233</v>
      </c>
      <c r="AR2" s="7" t="s">
        <v>234</v>
      </c>
      <c r="AS2" s="7" t="s">
        <v>235</v>
      </c>
      <c r="AT2" s="7" t="s">
        <v>236</v>
      </c>
      <c r="AU2" s="7" t="s">
        <v>237</v>
      </c>
      <c r="AV2" s="7" t="s">
        <v>238</v>
      </c>
      <c r="AW2" s="7" t="s">
        <v>239</v>
      </c>
      <c r="AX2" s="7" t="s">
        <v>240</v>
      </c>
      <c r="AY2" s="7" t="s">
        <v>241</v>
      </c>
      <c r="AZ2" s="7" t="s">
        <v>242</v>
      </c>
      <c r="BA2" s="7" t="s">
        <v>243</v>
      </c>
      <c r="BB2" s="7" t="s">
        <v>244</v>
      </c>
      <c r="BC2" t="s">
        <v>1652</v>
      </c>
      <c r="BD2" s="7" t="s">
        <v>1746</v>
      </c>
      <c r="BE2" s="7" t="s">
        <v>1747</v>
      </c>
      <c r="BF2" s="50" t="s">
        <v>1775</v>
      </c>
      <c r="BG2" s="50" t="s">
        <v>1776</v>
      </c>
      <c r="BH2" s="50" t="s">
        <v>1777</v>
      </c>
      <c r="BI2" s="50" t="s">
        <v>1778</v>
      </c>
      <c r="BJ2" s="50" t="s">
        <v>1779</v>
      </c>
      <c r="BK2" s="50" t="s">
        <v>1780</v>
      </c>
      <c r="BL2" s="50" t="s">
        <v>1781</v>
      </c>
      <c r="BM2" s="50" t="s">
        <v>1782</v>
      </c>
      <c r="BN2" s="50" t="s">
        <v>1783</v>
      </c>
    </row>
    <row r="3" spans="1:66" ht="15" customHeight="1">
      <c r="A3" s="61" t="s">
        <v>246</v>
      </c>
      <c r="B3" s="61" t="s">
        <v>385</v>
      </c>
      <c r="C3" s="62"/>
      <c r="D3" s="63"/>
      <c r="E3" s="64"/>
      <c r="F3" s="65"/>
      <c r="G3" s="62"/>
      <c r="H3" s="66"/>
      <c r="I3" s="67"/>
      <c r="J3" s="67"/>
      <c r="K3" s="31" t="s">
        <v>65</v>
      </c>
      <c r="L3" s="68">
        <v>3</v>
      </c>
      <c r="M3" s="68"/>
      <c r="N3" s="69"/>
      <c r="O3" s="76" t="s">
        <v>448</v>
      </c>
      <c r="P3" s="78">
        <v>44958.57034722222</v>
      </c>
      <c r="Q3" s="76" t="s">
        <v>449</v>
      </c>
      <c r="R3" s="76"/>
      <c r="S3" s="76"/>
      <c r="T3" s="76"/>
      <c r="U3" s="76"/>
      <c r="V3" s="82" t="str">
        <f>HYPERLINK("https://pbs.twimg.com/profile_images/1533665358137241600/TFY8i8m8_normal.jpg")</f>
        <v>https://pbs.twimg.com/profile_images/1533665358137241600/TFY8i8m8_normal.jpg</v>
      </c>
      <c r="W3" s="78">
        <v>44958.57034722222</v>
      </c>
      <c r="X3" s="83">
        <v>44958</v>
      </c>
      <c r="Y3" s="85" t="s">
        <v>575</v>
      </c>
      <c r="Z3" s="82" t="str">
        <f>HYPERLINK("https://twitter.com/matthewtcone/status/1620779326038761475")</f>
        <v>https://twitter.com/matthewtcone/status/1620779326038761475</v>
      </c>
      <c r="AA3" s="76"/>
      <c r="AB3" s="76"/>
      <c r="AC3" s="85" t="s">
        <v>731</v>
      </c>
      <c r="AD3" s="85" t="s">
        <v>886</v>
      </c>
      <c r="AE3" s="76" t="b">
        <v>0</v>
      </c>
      <c r="AF3" s="76">
        <v>1157</v>
      </c>
      <c r="AG3" s="85" t="s">
        <v>917</v>
      </c>
      <c r="AH3" s="76" t="b">
        <v>0</v>
      </c>
      <c r="AI3" s="76" t="s">
        <v>950</v>
      </c>
      <c r="AJ3" s="76"/>
      <c r="AK3" s="85" t="s">
        <v>916</v>
      </c>
      <c r="AL3" s="76" t="b">
        <v>0</v>
      </c>
      <c r="AM3" s="76">
        <v>125</v>
      </c>
      <c r="AN3" s="85" t="s">
        <v>916</v>
      </c>
      <c r="AO3" s="85" t="s">
        <v>957</v>
      </c>
      <c r="AP3" s="76" t="b">
        <v>0</v>
      </c>
      <c r="AQ3" s="85" t="s">
        <v>886</v>
      </c>
      <c r="AR3" s="76" t="s">
        <v>447</v>
      </c>
      <c r="AS3" s="76">
        <v>0</v>
      </c>
      <c r="AT3" s="76">
        <v>0</v>
      </c>
      <c r="AU3" s="76"/>
      <c r="AV3" s="76"/>
      <c r="AW3" s="76"/>
      <c r="AX3" s="76"/>
      <c r="AY3" s="76"/>
      <c r="AZ3" s="76"/>
      <c r="BA3" s="76"/>
      <c r="BB3" s="76"/>
      <c r="BC3">
        <v>1</v>
      </c>
      <c r="BD3" s="76" t="str">
        <f>REPLACE(INDEX(GroupVertices[Group],MATCH(Edges[[#This Row],[Vertex 1]],GroupVertices[Vertex],0)),1,1,"")</f>
        <v>2</v>
      </c>
      <c r="BE3" s="76" t="str">
        <f>REPLACE(INDEX(GroupVertices[Group],MATCH(Edges[[#This Row],[Vertex 2]],GroupVertices[Vertex],0)),1,1,"")</f>
        <v>2</v>
      </c>
      <c r="BF3" s="31"/>
      <c r="BG3" s="31"/>
      <c r="BH3" s="31"/>
      <c r="BI3" s="31"/>
      <c r="BJ3" s="31"/>
      <c r="BK3" s="31"/>
      <c r="BL3" s="31"/>
      <c r="BM3" s="31"/>
      <c r="BN3" s="31"/>
    </row>
    <row r="4" spans="1:66" ht="15" customHeight="1">
      <c r="A4" s="61" t="s">
        <v>245</v>
      </c>
      <c r="B4" s="61" t="s">
        <v>385</v>
      </c>
      <c r="C4" s="62"/>
      <c r="D4" s="63"/>
      <c r="E4" s="64"/>
      <c r="F4" s="65"/>
      <c r="G4" s="62"/>
      <c r="H4" s="66"/>
      <c r="I4" s="67"/>
      <c r="J4" s="67"/>
      <c r="K4" s="31" t="s">
        <v>65</v>
      </c>
      <c r="L4" s="75">
        <v>4</v>
      </c>
      <c r="M4" s="75"/>
      <c r="N4" s="69"/>
      <c r="O4" s="77" t="s">
        <v>445</v>
      </c>
      <c r="P4" s="79">
        <v>44961.57616898148</v>
      </c>
      <c r="Q4" s="77" t="s">
        <v>449</v>
      </c>
      <c r="R4" s="77"/>
      <c r="S4" s="77"/>
      <c r="T4" s="77"/>
      <c r="U4" s="77"/>
      <c r="V4" s="80" t="str">
        <f>HYPERLINK("https://pbs.twimg.com/profile_images/1598447185393090560/tExhoMkQ_normal.jpg")</f>
        <v>https://pbs.twimg.com/profile_images/1598447185393090560/tExhoMkQ_normal.jpg</v>
      </c>
      <c r="W4" s="79">
        <v>44961.57616898148</v>
      </c>
      <c r="X4" s="84">
        <v>44961</v>
      </c>
      <c r="Y4" s="81" t="s">
        <v>574</v>
      </c>
      <c r="Z4" s="80" t="str">
        <f>HYPERLINK("https://twitter.com/cybella45/status/1621868598976475136")</f>
        <v>https://twitter.com/cybella45/status/1621868598976475136</v>
      </c>
      <c r="AA4" s="77"/>
      <c r="AB4" s="77"/>
      <c r="AC4" s="81" t="s">
        <v>730</v>
      </c>
      <c r="AD4" s="77"/>
      <c r="AE4" s="77" t="b">
        <v>0</v>
      </c>
      <c r="AF4" s="77">
        <v>0</v>
      </c>
      <c r="AG4" s="81" t="s">
        <v>916</v>
      </c>
      <c r="AH4" s="77" t="b">
        <v>0</v>
      </c>
      <c r="AI4" s="77" t="s">
        <v>950</v>
      </c>
      <c r="AJ4" s="77"/>
      <c r="AK4" s="81" t="s">
        <v>916</v>
      </c>
      <c r="AL4" s="77" t="b">
        <v>0</v>
      </c>
      <c r="AM4" s="77">
        <v>125</v>
      </c>
      <c r="AN4" s="81" t="s">
        <v>731</v>
      </c>
      <c r="AO4" s="81" t="s">
        <v>957</v>
      </c>
      <c r="AP4" s="77" t="b">
        <v>0</v>
      </c>
      <c r="AQ4" s="81" t="s">
        <v>731</v>
      </c>
      <c r="AR4" s="77" t="s">
        <v>207</v>
      </c>
      <c r="AS4" s="77">
        <v>0</v>
      </c>
      <c r="AT4" s="77">
        <v>0</v>
      </c>
      <c r="AU4" s="77"/>
      <c r="AV4" s="77"/>
      <c r="AW4" s="77"/>
      <c r="AX4" s="77"/>
      <c r="AY4" s="77"/>
      <c r="AZ4" s="77"/>
      <c r="BA4" s="77"/>
      <c r="BB4" s="77"/>
      <c r="BC4">
        <v>1</v>
      </c>
      <c r="BD4" s="76" t="str">
        <f>REPLACE(INDEX(GroupVertices[Group],MATCH(Edges[[#This Row],[Vertex 1]],GroupVertices[Vertex],0)),1,1,"")</f>
        <v>2</v>
      </c>
      <c r="BE4" s="76" t="str">
        <f>REPLACE(INDEX(GroupVertices[Group],MATCH(Edges[[#This Row],[Vertex 2]],GroupVertices[Vertex],0)),1,1,"")</f>
        <v>2</v>
      </c>
      <c r="BF4" s="31"/>
      <c r="BG4" s="31"/>
      <c r="BH4" s="31"/>
      <c r="BI4" s="31"/>
      <c r="BJ4" s="31"/>
      <c r="BK4" s="31"/>
      <c r="BL4" s="31"/>
      <c r="BM4" s="31"/>
      <c r="BN4" s="31"/>
    </row>
    <row r="5" spans="1:66" ht="15">
      <c r="A5" s="61" t="s">
        <v>246</v>
      </c>
      <c r="B5" s="61" t="s">
        <v>386</v>
      </c>
      <c r="C5" s="62"/>
      <c r="D5" s="63"/>
      <c r="E5" s="64"/>
      <c r="F5" s="65"/>
      <c r="G5" s="62"/>
      <c r="H5" s="66"/>
      <c r="I5" s="67"/>
      <c r="J5" s="67"/>
      <c r="K5" s="31" t="s">
        <v>65</v>
      </c>
      <c r="L5" s="75">
        <v>5</v>
      </c>
      <c r="M5" s="75"/>
      <c r="N5" s="69"/>
      <c r="O5" s="77" t="s">
        <v>446</v>
      </c>
      <c r="P5" s="79">
        <v>44958.57034722222</v>
      </c>
      <c r="Q5" s="77" t="s">
        <v>449</v>
      </c>
      <c r="R5" s="77"/>
      <c r="S5" s="77"/>
      <c r="T5" s="77"/>
      <c r="U5" s="77"/>
      <c r="V5" s="80" t="str">
        <f>HYPERLINK("https://pbs.twimg.com/profile_images/1533665358137241600/TFY8i8m8_normal.jpg")</f>
        <v>https://pbs.twimg.com/profile_images/1533665358137241600/TFY8i8m8_normal.jpg</v>
      </c>
      <c r="W5" s="79">
        <v>44958.57034722222</v>
      </c>
      <c r="X5" s="84">
        <v>44958</v>
      </c>
      <c r="Y5" s="81" t="s">
        <v>575</v>
      </c>
      <c r="Z5" s="80" t="str">
        <f>HYPERLINK("https://twitter.com/matthewtcone/status/1620779326038761475")</f>
        <v>https://twitter.com/matthewtcone/status/1620779326038761475</v>
      </c>
      <c r="AA5" s="77"/>
      <c r="AB5" s="77"/>
      <c r="AC5" s="81" t="s">
        <v>731</v>
      </c>
      <c r="AD5" s="81" t="s">
        <v>886</v>
      </c>
      <c r="AE5" s="77" t="b">
        <v>0</v>
      </c>
      <c r="AF5" s="77">
        <v>1157</v>
      </c>
      <c r="AG5" s="81" t="s">
        <v>917</v>
      </c>
      <c r="AH5" s="77" t="b">
        <v>0</v>
      </c>
      <c r="AI5" s="77" t="s">
        <v>950</v>
      </c>
      <c r="AJ5" s="77"/>
      <c r="AK5" s="81" t="s">
        <v>916</v>
      </c>
      <c r="AL5" s="77" t="b">
        <v>0</v>
      </c>
      <c r="AM5" s="77">
        <v>125</v>
      </c>
      <c r="AN5" s="81" t="s">
        <v>916</v>
      </c>
      <c r="AO5" s="81" t="s">
        <v>957</v>
      </c>
      <c r="AP5" s="77" t="b">
        <v>0</v>
      </c>
      <c r="AQ5" s="81" t="s">
        <v>886</v>
      </c>
      <c r="AR5" s="77" t="s">
        <v>447</v>
      </c>
      <c r="AS5" s="77">
        <v>0</v>
      </c>
      <c r="AT5" s="77">
        <v>0</v>
      </c>
      <c r="AU5" s="77"/>
      <c r="AV5" s="77"/>
      <c r="AW5" s="77"/>
      <c r="AX5" s="77"/>
      <c r="AY5" s="77"/>
      <c r="AZ5" s="77"/>
      <c r="BA5" s="77"/>
      <c r="BB5" s="77"/>
      <c r="BC5">
        <v>1</v>
      </c>
      <c r="BD5" s="76" t="str">
        <f>REPLACE(INDEX(GroupVertices[Group],MATCH(Edges[[#This Row],[Vertex 1]],GroupVertices[Vertex],0)),1,1,"")</f>
        <v>2</v>
      </c>
      <c r="BE5" s="76" t="str">
        <f>REPLACE(INDEX(GroupVertices[Group],MATCH(Edges[[#This Row],[Vertex 2]],GroupVertices[Vertex],0)),1,1,"")</f>
        <v>2</v>
      </c>
      <c r="BF5" s="31"/>
      <c r="BG5" s="31"/>
      <c r="BH5" s="31"/>
      <c r="BI5" s="31"/>
      <c r="BJ5" s="31"/>
      <c r="BK5" s="31"/>
      <c r="BL5" s="31"/>
      <c r="BM5" s="31"/>
      <c r="BN5" s="31"/>
    </row>
    <row r="6" spans="1:66" ht="15">
      <c r="A6" s="61" t="s">
        <v>245</v>
      </c>
      <c r="B6" s="61" t="s">
        <v>246</v>
      </c>
      <c r="C6" s="62"/>
      <c r="D6" s="63"/>
      <c r="E6" s="64"/>
      <c r="F6" s="65"/>
      <c r="G6" s="62"/>
      <c r="H6" s="66"/>
      <c r="I6" s="67"/>
      <c r="J6" s="67"/>
      <c r="K6" s="31" t="s">
        <v>65</v>
      </c>
      <c r="L6" s="75">
        <v>6</v>
      </c>
      <c r="M6" s="75"/>
      <c r="N6" s="69"/>
      <c r="O6" s="77" t="s">
        <v>447</v>
      </c>
      <c r="P6" s="79">
        <v>44961.57616898148</v>
      </c>
      <c r="Q6" s="77" t="s">
        <v>449</v>
      </c>
      <c r="R6" s="77"/>
      <c r="S6" s="77"/>
      <c r="T6" s="77"/>
      <c r="U6" s="77"/>
      <c r="V6" s="80" t="str">
        <f>HYPERLINK("https://pbs.twimg.com/profile_images/1598447185393090560/tExhoMkQ_normal.jpg")</f>
        <v>https://pbs.twimg.com/profile_images/1598447185393090560/tExhoMkQ_normal.jpg</v>
      </c>
      <c r="W6" s="79">
        <v>44961.57616898148</v>
      </c>
      <c r="X6" s="84">
        <v>44961</v>
      </c>
      <c r="Y6" s="81" t="s">
        <v>574</v>
      </c>
      <c r="Z6" s="80" t="str">
        <f>HYPERLINK("https://twitter.com/cybella45/status/1621868598976475136")</f>
        <v>https://twitter.com/cybella45/status/1621868598976475136</v>
      </c>
      <c r="AA6" s="77"/>
      <c r="AB6" s="77"/>
      <c r="AC6" s="81" t="s">
        <v>730</v>
      </c>
      <c r="AD6" s="77"/>
      <c r="AE6" s="77" t="b">
        <v>0</v>
      </c>
      <c r="AF6" s="77">
        <v>0</v>
      </c>
      <c r="AG6" s="81" t="s">
        <v>916</v>
      </c>
      <c r="AH6" s="77" t="b">
        <v>0</v>
      </c>
      <c r="AI6" s="77" t="s">
        <v>950</v>
      </c>
      <c r="AJ6" s="77"/>
      <c r="AK6" s="81" t="s">
        <v>916</v>
      </c>
      <c r="AL6" s="77" t="b">
        <v>0</v>
      </c>
      <c r="AM6" s="77">
        <v>125</v>
      </c>
      <c r="AN6" s="81" t="s">
        <v>731</v>
      </c>
      <c r="AO6" s="81" t="s">
        <v>957</v>
      </c>
      <c r="AP6" s="77" t="b">
        <v>0</v>
      </c>
      <c r="AQ6" s="81" t="s">
        <v>731</v>
      </c>
      <c r="AR6" s="77" t="s">
        <v>207</v>
      </c>
      <c r="AS6" s="77">
        <v>0</v>
      </c>
      <c r="AT6" s="77">
        <v>0</v>
      </c>
      <c r="AU6" s="77"/>
      <c r="AV6" s="77"/>
      <c r="AW6" s="77"/>
      <c r="AX6" s="77"/>
      <c r="AY6" s="77"/>
      <c r="AZ6" s="77"/>
      <c r="BA6" s="77"/>
      <c r="BB6" s="77"/>
      <c r="BC6">
        <v>1</v>
      </c>
      <c r="BD6" s="76" t="str">
        <f>REPLACE(INDEX(GroupVertices[Group],MATCH(Edges[[#This Row],[Vertex 1]],GroupVertices[Vertex],0)),1,1,"")</f>
        <v>2</v>
      </c>
      <c r="BE6" s="76" t="str">
        <f>REPLACE(INDEX(GroupVertices[Group],MATCH(Edges[[#This Row],[Vertex 2]],GroupVertices[Vertex],0)),1,1,"")</f>
        <v>2</v>
      </c>
      <c r="BF6" s="31"/>
      <c r="BG6" s="31"/>
      <c r="BH6" s="31"/>
      <c r="BI6" s="31"/>
      <c r="BJ6" s="31"/>
      <c r="BK6" s="31"/>
      <c r="BL6" s="31"/>
      <c r="BM6" s="31"/>
      <c r="BN6" s="31"/>
    </row>
    <row r="7" spans="1:66" ht="15">
      <c r="A7" s="61" t="s">
        <v>245</v>
      </c>
      <c r="B7" s="61" t="s">
        <v>386</v>
      </c>
      <c r="C7" s="62"/>
      <c r="D7" s="63"/>
      <c r="E7" s="64"/>
      <c r="F7" s="65"/>
      <c r="G7" s="62"/>
      <c r="H7" s="66"/>
      <c r="I7" s="67"/>
      <c r="J7" s="67"/>
      <c r="K7" s="31" t="s">
        <v>65</v>
      </c>
      <c r="L7" s="75">
        <v>7</v>
      </c>
      <c r="M7" s="75"/>
      <c r="N7" s="69"/>
      <c r="O7" s="77" t="s">
        <v>446</v>
      </c>
      <c r="P7" s="79">
        <v>44961.57616898148</v>
      </c>
      <c r="Q7" s="77" t="s">
        <v>449</v>
      </c>
      <c r="R7" s="77"/>
      <c r="S7" s="77"/>
      <c r="T7" s="77"/>
      <c r="U7" s="77"/>
      <c r="V7" s="80" t="str">
        <f>HYPERLINK("https://pbs.twimg.com/profile_images/1598447185393090560/tExhoMkQ_normal.jpg")</f>
        <v>https://pbs.twimg.com/profile_images/1598447185393090560/tExhoMkQ_normal.jpg</v>
      </c>
      <c r="W7" s="79">
        <v>44961.57616898148</v>
      </c>
      <c r="X7" s="84">
        <v>44961</v>
      </c>
      <c r="Y7" s="81" t="s">
        <v>574</v>
      </c>
      <c r="Z7" s="80" t="str">
        <f>HYPERLINK("https://twitter.com/cybella45/status/1621868598976475136")</f>
        <v>https://twitter.com/cybella45/status/1621868598976475136</v>
      </c>
      <c r="AA7" s="77"/>
      <c r="AB7" s="77"/>
      <c r="AC7" s="81" t="s">
        <v>730</v>
      </c>
      <c r="AD7" s="77"/>
      <c r="AE7" s="77" t="b">
        <v>0</v>
      </c>
      <c r="AF7" s="77">
        <v>0</v>
      </c>
      <c r="AG7" s="81" t="s">
        <v>916</v>
      </c>
      <c r="AH7" s="77" t="b">
        <v>0</v>
      </c>
      <c r="AI7" s="77" t="s">
        <v>950</v>
      </c>
      <c r="AJ7" s="77"/>
      <c r="AK7" s="81" t="s">
        <v>916</v>
      </c>
      <c r="AL7" s="77" t="b">
        <v>0</v>
      </c>
      <c r="AM7" s="77">
        <v>125</v>
      </c>
      <c r="AN7" s="81" t="s">
        <v>731</v>
      </c>
      <c r="AO7" s="81" t="s">
        <v>957</v>
      </c>
      <c r="AP7" s="77" t="b">
        <v>0</v>
      </c>
      <c r="AQ7" s="81" t="s">
        <v>731</v>
      </c>
      <c r="AR7" s="77" t="s">
        <v>207</v>
      </c>
      <c r="AS7" s="77">
        <v>0</v>
      </c>
      <c r="AT7" s="77">
        <v>0</v>
      </c>
      <c r="AU7" s="77"/>
      <c r="AV7" s="77"/>
      <c r="AW7" s="77"/>
      <c r="AX7" s="77"/>
      <c r="AY7" s="77"/>
      <c r="AZ7" s="77"/>
      <c r="BA7" s="77"/>
      <c r="BB7" s="77"/>
      <c r="BC7">
        <v>1</v>
      </c>
      <c r="BD7" s="76" t="str">
        <f>REPLACE(INDEX(GroupVertices[Group],MATCH(Edges[[#This Row],[Vertex 1]],GroupVertices[Vertex],0)),1,1,"")</f>
        <v>2</v>
      </c>
      <c r="BE7" s="76" t="str">
        <f>REPLACE(INDEX(GroupVertices[Group],MATCH(Edges[[#This Row],[Vertex 2]],GroupVertices[Vertex],0)),1,1,"")</f>
        <v>2</v>
      </c>
      <c r="BF7" s="31"/>
      <c r="BG7" s="31"/>
      <c r="BH7" s="31"/>
      <c r="BI7" s="31"/>
      <c r="BJ7" s="31"/>
      <c r="BK7" s="31"/>
      <c r="BL7" s="31"/>
      <c r="BM7" s="31"/>
      <c r="BN7" s="31"/>
    </row>
    <row r="8" spans="1:66" ht="15">
      <c r="A8" s="61" t="s">
        <v>247</v>
      </c>
      <c r="B8" s="61" t="s">
        <v>247</v>
      </c>
      <c r="C8" s="62"/>
      <c r="D8" s="63"/>
      <c r="E8" s="64"/>
      <c r="F8" s="65"/>
      <c r="G8" s="62"/>
      <c r="H8" s="66"/>
      <c r="I8" s="67"/>
      <c r="J8" s="67"/>
      <c r="K8" s="31" t="s">
        <v>65</v>
      </c>
      <c r="L8" s="75">
        <v>8</v>
      </c>
      <c r="M8" s="75"/>
      <c r="N8" s="69"/>
      <c r="O8" s="77" t="s">
        <v>207</v>
      </c>
      <c r="P8" s="79">
        <v>44961.63034722222</v>
      </c>
      <c r="Q8" s="77" t="s">
        <v>450</v>
      </c>
      <c r="R8" s="80" t="str">
        <f>HYPERLINK("https://digitallyliterate.net/dl-357/")</f>
        <v>https://digitallyliterate.net/dl-357/</v>
      </c>
      <c r="S8" s="77" t="s">
        <v>548</v>
      </c>
      <c r="T8" s="77"/>
      <c r="U8" s="77"/>
      <c r="V8" s="80" t="str">
        <f>HYPERLINK("https://pbs.twimg.com/profile_images/1589261180744482817/npshtqVK_normal.jpg")</f>
        <v>https://pbs.twimg.com/profile_images/1589261180744482817/npshtqVK_normal.jpg</v>
      </c>
      <c r="W8" s="79">
        <v>44961.63034722222</v>
      </c>
      <c r="X8" s="84">
        <v>44961</v>
      </c>
      <c r="Y8" s="81" t="s">
        <v>576</v>
      </c>
      <c r="Z8" s="80" t="str">
        <f>HYPERLINK("https://twitter.com/wiobyrne/status/1621888232177762309")</f>
        <v>https://twitter.com/wiobyrne/status/1621888232177762309</v>
      </c>
      <c r="AA8" s="77"/>
      <c r="AB8" s="77"/>
      <c r="AC8" s="81" t="s">
        <v>732</v>
      </c>
      <c r="AD8" s="77"/>
      <c r="AE8" s="77" t="b">
        <v>0</v>
      </c>
      <c r="AF8" s="77">
        <v>0</v>
      </c>
      <c r="AG8" s="81" t="s">
        <v>916</v>
      </c>
      <c r="AH8" s="77" t="b">
        <v>0</v>
      </c>
      <c r="AI8" s="77" t="s">
        <v>950</v>
      </c>
      <c r="AJ8" s="77"/>
      <c r="AK8" s="81" t="s">
        <v>916</v>
      </c>
      <c r="AL8" s="77" t="b">
        <v>0</v>
      </c>
      <c r="AM8" s="77">
        <v>1</v>
      </c>
      <c r="AN8" s="81" t="s">
        <v>916</v>
      </c>
      <c r="AO8" s="81" t="s">
        <v>958</v>
      </c>
      <c r="AP8" s="77" t="b">
        <v>0</v>
      </c>
      <c r="AQ8" s="81" t="s">
        <v>732</v>
      </c>
      <c r="AR8" s="77" t="s">
        <v>207</v>
      </c>
      <c r="AS8" s="77">
        <v>0</v>
      </c>
      <c r="AT8" s="77">
        <v>0</v>
      </c>
      <c r="AU8" s="77"/>
      <c r="AV8" s="77"/>
      <c r="AW8" s="77"/>
      <c r="AX8" s="77"/>
      <c r="AY8" s="77"/>
      <c r="AZ8" s="77"/>
      <c r="BA8" s="77"/>
      <c r="BB8" s="77"/>
      <c r="BC8">
        <v>1</v>
      </c>
      <c r="BD8" s="76" t="str">
        <f>REPLACE(INDEX(GroupVertices[Group],MATCH(Edges[[#This Row],[Vertex 1]],GroupVertices[Vertex],0)),1,1,"")</f>
        <v>80</v>
      </c>
      <c r="BE8" s="76" t="str">
        <f>REPLACE(INDEX(GroupVertices[Group],MATCH(Edges[[#This Row],[Vertex 2]],GroupVertices[Vertex],0)),1,1,"")</f>
        <v>80</v>
      </c>
      <c r="BF8" s="31"/>
      <c r="BG8" s="31"/>
      <c r="BH8" s="31"/>
      <c r="BI8" s="31"/>
      <c r="BJ8" s="31"/>
      <c r="BK8" s="31"/>
      <c r="BL8" s="31"/>
      <c r="BM8" s="31"/>
      <c r="BN8" s="31"/>
    </row>
    <row r="9" spans="1:66" ht="15">
      <c r="A9" s="61" t="s">
        <v>248</v>
      </c>
      <c r="B9" s="61" t="s">
        <v>387</v>
      </c>
      <c r="C9" s="62"/>
      <c r="D9" s="63"/>
      <c r="E9" s="64"/>
      <c r="F9" s="65"/>
      <c r="G9" s="62"/>
      <c r="H9" s="66"/>
      <c r="I9" s="67"/>
      <c r="J9" s="67"/>
      <c r="K9" s="31" t="s">
        <v>65</v>
      </c>
      <c r="L9" s="75">
        <v>9</v>
      </c>
      <c r="M9" s="75"/>
      <c r="N9" s="69"/>
      <c r="O9" s="77" t="s">
        <v>448</v>
      </c>
      <c r="P9" s="79">
        <v>44961.69116898148</v>
      </c>
      <c r="Q9" s="77" t="s">
        <v>451</v>
      </c>
      <c r="R9" s="77"/>
      <c r="S9" s="77"/>
      <c r="T9" s="81" t="s">
        <v>428</v>
      </c>
      <c r="U9" s="77"/>
      <c r="V9" s="80" t="str">
        <f>HYPERLINK("https://pbs.twimg.com/profile_images/1530237686350503945/Fpjoz65k_normal.jpg")</f>
        <v>https://pbs.twimg.com/profile_images/1530237686350503945/Fpjoz65k_normal.jpg</v>
      </c>
      <c r="W9" s="79">
        <v>44961.69116898148</v>
      </c>
      <c r="X9" s="84">
        <v>44961</v>
      </c>
      <c r="Y9" s="81" t="s">
        <v>577</v>
      </c>
      <c r="Z9" s="80" t="str">
        <f>HYPERLINK("https://twitter.com/arnitry/status/1621910272863526913")</f>
        <v>https://twitter.com/arnitry/status/1621910272863526913</v>
      </c>
      <c r="AA9" s="77"/>
      <c r="AB9" s="77"/>
      <c r="AC9" s="81" t="s">
        <v>733</v>
      </c>
      <c r="AD9" s="77"/>
      <c r="AE9" s="77" t="b">
        <v>0</v>
      </c>
      <c r="AF9" s="77">
        <v>0</v>
      </c>
      <c r="AG9" s="81" t="s">
        <v>916</v>
      </c>
      <c r="AH9" s="77" t="b">
        <v>0</v>
      </c>
      <c r="AI9" s="77" t="s">
        <v>950</v>
      </c>
      <c r="AJ9" s="77"/>
      <c r="AK9" s="81" t="s">
        <v>916</v>
      </c>
      <c r="AL9" s="77" t="b">
        <v>0</v>
      </c>
      <c r="AM9" s="77">
        <v>0</v>
      </c>
      <c r="AN9" s="81" t="s">
        <v>916</v>
      </c>
      <c r="AO9" s="81" t="s">
        <v>958</v>
      </c>
      <c r="AP9" s="77" t="b">
        <v>0</v>
      </c>
      <c r="AQ9" s="81" t="s">
        <v>733</v>
      </c>
      <c r="AR9" s="77" t="s">
        <v>207</v>
      </c>
      <c r="AS9" s="77">
        <v>0</v>
      </c>
      <c r="AT9" s="77">
        <v>0</v>
      </c>
      <c r="AU9" s="77"/>
      <c r="AV9" s="77"/>
      <c r="AW9" s="77"/>
      <c r="AX9" s="77"/>
      <c r="AY9" s="77"/>
      <c r="AZ9" s="77"/>
      <c r="BA9" s="77"/>
      <c r="BB9" s="77"/>
      <c r="BC9">
        <v>1</v>
      </c>
      <c r="BD9" s="76" t="str">
        <f>REPLACE(INDEX(GroupVertices[Group],MATCH(Edges[[#This Row],[Vertex 1]],GroupVertices[Vertex],0)),1,1,"")</f>
        <v>7</v>
      </c>
      <c r="BE9" s="76" t="str">
        <f>REPLACE(INDEX(GroupVertices[Group],MATCH(Edges[[#This Row],[Vertex 2]],GroupVertices[Vertex],0)),1,1,"")</f>
        <v>2</v>
      </c>
      <c r="BF9" s="31"/>
      <c r="BG9" s="31"/>
      <c r="BH9" s="31"/>
      <c r="BI9" s="31"/>
      <c r="BJ9" s="31"/>
      <c r="BK9" s="31"/>
      <c r="BL9" s="31"/>
      <c r="BM9" s="31"/>
      <c r="BN9" s="31"/>
    </row>
    <row r="10" spans="1:66" ht="15">
      <c r="A10" s="61" t="s">
        <v>248</v>
      </c>
      <c r="B10" s="61" t="s">
        <v>388</v>
      </c>
      <c r="C10" s="62"/>
      <c r="D10" s="63"/>
      <c r="E10" s="64"/>
      <c r="F10" s="65"/>
      <c r="G10" s="62"/>
      <c r="H10" s="66"/>
      <c r="I10" s="67"/>
      <c r="J10" s="67"/>
      <c r="K10" s="31" t="s">
        <v>65</v>
      </c>
      <c r="L10" s="75">
        <v>10</v>
      </c>
      <c r="M10" s="75"/>
      <c r="N10" s="69"/>
      <c r="O10" s="77" t="s">
        <v>448</v>
      </c>
      <c r="P10" s="79">
        <v>44961.69116898148</v>
      </c>
      <c r="Q10" s="77" t="s">
        <v>451</v>
      </c>
      <c r="R10" s="77"/>
      <c r="S10" s="77"/>
      <c r="T10" s="81" t="s">
        <v>428</v>
      </c>
      <c r="U10" s="77"/>
      <c r="V10" s="80" t="str">
        <f>HYPERLINK("https://pbs.twimg.com/profile_images/1530237686350503945/Fpjoz65k_normal.jpg")</f>
        <v>https://pbs.twimg.com/profile_images/1530237686350503945/Fpjoz65k_normal.jpg</v>
      </c>
      <c r="W10" s="79">
        <v>44961.69116898148</v>
      </c>
      <c r="X10" s="84">
        <v>44961</v>
      </c>
      <c r="Y10" s="81" t="s">
        <v>577</v>
      </c>
      <c r="Z10" s="80" t="str">
        <f>HYPERLINK("https://twitter.com/arnitry/status/1621910272863526913")</f>
        <v>https://twitter.com/arnitry/status/1621910272863526913</v>
      </c>
      <c r="AA10" s="77"/>
      <c r="AB10" s="77"/>
      <c r="AC10" s="81" t="s">
        <v>733</v>
      </c>
      <c r="AD10" s="77"/>
      <c r="AE10" s="77" t="b">
        <v>0</v>
      </c>
      <c r="AF10" s="77">
        <v>0</v>
      </c>
      <c r="AG10" s="81" t="s">
        <v>916</v>
      </c>
      <c r="AH10" s="77" t="b">
        <v>0</v>
      </c>
      <c r="AI10" s="77" t="s">
        <v>950</v>
      </c>
      <c r="AJ10" s="77"/>
      <c r="AK10" s="81" t="s">
        <v>916</v>
      </c>
      <c r="AL10" s="77" t="b">
        <v>0</v>
      </c>
      <c r="AM10" s="77">
        <v>0</v>
      </c>
      <c r="AN10" s="81" t="s">
        <v>916</v>
      </c>
      <c r="AO10" s="81" t="s">
        <v>958</v>
      </c>
      <c r="AP10" s="77" t="b">
        <v>0</v>
      </c>
      <c r="AQ10" s="81" t="s">
        <v>733</v>
      </c>
      <c r="AR10" s="77" t="s">
        <v>207</v>
      </c>
      <c r="AS10" s="77">
        <v>0</v>
      </c>
      <c r="AT10" s="77">
        <v>0</v>
      </c>
      <c r="AU10" s="77"/>
      <c r="AV10" s="77"/>
      <c r="AW10" s="77"/>
      <c r="AX10" s="77"/>
      <c r="AY10" s="77"/>
      <c r="AZ10" s="77"/>
      <c r="BA10" s="77"/>
      <c r="BB10" s="77"/>
      <c r="BC10">
        <v>1</v>
      </c>
      <c r="BD10" s="76" t="str">
        <f>REPLACE(INDEX(GroupVertices[Group],MATCH(Edges[[#This Row],[Vertex 1]],GroupVertices[Vertex],0)),1,1,"")</f>
        <v>7</v>
      </c>
      <c r="BE10" s="76" t="str">
        <f>REPLACE(INDEX(GroupVertices[Group],MATCH(Edges[[#This Row],[Vertex 2]],GroupVertices[Vertex],0)),1,1,"")</f>
        <v>7</v>
      </c>
      <c r="BF10" s="31"/>
      <c r="BG10" s="31"/>
      <c r="BH10" s="31"/>
      <c r="BI10" s="31"/>
      <c r="BJ10" s="31"/>
      <c r="BK10" s="31"/>
      <c r="BL10" s="31"/>
      <c r="BM10" s="31"/>
      <c r="BN10" s="31"/>
    </row>
    <row r="11" spans="1:66" ht="15">
      <c r="A11" s="61" t="s">
        <v>249</v>
      </c>
      <c r="B11" s="61" t="s">
        <v>388</v>
      </c>
      <c r="C11" s="62"/>
      <c r="D11" s="63"/>
      <c r="E11" s="64"/>
      <c r="F11" s="65"/>
      <c r="G11" s="62"/>
      <c r="H11" s="66"/>
      <c r="I11" s="67"/>
      <c r="J11" s="67"/>
      <c r="K11" s="31" t="s">
        <v>65</v>
      </c>
      <c r="L11" s="75">
        <v>11</v>
      </c>
      <c r="M11" s="75"/>
      <c r="N11" s="69"/>
      <c r="O11" s="77" t="s">
        <v>448</v>
      </c>
      <c r="P11" s="79">
        <v>44961.736608796295</v>
      </c>
      <c r="Q11" s="77" t="s">
        <v>452</v>
      </c>
      <c r="R11" s="80" t="str">
        <f>HYPERLINK("https://aboutclimatechange.com/how-chatgpt-responded-to-questions-about-climate-change/")</f>
        <v>https://aboutclimatechange.com/how-chatgpt-responded-to-questions-about-climate-change/</v>
      </c>
      <c r="S11" s="77" t="s">
        <v>549</v>
      </c>
      <c r="T11" s="81" t="s">
        <v>561</v>
      </c>
      <c r="U11" s="80" t="str">
        <f>HYPERLINK("https://pbs.twimg.com/media/FoI9mrNaAAcd1lR.png")</f>
        <v>https://pbs.twimg.com/media/FoI9mrNaAAcd1lR.png</v>
      </c>
      <c r="V11" s="80" t="str">
        <f>HYPERLINK("https://pbs.twimg.com/media/FoI9mrNaAAcd1lR.png")</f>
        <v>https://pbs.twimg.com/media/FoI9mrNaAAcd1lR.png</v>
      </c>
      <c r="W11" s="79">
        <v>44961.736608796295</v>
      </c>
      <c r="X11" s="84">
        <v>44961</v>
      </c>
      <c r="Y11" s="81" t="s">
        <v>578</v>
      </c>
      <c r="Z11" s="80" t="str">
        <f>HYPERLINK("https://twitter.com/sosaysgeorge/status/1621926741186080768")</f>
        <v>https://twitter.com/sosaysgeorge/status/1621926741186080768</v>
      </c>
      <c r="AA11" s="77"/>
      <c r="AB11" s="77"/>
      <c r="AC11" s="81" t="s">
        <v>734</v>
      </c>
      <c r="AD11" s="77"/>
      <c r="AE11" s="77" t="b">
        <v>0</v>
      </c>
      <c r="AF11" s="77">
        <v>0</v>
      </c>
      <c r="AG11" s="81" t="s">
        <v>916</v>
      </c>
      <c r="AH11" s="77" t="b">
        <v>0</v>
      </c>
      <c r="AI11" s="77" t="s">
        <v>950</v>
      </c>
      <c r="AJ11" s="77"/>
      <c r="AK11" s="81" t="s">
        <v>916</v>
      </c>
      <c r="AL11" s="77" t="b">
        <v>0</v>
      </c>
      <c r="AM11" s="77">
        <v>0</v>
      </c>
      <c r="AN11" s="81" t="s">
        <v>916</v>
      </c>
      <c r="AO11" s="81" t="s">
        <v>958</v>
      </c>
      <c r="AP11" s="77" t="b">
        <v>0</v>
      </c>
      <c r="AQ11" s="81" t="s">
        <v>734</v>
      </c>
      <c r="AR11" s="77" t="s">
        <v>207</v>
      </c>
      <c r="AS11" s="77">
        <v>0</v>
      </c>
      <c r="AT11" s="77">
        <v>0</v>
      </c>
      <c r="AU11" s="77"/>
      <c r="AV11" s="77"/>
      <c r="AW11" s="77"/>
      <c r="AX11" s="77"/>
      <c r="AY11" s="77"/>
      <c r="AZ11" s="77"/>
      <c r="BA11" s="77"/>
      <c r="BB11" s="77"/>
      <c r="BC11">
        <v>1</v>
      </c>
      <c r="BD11" s="76" t="str">
        <f>REPLACE(INDEX(GroupVertices[Group],MATCH(Edges[[#This Row],[Vertex 1]],GroupVertices[Vertex],0)),1,1,"")</f>
        <v>7</v>
      </c>
      <c r="BE11" s="76" t="str">
        <f>REPLACE(INDEX(GroupVertices[Group],MATCH(Edges[[#This Row],[Vertex 2]],GroupVertices[Vertex],0)),1,1,"")</f>
        <v>7</v>
      </c>
      <c r="BF11" s="31"/>
      <c r="BG11" s="31"/>
      <c r="BH11" s="31"/>
      <c r="BI11" s="31"/>
      <c r="BJ11" s="31"/>
      <c r="BK11" s="31"/>
      <c r="BL11" s="31"/>
      <c r="BM11" s="31"/>
      <c r="BN11" s="31"/>
    </row>
    <row r="12" spans="1:66" ht="15">
      <c r="A12" s="61" t="s">
        <v>250</v>
      </c>
      <c r="B12" s="61" t="s">
        <v>286</v>
      </c>
      <c r="C12" s="62"/>
      <c r="D12" s="63"/>
      <c r="E12" s="64"/>
      <c r="F12" s="65"/>
      <c r="G12" s="62"/>
      <c r="H12" s="66"/>
      <c r="I12" s="67"/>
      <c r="J12" s="67"/>
      <c r="K12" s="31" t="s">
        <v>65</v>
      </c>
      <c r="L12" s="75">
        <v>12</v>
      </c>
      <c r="M12" s="75"/>
      <c r="N12" s="69"/>
      <c r="O12" s="77" t="s">
        <v>447</v>
      </c>
      <c r="P12" s="79">
        <v>44961.96050925926</v>
      </c>
      <c r="Q12" s="77" t="s">
        <v>453</v>
      </c>
      <c r="R12" s="77"/>
      <c r="S12" s="77"/>
      <c r="T12" s="77"/>
      <c r="U12" s="77"/>
      <c r="V12" s="80" t="str">
        <f>HYPERLINK("https://pbs.twimg.com/profile_images/1545932882832773122/5wU6DzF8_normal.jpg")</f>
        <v>https://pbs.twimg.com/profile_images/1545932882832773122/5wU6DzF8_normal.jpg</v>
      </c>
      <c r="W12" s="79">
        <v>44961.96050925926</v>
      </c>
      <c r="X12" s="84">
        <v>44961</v>
      </c>
      <c r="Y12" s="81" t="s">
        <v>579</v>
      </c>
      <c r="Z12" s="80" t="str">
        <f>HYPERLINK("https://twitter.com/pattonmatt2/status/1622007877090131972")</f>
        <v>https://twitter.com/pattonmatt2/status/1622007877090131972</v>
      </c>
      <c r="AA12" s="77"/>
      <c r="AB12" s="77"/>
      <c r="AC12" s="81" t="s">
        <v>735</v>
      </c>
      <c r="AD12" s="77"/>
      <c r="AE12" s="77" t="b">
        <v>0</v>
      </c>
      <c r="AF12" s="77">
        <v>0</v>
      </c>
      <c r="AG12" s="81" t="s">
        <v>916</v>
      </c>
      <c r="AH12" s="77" t="b">
        <v>0</v>
      </c>
      <c r="AI12" s="77" t="s">
        <v>950</v>
      </c>
      <c r="AJ12" s="77"/>
      <c r="AK12" s="81" t="s">
        <v>916</v>
      </c>
      <c r="AL12" s="77" t="b">
        <v>0</v>
      </c>
      <c r="AM12" s="77">
        <v>16</v>
      </c>
      <c r="AN12" s="81" t="s">
        <v>774</v>
      </c>
      <c r="AO12" s="81" t="s">
        <v>958</v>
      </c>
      <c r="AP12" s="77" t="b">
        <v>0</v>
      </c>
      <c r="AQ12" s="81" t="s">
        <v>774</v>
      </c>
      <c r="AR12" s="77" t="s">
        <v>207</v>
      </c>
      <c r="AS12" s="77">
        <v>0</v>
      </c>
      <c r="AT12" s="77">
        <v>0</v>
      </c>
      <c r="AU12" s="77"/>
      <c r="AV12" s="77"/>
      <c r="AW12" s="77"/>
      <c r="AX12" s="77"/>
      <c r="AY12" s="77"/>
      <c r="AZ12" s="77"/>
      <c r="BA12" s="77"/>
      <c r="BB12" s="77"/>
      <c r="BC12">
        <v>1</v>
      </c>
      <c r="BD12" s="76" t="str">
        <f>REPLACE(INDEX(GroupVertices[Group],MATCH(Edges[[#This Row],[Vertex 1]],GroupVertices[Vertex],0)),1,1,"")</f>
        <v>1</v>
      </c>
      <c r="BE12" s="76" t="str">
        <f>REPLACE(INDEX(GroupVertices[Group],MATCH(Edges[[#This Row],[Vertex 2]],GroupVertices[Vertex],0)),1,1,"")</f>
        <v>1</v>
      </c>
      <c r="BF12" s="31"/>
      <c r="BG12" s="31"/>
      <c r="BH12" s="31"/>
      <c r="BI12" s="31"/>
      <c r="BJ12" s="31"/>
      <c r="BK12" s="31"/>
      <c r="BL12" s="31"/>
      <c r="BM12" s="31"/>
      <c r="BN12" s="31"/>
    </row>
    <row r="13" spans="1:66" ht="15">
      <c r="A13" s="61" t="s">
        <v>251</v>
      </c>
      <c r="B13" s="61" t="s">
        <v>389</v>
      </c>
      <c r="C13" s="62"/>
      <c r="D13" s="63"/>
      <c r="E13" s="64"/>
      <c r="F13" s="65"/>
      <c r="G13" s="62"/>
      <c r="H13" s="66"/>
      <c r="I13" s="67"/>
      <c r="J13" s="67"/>
      <c r="K13" s="31" t="s">
        <v>65</v>
      </c>
      <c r="L13" s="75">
        <v>13</v>
      </c>
      <c r="M13" s="75"/>
      <c r="N13" s="69"/>
      <c r="O13" s="77" t="s">
        <v>446</v>
      </c>
      <c r="P13" s="79">
        <v>44962.009201388886</v>
      </c>
      <c r="Q13" s="77" t="s">
        <v>454</v>
      </c>
      <c r="R13" s="77"/>
      <c r="S13" s="77"/>
      <c r="T13" s="77"/>
      <c r="U13" s="77"/>
      <c r="V13" s="80" t="str">
        <f>HYPERLINK("https://pbs.twimg.com/profile_images/1516087396005298186/tNuHWO43_normal.jpg")</f>
        <v>https://pbs.twimg.com/profile_images/1516087396005298186/tNuHWO43_normal.jpg</v>
      </c>
      <c r="W13" s="79">
        <v>44962.009201388886</v>
      </c>
      <c r="X13" s="84">
        <v>44962</v>
      </c>
      <c r="Y13" s="81" t="s">
        <v>580</v>
      </c>
      <c r="Z13" s="80" t="str">
        <f>HYPERLINK("https://twitter.com/marie_haynes/status/1622025523957321728")</f>
        <v>https://twitter.com/marie_haynes/status/1622025523957321728</v>
      </c>
      <c r="AA13" s="77"/>
      <c r="AB13" s="77"/>
      <c r="AC13" s="81" t="s">
        <v>736</v>
      </c>
      <c r="AD13" s="81" t="s">
        <v>887</v>
      </c>
      <c r="AE13" s="77" t="b">
        <v>0</v>
      </c>
      <c r="AF13" s="77">
        <v>1</v>
      </c>
      <c r="AG13" s="81" t="s">
        <v>918</v>
      </c>
      <c r="AH13" s="77" t="b">
        <v>0</v>
      </c>
      <c r="AI13" s="77" t="s">
        <v>950</v>
      </c>
      <c r="AJ13" s="77"/>
      <c r="AK13" s="81" t="s">
        <v>916</v>
      </c>
      <c r="AL13" s="77" t="b">
        <v>0</v>
      </c>
      <c r="AM13" s="77">
        <v>0</v>
      </c>
      <c r="AN13" s="81" t="s">
        <v>916</v>
      </c>
      <c r="AO13" s="81" t="s">
        <v>959</v>
      </c>
      <c r="AP13" s="77" t="b">
        <v>0</v>
      </c>
      <c r="AQ13" s="81" t="s">
        <v>887</v>
      </c>
      <c r="AR13" s="77" t="s">
        <v>207</v>
      </c>
      <c r="AS13" s="77">
        <v>0</v>
      </c>
      <c r="AT13" s="77">
        <v>0</v>
      </c>
      <c r="AU13" s="77"/>
      <c r="AV13" s="77"/>
      <c r="AW13" s="77"/>
      <c r="AX13" s="77"/>
      <c r="AY13" s="77"/>
      <c r="AZ13" s="77"/>
      <c r="BA13" s="77"/>
      <c r="BB13" s="77"/>
      <c r="BC13">
        <v>1</v>
      </c>
      <c r="BD13" s="76" t="str">
        <f>REPLACE(INDEX(GroupVertices[Group],MATCH(Edges[[#This Row],[Vertex 1]],GroupVertices[Vertex],0)),1,1,"")</f>
        <v>44</v>
      </c>
      <c r="BE13" s="76" t="str">
        <f>REPLACE(INDEX(GroupVertices[Group],MATCH(Edges[[#This Row],[Vertex 2]],GroupVertices[Vertex],0)),1,1,"")</f>
        <v>44</v>
      </c>
      <c r="BF13" s="31"/>
      <c r="BG13" s="31"/>
      <c r="BH13" s="31"/>
      <c r="BI13" s="31"/>
      <c r="BJ13" s="31"/>
      <c r="BK13" s="31"/>
      <c r="BL13" s="31"/>
      <c r="BM13" s="31"/>
      <c r="BN13" s="31"/>
    </row>
    <row r="14" spans="1:66" ht="15">
      <c r="A14" s="61" t="s">
        <v>252</v>
      </c>
      <c r="B14" s="61" t="s">
        <v>286</v>
      </c>
      <c r="C14" s="62"/>
      <c r="D14" s="63"/>
      <c r="E14" s="64"/>
      <c r="F14" s="65"/>
      <c r="G14" s="62"/>
      <c r="H14" s="66"/>
      <c r="I14" s="67"/>
      <c r="J14" s="67"/>
      <c r="K14" s="31" t="s">
        <v>65</v>
      </c>
      <c r="L14" s="75">
        <v>14</v>
      </c>
      <c r="M14" s="75"/>
      <c r="N14" s="69"/>
      <c r="O14" s="77" t="s">
        <v>447</v>
      </c>
      <c r="P14" s="79">
        <v>44962.028333333335</v>
      </c>
      <c r="Q14" s="77" t="s">
        <v>453</v>
      </c>
      <c r="R14" s="77"/>
      <c r="S14" s="77"/>
      <c r="T14" s="77"/>
      <c r="U14" s="77"/>
      <c r="V14" s="80" t="str">
        <f>HYPERLINK("https://pbs.twimg.com/profile_images/1691106875/pedebiolfinal_small_normal.png")</f>
        <v>https://pbs.twimg.com/profile_images/1691106875/pedebiolfinal_small_normal.png</v>
      </c>
      <c r="W14" s="79">
        <v>44962.028333333335</v>
      </c>
      <c r="X14" s="84">
        <v>44962</v>
      </c>
      <c r="Y14" s="81" t="s">
        <v>581</v>
      </c>
      <c r="Z14" s="80" t="str">
        <f>HYPERLINK("https://twitter.com/almadana/status/1622032458282582016")</f>
        <v>https://twitter.com/almadana/status/1622032458282582016</v>
      </c>
      <c r="AA14" s="77"/>
      <c r="AB14" s="77"/>
      <c r="AC14" s="81" t="s">
        <v>737</v>
      </c>
      <c r="AD14" s="77"/>
      <c r="AE14" s="77" t="b">
        <v>0</v>
      </c>
      <c r="AF14" s="77">
        <v>0</v>
      </c>
      <c r="AG14" s="81" t="s">
        <v>916</v>
      </c>
      <c r="AH14" s="77" t="b">
        <v>0</v>
      </c>
      <c r="AI14" s="77" t="s">
        <v>950</v>
      </c>
      <c r="AJ14" s="77"/>
      <c r="AK14" s="81" t="s">
        <v>916</v>
      </c>
      <c r="AL14" s="77" t="b">
        <v>0</v>
      </c>
      <c r="AM14" s="77">
        <v>16</v>
      </c>
      <c r="AN14" s="81" t="s">
        <v>774</v>
      </c>
      <c r="AO14" s="81" t="s">
        <v>959</v>
      </c>
      <c r="AP14" s="77" t="b">
        <v>0</v>
      </c>
      <c r="AQ14" s="81" t="s">
        <v>774</v>
      </c>
      <c r="AR14" s="77" t="s">
        <v>207</v>
      </c>
      <c r="AS14" s="77">
        <v>0</v>
      </c>
      <c r="AT14" s="77">
        <v>0</v>
      </c>
      <c r="AU14" s="77"/>
      <c r="AV14" s="77"/>
      <c r="AW14" s="77"/>
      <c r="AX14" s="77"/>
      <c r="AY14" s="77"/>
      <c r="AZ14" s="77"/>
      <c r="BA14" s="77"/>
      <c r="BB14" s="77"/>
      <c r="BC14">
        <v>1</v>
      </c>
      <c r="BD14" s="76" t="str">
        <f>REPLACE(INDEX(GroupVertices[Group],MATCH(Edges[[#This Row],[Vertex 1]],GroupVertices[Vertex],0)),1,1,"")</f>
        <v>1</v>
      </c>
      <c r="BE14" s="76" t="str">
        <f>REPLACE(INDEX(GroupVertices[Group],MATCH(Edges[[#This Row],[Vertex 2]],GroupVertices[Vertex],0)),1,1,"")</f>
        <v>1</v>
      </c>
      <c r="BF14" s="31"/>
      <c r="BG14" s="31"/>
      <c r="BH14" s="31"/>
      <c r="BI14" s="31"/>
      <c r="BJ14" s="31"/>
      <c r="BK14" s="31"/>
      <c r="BL14" s="31"/>
      <c r="BM14" s="31"/>
      <c r="BN14" s="31"/>
    </row>
    <row r="15" spans="1:66" ht="15">
      <c r="A15" s="61" t="s">
        <v>253</v>
      </c>
      <c r="B15" s="61" t="s">
        <v>286</v>
      </c>
      <c r="C15" s="62"/>
      <c r="D15" s="63"/>
      <c r="E15" s="64"/>
      <c r="F15" s="65"/>
      <c r="G15" s="62"/>
      <c r="H15" s="66"/>
      <c r="I15" s="67"/>
      <c r="J15" s="67"/>
      <c r="K15" s="31" t="s">
        <v>65</v>
      </c>
      <c r="L15" s="75">
        <v>15</v>
      </c>
      <c r="M15" s="75"/>
      <c r="N15" s="69"/>
      <c r="O15" s="77" t="s">
        <v>447</v>
      </c>
      <c r="P15" s="79">
        <v>44962.033796296295</v>
      </c>
      <c r="Q15" s="77" t="s">
        <v>453</v>
      </c>
      <c r="R15" s="77"/>
      <c r="S15" s="77"/>
      <c r="T15" s="77"/>
      <c r="U15" s="77"/>
      <c r="V15" s="80" t="str">
        <f>HYPERLINK("https://pbs.twimg.com/profile_images/1407370555636928519/eGdsZI6v_normal.jpg")</f>
        <v>https://pbs.twimg.com/profile_images/1407370555636928519/eGdsZI6v_normal.jpg</v>
      </c>
      <c r="W15" s="79">
        <v>44962.033796296295</v>
      </c>
      <c r="X15" s="84">
        <v>44962</v>
      </c>
      <c r="Y15" s="81" t="s">
        <v>582</v>
      </c>
      <c r="Z15" s="80" t="str">
        <f>HYPERLINK("https://twitter.com/philoneurosci/status/1622034437998346240")</f>
        <v>https://twitter.com/philoneurosci/status/1622034437998346240</v>
      </c>
      <c r="AA15" s="77"/>
      <c r="AB15" s="77"/>
      <c r="AC15" s="81" t="s">
        <v>738</v>
      </c>
      <c r="AD15" s="77"/>
      <c r="AE15" s="77" t="b">
        <v>0</v>
      </c>
      <c r="AF15" s="77">
        <v>0</v>
      </c>
      <c r="AG15" s="81" t="s">
        <v>916</v>
      </c>
      <c r="AH15" s="77" t="b">
        <v>0</v>
      </c>
      <c r="AI15" s="77" t="s">
        <v>950</v>
      </c>
      <c r="AJ15" s="77"/>
      <c r="AK15" s="81" t="s">
        <v>916</v>
      </c>
      <c r="AL15" s="77" t="b">
        <v>0</v>
      </c>
      <c r="AM15" s="77">
        <v>16</v>
      </c>
      <c r="AN15" s="81" t="s">
        <v>774</v>
      </c>
      <c r="AO15" s="81" t="s">
        <v>958</v>
      </c>
      <c r="AP15" s="77" t="b">
        <v>0</v>
      </c>
      <c r="AQ15" s="81" t="s">
        <v>774</v>
      </c>
      <c r="AR15" s="77" t="s">
        <v>207</v>
      </c>
      <c r="AS15" s="77">
        <v>0</v>
      </c>
      <c r="AT15" s="77">
        <v>0</v>
      </c>
      <c r="AU15" s="77"/>
      <c r="AV15" s="77"/>
      <c r="AW15" s="77"/>
      <c r="AX15" s="77"/>
      <c r="AY15" s="77"/>
      <c r="AZ15" s="77"/>
      <c r="BA15" s="77"/>
      <c r="BB15" s="77"/>
      <c r="BC15">
        <v>1</v>
      </c>
      <c r="BD15" s="76" t="str">
        <f>REPLACE(INDEX(GroupVertices[Group],MATCH(Edges[[#This Row],[Vertex 1]],GroupVertices[Vertex],0)),1,1,"")</f>
        <v>1</v>
      </c>
      <c r="BE15" s="76" t="str">
        <f>REPLACE(INDEX(GroupVertices[Group],MATCH(Edges[[#This Row],[Vertex 2]],GroupVertices[Vertex],0)),1,1,"")</f>
        <v>1</v>
      </c>
      <c r="BF15" s="31"/>
      <c r="BG15" s="31"/>
      <c r="BH15" s="31"/>
      <c r="BI15" s="31"/>
      <c r="BJ15" s="31"/>
      <c r="BK15" s="31"/>
      <c r="BL15" s="31"/>
      <c r="BM15" s="31"/>
      <c r="BN15" s="31"/>
    </row>
    <row r="16" spans="1:66" ht="15">
      <c r="A16" s="61" t="s">
        <v>254</v>
      </c>
      <c r="B16" s="61" t="s">
        <v>390</v>
      </c>
      <c r="C16" s="62"/>
      <c r="D16" s="63"/>
      <c r="E16" s="64"/>
      <c r="F16" s="65"/>
      <c r="G16" s="62"/>
      <c r="H16" s="66"/>
      <c r="I16" s="67"/>
      <c r="J16" s="67"/>
      <c r="K16" s="31" t="s">
        <v>65</v>
      </c>
      <c r="L16" s="75">
        <v>16</v>
      </c>
      <c r="M16" s="75"/>
      <c r="N16" s="69"/>
      <c r="O16" s="77" t="s">
        <v>446</v>
      </c>
      <c r="P16" s="79">
        <v>44962.135</v>
      </c>
      <c r="Q16" s="77" t="s">
        <v>455</v>
      </c>
      <c r="R16" s="77"/>
      <c r="S16" s="77"/>
      <c r="T16" s="77"/>
      <c r="U16" s="77"/>
      <c r="V16" s="80" t="str">
        <f>HYPERLINK("https://pbs.twimg.com/profile_images/378800000803273398/45348c4cb564b83bc13b56def8558eaa_normal.jpeg")</f>
        <v>https://pbs.twimg.com/profile_images/378800000803273398/45348c4cb564b83bc13b56def8558eaa_normal.jpeg</v>
      </c>
      <c r="W16" s="79">
        <v>44962.135</v>
      </c>
      <c r="X16" s="84">
        <v>44962</v>
      </c>
      <c r="Y16" s="81" t="s">
        <v>583</v>
      </c>
      <c r="Z16" s="80" t="str">
        <f>HYPERLINK("https://twitter.com/mvandersen1/status/1622071110576771072")</f>
        <v>https://twitter.com/mvandersen1/status/1622071110576771072</v>
      </c>
      <c r="AA16" s="77"/>
      <c r="AB16" s="77"/>
      <c r="AC16" s="81" t="s">
        <v>739</v>
      </c>
      <c r="AD16" s="81" t="s">
        <v>888</v>
      </c>
      <c r="AE16" s="77" t="b">
        <v>0</v>
      </c>
      <c r="AF16" s="77">
        <v>1</v>
      </c>
      <c r="AG16" s="81" t="s">
        <v>919</v>
      </c>
      <c r="AH16" s="77" t="b">
        <v>0</v>
      </c>
      <c r="AI16" s="77" t="s">
        <v>950</v>
      </c>
      <c r="AJ16" s="77"/>
      <c r="AK16" s="81" t="s">
        <v>916</v>
      </c>
      <c r="AL16" s="77" t="b">
        <v>0</v>
      </c>
      <c r="AM16" s="77">
        <v>0</v>
      </c>
      <c r="AN16" s="81" t="s">
        <v>916</v>
      </c>
      <c r="AO16" s="81" t="s">
        <v>959</v>
      </c>
      <c r="AP16" s="77" t="b">
        <v>0</v>
      </c>
      <c r="AQ16" s="81" t="s">
        <v>888</v>
      </c>
      <c r="AR16" s="77" t="s">
        <v>207</v>
      </c>
      <c r="AS16" s="77">
        <v>0</v>
      </c>
      <c r="AT16" s="77">
        <v>0</v>
      </c>
      <c r="AU16" s="77"/>
      <c r="AV16" s="77"/>
      <c r="AW16" s="77"/>
      <c r="AX16" s="77"/>
      <c r="AY16" s="77"/>
      <c r="AZ16" s="77"/>
      <c r="BA16" s="77"/>
      <c r="BB16" s="77"/>
      <c r="BC16">
        <v>1</v>
      </c>
      <c r="BD16" s="76" t="str">
        <f>REPLACE(INDEX(GroupVertices[Group],MATCH(Edges[[#This Row],[Vertex 1]],GroupVertices[Vertex],0)),1,1,"")</f>
        <v>43</v>
      </c>
      <c r="BE16" s="76" t="str">
        <f>REPLACE(INDEX(GroupVertices[Group],MATCH(Edges[[#This Row],[Vertex 2]],GroupVertices[Vertex],0)),1,1,"")</f>
        <v>43</v>
      </c>
      <c r="BF16" s="31"/>
      <c r="BG16" s="31"/>
      <c r="BH16" s="31"/>
      <c r="BI16" s="31"/>
      <c r="BJ16" s="31"/>
      <c r="BK16" s="31"/>
      <c r="BL16" s="31"/>
      <c r="BM16" s="31"/>
      <c r="BN16" s="31"/>
    </row>
    <row r="17" spans="1:66" ht="15">
      <c r="A17" s="61" t="s">
        <v>255</v>
      </c>
      <c r="B17" s="61" t="s">
        <v>286</v>
      </c>
      <c r="C17" s="62"/>
      <c r="D17" s="63"/>
      <c r="E17" s="64"/>
      <c r="F17" s="65"/>
      <c r="G17" s="62"/>
      <c r="H17" s="66"/>
      <c r="I17" s="67"/>
      <c r="J17" s="67"/>
      <c r="K17" s="31" t="s">
        <v>65</v>
      </c>
      <c r="L17" s="75">
        <v>17</v>
      </c>
      <c r="M17" s="75"/>
      <c r="N17" s="69"/>
      <c r="O17" s="77" t="s">
        <v>447</v>
      </c>
      <c r="P17" s="79">
        <v>44962.255277777775</v>
      </c>
      <c r="Q17" s="77" t="s">
        <v>453</v>
      </c>
      <c r="R17" s="77"/>
      <c r="S17" s="77"/>
      <c r="T17" s="77"/>
      <c r="U17" s="77"/>
      <c r="V17" s="80" t="str">
        <f>HYPERLINK("https://pbs.twimg.com/profile_images/1055759608843853824/NQvHpLzu_normal.jpg")</f>
        <v>https://pbs.twimg.com/profile_images/1055759608843853824/NQvHpLzu_normal.jpg</v>
      </c>
      <c r="W17" s="79">
        <v>44962.255277777775</v>
      </c>
      <c r="X17" s="84">
        <v>44962</v>
      </c>
      <c r="Y17" s="81" t="s">
        <v>584</v>
      </c>
      <c r="Z17" s="80" t="str">
        <f>HYPERLINK("https://twitter.com/renaudjolivet/status/1622114699016867843")</f>
        <v>https://twitter.com/renaudjolivet/status/1622114699016867843</v>
      </c>
      <c r="AA17" s="77"/>
      <c r="AB17" s="77"/>
      <c r="AC17" s="81" t="s">
        <v>740</v>
      </c>
      <c r="AD17" s="77"/>
      <c r="AE17" s="77" t="b">
        <v>0</v>
      </c>
      <c r="AF17" s="77">
        <v>0</v>
      </c>
      <c r="AG17" s="81" t="s">
        <v>916</v>
      </c>
      <c r="AH17" s="77" t="b">
        <v>0</v>
      </c>
      <c r="AI17" s="77" t="s">
        <v>950</v>
      </c>
      <c r="AJ17" s="77"/>
      <c r="AK17" s="81" t="s">
        <v>916</v>
      </c>
      <c r="AL17" s="77" t="b">
        <v>0</v>
      </c>
      <c r="AM17" s="77">
        <v>16</v>
      </c>
      <c r="AN17" s="81" t="s">
        <v>774</v>
      </c>
      <c r="AO17" s="81" t="s">
        <v>957</v>
      </c>
      <c r="AP17" s="77" t="b">
        <v>0</v>
      </c>
      <c r="AQ17" s="81" t="s">
        <v>774</v>
      </c>
      <c r="AR17" s="77" t="s">
        <v>207</v>
      </c>
      <c r="AS17" s="77">
        <v>0</v>
      </c>
      <c r="AT17" s="77">
        <v>0</v>
      </c>
      <c r="AU17" s="77"/>
      <c r="AV17" s="77"/>
      <c r="AW17" s="77"/>
      <c r="AX17" s="77"/>
      <c r="AY17" s="77"/>
      <c r="AZ17" s="77"/>
      <c r="BA17" s="77"/>
      <c r="BB17" s="77"/>
      <c r="BC17">
        <v>1</v>
      </c>
      <c r="BD17" s="76" t="str">
        <f>REPLACE(INDEX(GroupVertices[Group],MATCH(Edges[[#This Row],[Vertex 1]],GroupVertices[Vertex],0)),1,1,"")</f>
        <v>1</v>
      </c>
      <c r="BE17" s="76" t="str">
        <f>REPLACE(INDEX(GroupVertices[Group],MATCH(Edges[[#This Row],[Vertex 2]],GroupVertices[Vertex],0)),1,1,"")</f>
        <v>1</v>
      </c>
      <c r="BF17" s="31"/>
      <c r="BG17" s="31"/>
      <c r="BH17" s="31"/>
      <c r="BI17" s="31"/>
      <c r="BJ17" s="31"/>
      <c r="BK17" s="31"/>
      <c r="BL17" s="31"/>
      <c r="BM17" s="31"/>
      <c r="BN17" s="31"/>
    </row>
    <row r="18" spans="1:66" ht="15">
      <c r="A18" s="61" t="s">
        <v>256</v>
      </c>
      <c r="B18" s="61" t="s">
        <v>286</v>
      </c>
      <c r="C18" s="62"/>
      <c r="D18" s="63"/>
      <c r="E18" s="64"/>
      <c r="F18" s="65"/>
      <c r="G18" s="62"/>
      <c r="H18" s="66"/>
      <c r="I18" s="67"/>
      <c r="J18" s="67"/>
      <c r="K18" s="31" t="s">
        <v>65</v>
      </c>
      <c r="L18" s="75">
        <v>18</v>
      </c>
      <c r="M18" s="75"/>
      <c r="N18" s="69"/>
      <c r="O18" s="77" t="s">
        <v>447</v>
      </c>
      <c r="P18" s="79">
        <v>44962.256898148145</v>
      </c>
      <c r="Q18" s="77" t="s">
        <v>453</v>
      </c>
      <c r="R18" s="77"/>
      <c r="S18" s="77"/>
      <c r="T18" s="77"/>
      <c r="U18" s="77"/>
      <c r="V18" s="80" t="str">
        <f>HYPERLINK("https://pbs.twimg.com/profile_images/554609395917545472/k1N9aWdb_normal.jpeg")</f>
        <v>https://pbs.twimg.com/profile_images/554609395917545472/k1N9aWdb_normal.jpeg</v>
      </c>
      <c r="W18" s="79">
        <v>44962.256898148145</v>
      </c>
      <c r="X18" s="84">
        <v>44962</v>
      </c>
      <c r="Y18" s="81" t="s">
        <v>585</v>
      </c>
      <c r="Z18" s="80" t="str">
        <f>HYPERLINK("https://twitter.com/dannykay68/status/1622115288048361472")</f>
        <v>https://twitter.com/dannykay68/status/1622115288048361472</v>
      </c>
      <c r="AA18" s="77"/>
      <c r="AB18" s="77"/>
      <c r="AC18" s="81" t="s">
        <v>741</v>
      </c>
      <c r="AD18" s="77"/>
      <c r="AE18" s="77" t="b">
        <v>0</v>
      </c>
      <c r="AF18" s="77">
        <v>0</v>
      </c>
      <c r="AG18" s="81" t="s">
        <v>916</v>
      </c>
      <c r="AH18" s="77" t="b">
        <v>0</v>
      </c>
      <c r="AI18" s="77" t="s">
        <v>950</v>
      </c>
      <c r="AJ18" s="77"/>
      <c r="AK18" s="81" t="s">
        <v>916</v>
      </c>
      <c r="AL18" s="77" t="b">
        <v>0</v>
      </c>
      <c r="AM18" s="77">
        <v>16</v>
      </c>
      <c r="AN18" s="81" t="s">
        <v>774</v>
      </c>
      <c r="AO18" s="81" t="s">
        <v>957</v>
      </c>
      <c r="AP18" s="77" t="b">
        <v>0</v>
      </c>
      <c r="AQ18" s="81" t="s">
        <v>774</v>
      </c>
      <c r="AR18" s="77" t="s">
        <v>207</v>
      </c>
      <c r="AS18" s="77">
        <v>0</v>
      </c>
      <c r="AT18" s="77">
        <v>0</v>
      </c>
      <c r="AU18" s="77"/>
      <c r="AV18" s="77"/>
      <c r="AW18" s="77"/>
      <c r="AX18" s="77"/>
      <c r="AY18" s="77"/>
      <c r="AZ18" s="77"/>
      <c r="BA18" s="77"/>
      <c r="BB18" s="77"/>
      <c r="BC18">
        <v>1</v>
      </c>
      <c r="BD18" s="76" t="str">
        <f>REPLACE(INDEX(GroupVertices[Group],MATCH(Edges[[#This Row],[Vertex 1]],GroupVertices[Vertex],0)),1,1,"")</f>
        <v>1</v>
      </c>
      <c r="BE18" s="76" t="str">
        <f>REPLACE(INDEX(GroupVertices[Group],MATCH(Edges[[#This Row],[Vertex 2]],GroupVertices[Vertex],0)),1,1,"")</f>
        <v>1</v>
      </c>
      <c r="BF18" s="31"/>
      <c r="BG18" s="31"/>
      <c r="BH18" s="31"/>
      <c r="BI18" s="31"/>
      <c r="BJ18" s="31"/>
      <c r="BK18" s="31"/>
      <c r="BL18" s="31"/>
      <c r="BM18" s="31"/>
      <c r="BN18" s="31"/>
    </row>
    <row r="19" spans="1:66" ht="15">
      <c r="A19" s="61" t="s">
        <v>257</v>
      </c>
      <c r="B19" s="61" t="s">
        <v>286</v>
      </c>
      <c r="C19" s="62"/>
      <c r="D19" s="63"/>
      <c r="E19" s="64"/>
      <c r="F19" s="65"/>
      <c r="G19" s="62"/>
      <c r="H19" s="66"/>
      <c r="I19" s="67"/>
      <c r="J19" s="67"/>
      <c r="K19" s="31" t="s">
        <v>65</v>
      </c>
      <c r="L19" s="75">
        <v>19</v>
      </c>
      <c r="M19" s="75"/>
      <c r="N19" s="69"/>
      <c r="O19" s="77" t="s">
        <v>447</v>
      </c>
      <c r="P19" s="79">
        <v>44962.25854166667</v>
      </c>
      <c r="Q19" s="77" t="s">
        <v>453</v>
      </c>
      <c r="R19" s="77"/>
      <c r="S19" s="77"/>
      <c r="T19" s="77"/>
      <c r="U19" s="77"/>
      <c r="V19" s="80" t="str">
        <f>HYPERLINK("https://pbs.twimg.com/profile_images/484968103025995777/zif3FUIw_normal.jpeg")</f>
        <v>https://pbs.twimg.com/profile_images/484968103025995777/zif3FUIw_normal.jpeg</v>
      </c>
      <c r="W19" s="79">
        <v>44962.25854166667</v>
      </c>
      <c r="X19" s="84">
        <v>44962</v>
      </c>
      <c r="Y19" s="81" t="s">
        <v>586</v>
      </c>
      <c r="Z19" s="80" t="str">
        <f>HYPERLINK("https://twitter.com/michaelcollins/status/1622115881924071424")</f>
        <v>https://twitter.com/michaelcollins/status/1622115881924071424</v>
      </c>
      <c r="AA19" s="77"/>
      <c r="AB19" s="77"/>
      <c r="AC19" s="81" t="s">
        <v>742</v>
      </c>
      <c r="AD19" s="77"/>
      <c r="AE19" s="77" t="b">
        <v>0</v>
      </c>
      <c r="AF19" s="77">
        <v>0</v>
      </c>
      <c r="AG19" s="81" t="s">
        <v>916</v>
      </c>
      <c r="AH19" s="77" t="b">
        <v>0</v>
      </c>
      <c r="AI19" s="77" t="s">
        <v>950</v>
      </c>
      <c r="AJ19" s="77"/>
      <c r="AK19" s="81" t="s">
        <v>916</v>
      </c>
      <c r="AL19" s="77" t="b">
        <v>0</v>
      </c>
      <c r="AM19" s="77">
        <v>16</v>
      </c>
      <c r="AN19" s="81" t="s">
        <v>774</v>
      </c>
      <c r="AO19" s="81" t="s">
        <v>959</v>
      </c>
      <c r="AP19" s="77" t="b">
        <v>0</v>
      </c>
      <c r="AQ19" s="81" t="s">
        <v>774</v>
      </c>
      <c r="AR19" s="77" t="s">
        <v>207</v>
      </c>
      <c r="AS19" s="77">
        <v>0</v>
      </c>
      <c r="AT19" s="77">
        <v>0</v>
      </c>
      <c r="AU19" s="77"/>
      <c r="AV19" s="77"/>
      <c r="AW19" s="77"/>
      <c r="AX19" s="77"/>
      <c r="AY19" s="77"/>
      <c r="AZ19" s="77"/>
      <c r="BA19" s="77"/>
      <c r="BB19" s="77"/>
      <c r="BC19">
        <v>1</v>
      </c>
      <c r="BD19" s="76" t="str">
        <f>REPLACE(INDEX(GroupVertices[Group],MATCH(Edges[[#This Row],[Vertex 1]],GroupVertices[Vertex],0)),1,1,"")</f>
        <v>1</v>
      </c>
      <c r="BE19" s="76" t="str">
        <f>REPLACE(INDEX(GroupVertices[Group],MATCH(Edges[[#This Row],[Vertex 2]],GroupVertices[Vertex],0)),1,1,"")</f>
        <v>1</v>
      </c>
      <c r="BF19" s="31"/>
      <c r="BG19" s="31"/>
      <c r="BH19" s="31"/>
      <c r="BI19" s="31"/>
      <c r="BJ19" s="31"/>
      <c r="BK19" s="31"/>
      <c r="BL19" s="31"/>
      <c r="BM19" s="31"/>
      <c r="BN19" s="31"/>
    </row>
    <row r="20" spans="1:66" ht="15">
      <c r="A20" s="61" t="s">
        <v>258</v>
      </c>
      <c r="B20" s="61" t="s">
        <v>286</v>
      </c>
      <c r="C20" s="62"/>
      <c r="D20" s="63"/>
      <c r="E20" s="64"/>
      <c r="F20" s="65"/>
      <c r="G20" s="62"/>
      <c r="H20" s="66"/>
      <c r="I20" s="67"/>
      <c r="J20" s="67"/>
      <c r="K20" s="31" t="s">
        <v>65</v>
      </c>
      <c r="L20" s="75">
        <v>20</v>
      </c>
      <c r="M20" s="75"/>
      <c r="N20" s="69"/>
      <c r="O20" s="77" t="s">
        <v>447</v>
      </c>
      <c r="P20" s="79">
        <v>44962.2784837963</v>
      </c>
      <c r="Q20" s="77" t="s">
        <v>453</v>
      </c>
      <c r="R20" s="77"/>
      <c r="S20" s="77"/>
      <c r="T20" s="77"/>
      <c r="U20" s="77"/>
      <c r="V20" s="80" t="str">
        <f>HYPERLINK("https://pbs.twimg.com/profile_images/3717767146/403a01e00544bcb47a5e179a068ab4ef_normal.jpeg")</f>
        <v>https://pbs.twimg.com/profile_images/3717767146/403a01e00544bcb47a5e179a068ab4ef_normal.jpeg</v>
      </c>
      <c r="W20" s="79">
        <v>44962.2784837963</v>
      </c>
      <c r="X20" s="84">
        <v>44962</v>
      </c>
      <c r="Y20" s="81" t="s">
        <v>587</v>
      </c>
      <c r="Z20" s="80" t="str">
        <f>HYPERLINK("https://twitter.com/rickypo/status/1622123108965416960")</f>
        <v>https://twitter.com/rickypo/status/1622123108965416960</v>
      </c>
      <c r="AA20" s="77"/>
      <c r="AB20" s="77"/>
      <c r="AC20" s="81" t="s">
        <v>743</v>
      </c>
      <c r="AD20" s="77"/>
      <c r="AE20" s="77" t="b">
        <v>0</v>
      </c>
      <c r="AF20" s="77">
        <v>0</v>
      </c>
      <c r="AG20" s="81" t="s">
        <v>916</v>
      </c>
      <c r="AH20" s="77" t="b">
        <v>0</v>
      </c>
      <c r="AI20" s="77" t="s">
        <v>950</v>
      </c>
      <c r="AJ20" s="77"/>
      <c r="AK20" s="81" t="s">
        <v>916</v>
      </c>
      <c r="AL20" s="77" t="b">
        <v>0</v>
      </c>
      <c r="AM20" s="77">
        <v>16</v>
      </c>
      <c r="AN20" s="81" t="s">
        <v>774</v>
      </c>
      <c r="AO20" s="81" t="s">
        <v>958</v>
      </c>
      <c r="AP20" s="77" t="b">
        <v>0</v>
      </c>
      <c r="AQ20" s="81" t="s">
        <v>774</v>
      </c>
      <c r="AR20" s="77" t="s">
        <v>207</v>
      </c>
      <c r="AS20" s="77">
        <v>0</v>
      </c>
      <c r="AT20" s="77">
        <v>0</v>
      </c>
      <c r="AU20" s="77"/>
      <c r="AV20" s="77"/>
      <c r="AW20" s="77"/>
      <c r="AX20" s="77"/>
      <c r="AY20" s="77"/>
      <c r="AZ20" s="77"/>
      <c r="BA20" s="77"/>
      <c r="BB20" s="77"/>
      <c r="BC20">
        <v>1</v>
      </c>
      <c r="BD20" s="76" t="str">
        <f>REPLACE(INDEX(GroupVertices[Group],MATCH(Edges[[#This Row],[Vertex 1]],GroupVertices[Vertex],0)),1,1,"")</f>
        <v>1</v>
      </c>
      <c r="BE20" s="76" t="str">
        <f>REPLACE(INDEX(GroupVertices[Group],MATCH(Edges[[#This Row],[Vertex 2]],GroupVertices[Vertex],0)),1,1,"")</f>
        <v>1</v>
      </c>
      <c r="BF20" s="31"/>
      <c r="BG20" s="31"/>
      <c r="BH20" s="31"/>
      <c r="BI20" s="31"/>
      <c r="BJ20" s="31"/>
      <c r="BK20" s="31"/>
      <c r="BL20" s="31"/>
      <c r="BM20" s="31"/>
      <c r="BN20" s="31"/>
    </row>
    <row r="21" spans="1:66" ht="15">
      <c r="A21" s="61" t="s">
        <v>259</v>
      </c>
      <c r="B21" s="61" t="s">
        <v>286</v>
      </c>
      <c r="C21" s="62"/>
      <c r="D21" s="63"/>
      <c r="E21" s="64"/>
      <c r="F21" s="65"/>
      <c r="G21" s="62"/>
      <c r="H21" s="66"/>
      <c r="I21" s="67"/>
      <c r="J21" s="67"/>
      <c r="K21" s="31" t="s">
        <v>65</v>
      </c>
      <c r="L21" s="75">
        <v>21</v>
      </c>
      <c r="M21" s="75"/>
      <c r="N21" s="69"/>
      <c r="O21" s="77" t="s">
        <v>447</v>
      </c>
      <c r="P21" s="79">
        <v>44962.35833333333</v>
      </c>
      <c r="Q21" s="77" t="s">
        <v>453</v>
      </c>
      <c r="R21" s="77"/>
      <c r="S21" s="77"/>
      <c r="T21" s="77"/>
      <c r="U21" s="77"/>
      <c r="V21" s="80" t="str">
        <f>HYPERLINK("https://pbs.twimg.com/profile_images/1142339080073678848/Slkhl6pj_normal.png")</f>
        <v>https://pbs.twimg.com/profile_images/1142339080073678848/Slkhl6pj_normal.png</v>
      </c>
      <c r="W21" s="79">
        <v>44962.35833333333</v>
      </c>
      <c r="X21" s="84">
        <v>44962</v>
      </c>
      <c r="Y21" s="81" t="s">
        <v>588</v>
      </c>
      <c r="Z21" s="80" t="str">
        <f>HYPERLINK("https://twitter.com/glynmoody/status/1622152047825911810")</f>
        <v>https://twitter.com/glynmoody/status/1622152047825911810</v>
      </c>
      <c r="AA21" s="77"/>
      <c r="AB21" s="77"/>
      <c r="AC21" s="81" t="s">
        <v>744</v>
      </c>
      <c r="AD21" s="77"/>
      <c r="AE21" s="77" t="b">
        <v>0</v>
      </c>
      <c r="AF21" s="77">
        <v>0</v>
      </c>
      <c r="AG21" s="81" t="s">
        <v>916</v>
      </c>
      <c r="AH21" s="77" t="b">
        <v>0</v>
      </c>
      <c r="AI21" s="77" t="s">
        <v>950</v>
      </c>
      <c r="AJ21" s="77"/>
      <c r="AK21" s="81" t="s">
        <v>916</v>
      </c>
      <c r="AL21" s="77" t="b">
        <v>0</v>
      </c>
      <c r="AM21" s="77">
        <v>16</v>
      </c>
      <c r="AN21" s="81" t="s">
        <v>774</v>
      </c>
      <c r="AO21" s="81" t="s">
        <v>958</v>
      </c>
      <c r="AP21" s="77" t="b">
        <v>0</v>
      </c>
      <c r="AQ21" s="81" t="s">
        <v>774</v>
      </c>
      <c r="AR21" s="77" t="s">
        <v>207</v>
      </c>
      <c r="AS21" s="77">
        <v>0</v>
      </c>
      <c r="AT21" s="77">
        <v>0</v>
      </c>
      <c r="AU21" s="77"/>
      <c r="AV21" s="77"/>
      <c r="AW21" s="77"/>
      <c r="AX21" s="77"/>
      <c r="AY21" s="77"/>
      <c r="AZ21" s="77"/>
      <c r="BA21" s="77"/>
      <c r="BB21" s="77"/>
      <c r="BC21">
        <v>1</v>
      </c>
      <c r="BD21" s="76" t="str">
        <f>REPLACE(INDEX(GroupVertices[Group],MATCH(Edges[[#This Row],[Vertex 1]],GroupVertices[Vertex],0)),1,1,"")</f>
        <v>1</v>
      </c>
      <c r="BE21" s="76" t="str">
        <f>REPLACE(INDEX(GroupVertices[Group],MATCH(Edges[[#This Row],[Vertex 2]],GroupVertices[Vertex],0)),1,1,"")</f>
        <v>1</v>
      </c>
      <c r="BF21" s="31"/>
      <c r="BG21" s="31"/>
      <c r="BH21" s="31"/>
      <c r="BI21" s="31"/>
      <c r="BJ21" s="31"/>
      <c r="BK21" s="31"/>
      <c r="BL21" s="31"/>
      <c r="BM21" s="31"/>
      <c r="BN21" s="31"/>
    </row>
    <row r="22" spans="1:66" ht="15">
      <c r="A22" s="61" t="s">
        <v>260</v>
      </c>
      <c r="B22" s="61" t="s">
        <v>286</v>
      </c>
      <c r="C22" s="62"/>
      <c r="D22" s="63"/>
      <c r="E22" s="64"/>
      <c r="F22" s="65"/>
      <c r="G22" s="62"/>
      <c r="H22" s="66"/>
      <c r="I22" s="67"/>
      <c r="J22" s="67"/>
      <c r="K22" s="31" t="s">
        <v>65</v>
      </c>
      <c r="L22" s="75">
        <v>22</v>
      </c>
      <c r="M22" s="75"/>
      <c r="N22" s="69"/>
      <c r="O22" s="77" t="s">
        <v>447</v>
      </c>
      <c r="P22" s="79">
        <v>44962.360914351855</v>
      </c>
      <c r="Q22" s="77" t="s">
        <v>453</v>
      </c>
      <c r="R22" s="77"/>
      <c r="S22" s="77"/>
      <c r="T22" s="77"/>
      <c r="U22" s="77"/>
      <c r="V22" s="80" t="str">
        <f>HYPERLINK("https://pbs.twimg.com/profile_images/1568803692903813121/Wheroria_normal.jpg")</f>
        <v>https://pbs.twimg.com/profile_images/1568803692903813121/Wheroria_normal.jpg</v>
      </c>
      <c r="W22" s="79">
        <v>44962.360914351855</v>
      </c>
      <c r="X22" s="84">
        <v>44962</v>
      </c>
      <c r="Y22" s="81" t="s">
        <v>589</v>
      </c>
      <c r="Z22" s="80" t="str">
        <f>HYPERLINK("https://twitter.com/openpolicynz/status/1622152982921105410")</f>
        <v>https://twitter.com/openpolicynz/status/1622152982921105410</v>
      </c>
      <c r="AA22" s="77"/>
      <c r="AB22" s="77"/>
      <c r="AC22" s="81" t="s">
        <v>745</v>
      </c>
      <c r="AD22" s="77"/>
      <c r="AE22" s="77" t="b">
        <v>0</v>
      </c>
      <c r="AF22" s="77">
        <v>0</v>
      </c>
      <c r="AG22" s="81" t="s">
        <v>916</v>
      </c>
      <c r="AH22" s="77" t="b">
        <v>0</v>
      </c>
      <c r="AI22" s="77" t="s">
        <v>950</v>
      </c>
      <c r="AJ22" s="77"/>
      <c r="AK22" s="81" t="s">
        <v>916</v>
      </c>
      <c r="AL22" s="77" t="b">
        <v>0</v>
      </c>
      <c r="AM22" s="77">
        <v>16</v>
      </c>
      <c r="AN22" s="81" t="s">
        <v>774</v>
      </c>
      <c r="AO22" s="81" t="s">
        <v>958</v>
      </c>
      <c r="AP22" s="77" t="b">
        <v>0</v>
      </c>
      <c r="AQ22" s="81" t="s">
        <v>774</v>
      </c>
      <c r="AR22" s="77" t="s">
        <v>207</v>
      </c>
      <c r="AS22" s="77">
        <v>0</v>
      </c>
      <c r="AT22" s="77">
        <v>0</v>
      </c>
      <c r="AU22" s="77"/>
      <c r="AV22" s="77"/>
      <c r="AW22" s="77"/>
      <c r="AX22" s="77"/>
      <c r="AY22" s="77"/>
      <c r="AZ22" s="77"/>
      <c r="BA22" s="77"/>
      <c r="BB22" s="77"/>
      <c r="BC22">
        <v>1</v>
      </c>
      <c r="BD22" s="76" t="str">
        <f>REPLACE(INDEX(GroupVertices[Group],MATCH(Edges[[#This Row],[Vertex 1]],GroupVertices[Vertex],0)),1,1,"")</f>
        <v>1</v>
      </c>
      <c r="BE22" s="76" t="str">
        <f>REPLACE(INDEX(GroupVertices[Group],MATCH(Edges[[#This Row],[Vertex 2]],GroupVertices[Vertex],0)),1,1,"")</f>
        <v>1</v>
      </c>
      <c r="BF22" s="31"/>
      <c r="BG22" s="31"/>
      <c r="BH22" s="31"/>
      <c r="BI22" s="31"/>
      <c r="BJ22" s="31"/>
      <c r="BK22" s="31"/>
      <c r="BL22" s="31"/>
      <c r="BM22" s="31"/>
      <c r="BN22" s="31"/>
    </row>
    <row r="23" spans="1:66" ht="15">
      <c r="A23" s="61" t="s">
        <v>261</v>
      </c>
      <c r="B23" s="61" t="s">
        <v>261</v>
      </c>
      <c r="C23" s="62"/>
      <c r="D23" s="63"/>
      <c r="E23" s="64"/>
      <c r="F23" s="65"/>
      <c r="G23" s="62"/>
      <c r="H23" s="66"/>
      <c r="I23" s="67"/>
      <c r="J23" s="67"/>
      <c r="K23" s="31" t="s">
        <v>65</v>
      </c>
      <c r="L23" s="75">
        <v>23</v>
      </c>
      <c r="M23" s="75"/>
      <c r="N23" s="69"/>
      <c r="O23" s="77" t="s">
        <v>207</v>
      </c>
      <c r="P23" s="79">
        <v>44962.44793981482</v>
      </c>
      <c r="Q23" s="77" t="s">
        <v>456</v>
      </c>
      <c r="R23" s="77"/>
      <c r="S23" s="77"/>
      <c r="T23" s="81" t="s">
        <v>562</v>
      </c>
      <c r="U23" s="80" t="str">
        <f>HYPERLINK("https://pbs.twimg.com/media/FoMk9GqacAAd6w5.jpg")</f>
        <v>https://pbs.twimg.com/media/FoMk9GqacAAd6w5.jpg</v>
      </c>
      <c r="V23" s="80" t="str">
        <f>HYPERLINK("https://pbs.twimg.com/media/FoMk9GqacAAd6w5.jpg")</f>
        <v>https://pbs.twimg.com/media/FoMk9GqacAAd6w5.jpg</v>
      </c>
      <c r="W23" s="79">
        <v>44962.44793981482</v>
      </c>
      <c r="X23" s="84">
        <v>44962</v>
      </c>
      <c r="Y23" s="81" t="s">
        <v>590</v>
      </c>
      <c r="Z23" s="80" t="str">
        <f>HYPERLINK("https://twitter.com/dumindaxsb/status/1622184518454247425")</f>
        <v>https://twitter.com/dumindaxsb/status/1622184518454247425</v>
      </c>
      <c r="AA23" s="77"/>
      <c r="AB23" s="77"/>
      <c r="AC23" s="81" t="s">
        <v>746</v>
      </c>
      <c r="AD23" s="77"/>
      <c r="AE23" s="77" t="b">
        <v>0</v>
      </c>
      <c r="AF23" s="77">
        <v>1</v>
      </c>
      <c r="AG23" s="81" t="s">
        <v>916</v>
      </c>
      <c r="AH23" s="77" t="b">
        <v>0</v>
      </c>
      <c r="AI23" s="77" t="s">
        <v>950</v>
      </c>
      <c r="AJ23" s="77"/>
      <c r="AK23" s="81" t="s">
        <v>916</v>
      </c>
      <c r="AL23" s="77" t="b">
        <v>0</v>
      </c>
      <c r="AM23" s="77">
        <v>0</v>
      </c>
      <c r="AN23" s="81" t="s">
        <v>916</v>
      </c>
      <c r="AO23" s="81" t="s">
        <v>958</v>
      </c>
      <c r="AP23" s="77" t="b">
        <v>0</v>
      </c>
      <c r="AQ23" s="81" t="s">
        <v>746</v>
      </c>
      <c r="AR23" s="77" t="s">
        <v>207</v>
      </c>
      <c r="AS23" s="77">
        <v>0</v>
      </c>
      <c r="AT23" s="77">
        <v>0</v>
      </c>
      <c r="AU23" s="77"/>
      <c r="AV23" s="77"/>
      <c r="AW23" s="77"/>
      <c r="AX23" s="77"/>
      <c r="AY23" s="77"/>
      <c r="AZ23" s="77"/>
      <c r="BA23" s="77"/>
      <c r="BB23" s="77"/>
      <c r="BC23">
        <v>1</v>
      </c>
      <c r="BD23" s="76" t="str">
        <f>REPLACE(INDEX(GroupVertices[Group],MATCH(Edges[[#This Row],[Vertex 1]],GroupVertices[Vertex],0)),1,1,"")</f>
        <v>79</v>
      </c>
      <c r="BE23" s="76" t="str">
        <f>REPLACE(INDEX(GroupVertices[Group],MATCH(Edges[[#This Row],[Vertex 2]],GroupVertices[Vertex],0)),1,1,"")</f>
        <v>79</v>
      </c>
      <c r="BF23" s="31"/>
      <c r="BG23" s="31"/>
      <c r="BH23" s="31"/>
      <c r="BI23" s="31"/>
      <c r="BJ23" s="31"/>
      <c r="BK23" s="31"/>
      <c r="BL23" s="31"/>
      <c r="BM23" s="31"/>
      <c r="BN23" s="31"/>
    </row>
    <row r="24" spans="1:66" ht="15">
      <c r="A24" s="61" t="s">
        <v>262</v>
      </c>
      <c r="B24" s="61" t="s">
        <v>286</v>
      </c>
      <c r="C24" s="62"/>
      <c r="D24" s="63"/>
      <c r="E24" s="64"/>
      <c r="F24" s="65"/>
      <c r="G24" s="62"/>
      <c r="H24" s="66"/>
      <c r="I24" s="67"/>
      <c r="J24" s="67"/>
      <c r="K24" s="31" t="s">
        <v>65</v>
      </c>
      <c r="L24" s="75">
        <v>24</v>
      </c>
      <c r="M24" s="75"/>
      <c r="N24" s="69"/>
      <c r="O24" s="77" t="s">
        <v>447</v>
      </c>
      <c r="P24" s="79">
        <v>44962.511712962965</v>
      </c>
      <c r="Q24" s="77" t="s">
        <v>453</v>
      </c>
      <c r="R24" s="77"/>
      <c r="S24" s="77"/>
      <c r="T24" s="77"/>
      <c r="U24" s="77"/>
      <c r="V24" s="80" t="str">
        <f>HYPERLINK("https://pbs.twimg.com/profile_images/1612160611386793985/1WDu7ICU_normal.jpg")</f>
        <v>https://pbs.twimg.com/profile_images/1612160611386793985/1WDu7ICU_normal.jpg</v>
      </c>
      <c r="W24" s="79">
        <v>44962.511712962965</v>
      </c>
      <c r="X24" s="84">
        <v>44962</v>
      </c>
      <c r="Y24" s="81" t="s">
        <v>591</v>
      </c>
      <c r="Z24" s="80" t="str">
        <f>HYPERLINK("https://twitter.com/hvdsomp/status/1622207628536324096")</f>
        <v>https://twitter.com/hvdsomp/status/1622207628536324096</v>
      </c>
      <c r="AA24" s="77"/>
      <c r="AB24" s="77"/>
      <c r="AC24" s="81" t="s">
        <v>747</v>
      </c>
      <c r="AD24" s="77"/>
      <c r="AE24" s="77" t="b">
        <v>0</v>
      </c>
      <c r="AF24" s="77">
        <v>0</v>
      </c>
      <c r="AG24" s="81" t="s">
        <v>916</v>
      </c>
      <c r="AH24" s="77" t="b">
        <v>0</v>
      </c>
      <c r="AI24" s="77" t="s">
        <v>950</v>
      </c>
      <c r="AJ24" s="77"/>
      <c r="AK24" s="81" t="s">
        <v>916</v>
      </c>
      <c r="AL24" s="77" t="b">
        <v>0</v>
      </c>
      <c r="AM24" s="77">
        <v>16</v>
      </c>
      <c r="AN24" s="81" t="s">
        <v>774</v>
      </c>
      <c r="AO24" s="81" t="s">
        <v>960</v>
      </c>
      <c r="AP24" s="77" t="b">
        <v>0</v>
      </c>
      <c r="AQ24" s="81" t="s">
        <v>774</v>
      </c>
      <c r="AR24" s="77" t="s">
        <v>207</v>
      </c>
      <c r="AS24" s="77">
        <v>0</v>
      </c>
      <c r="AT24" s="77">
        <v>0</v>
      </c>
      <c r="AU24" s="77"/>
      <c r="AV24" s="77"/>
      <c r="AW24" s="77"/>
      <c r="AX24" s="77"/>
      <c r="AY24" s="77"/>
      <c r="AZ24" s="77"/>
      <c r="BA24" s="77"/>
      <c r="BB24" s="77"/>
      <c r="BC24">
        <v>1</v>
      </c>
      <c r="BD24" s="76" t="str">
        <f>REPLACE(INDEX(GroupVertices[Group],MATCH(Edges[[#This Row],[Vertex 1]],GroupVertices[Vertex],0)),1,1,"")</f>
        <v>1</v>
      </c>
      <c r="BE24" s="76" t="str">
        <f>REPLACE(INDEX(GroupVertices[Group],MATCH(Edges[[#This Row],[Vertex 2]],GroupVertices[Vertex],0)),1,1,"")</f>
        <v>1</v>
      </c>
      <c r="BF24" s="31"/>
      <c r="BG24" s="31"/>
      <c r="BH24" s="31"/>
      <c r="BI24" s="31"/>
      <c r="BJ24" s="31"/>
      <c r="BK24" s="31"/>
      <c r="BL24" s="31"/>
      <c r="BM24" s="31"/>
      <c r="BN24" s="31"/>
    </row>
    <row r="25" spans="1:66" ht="15">
      <c r="A25" s="61" t="s">
        <v>263</v>
      </c>
      <c r="B25" s="61" t="s">
        <v>286</v>
      </c>
      <c r="C25" s="62"/>
      <c r="D25" s="63"/>
      <c r="E25" s="64"/>
      <c r="F25" s="65"/>
      <c r="G25" s="62"/>
      <c r="H25" s="66"/>
      <c r="I25" s="67"/>
      <c r="J25" s="67"/>
      <c r="K25" s="31" t="s">
        <v>65</v>
      </c>
      <c r="L25" s="75">
        <v>25</v>
      </c>
      <c r="M25" s="75"/>
      <c r="N25" s="69"/>
      <c r="O25" s="77" t="s">
        <v>447</v>
      </c>
      <c r="P25" s="79">
        <v>44962.51174768519</v>
      </c>
      <c r="Q25" s="77" t="s">
        <v>453</v>
      </c>
      <c r="R25" s="77"/>
      <c r="S25" s="77"/>
      <c r="T25" s="77"/>
      <c r="U25" s="77"/>
      <c r="V25" s="80" t="str">
        <f>HYPERLINK("https://pbs.twimg.com/profile_images/1595031586306592768/1I1U04sj_normal.jpg")</f>
        <v>https://pbs.twimg.com/profile_images/1595031586306592768/1I1U04sj_normal.jpg</v>
      </c>
      <c r="W25" s="79">
        <v>44962.51174768519</v>
      </c>
      <c r="X25" s="84">
        <v>44962</v>
      </c>
      <c r="Y25" s="81" t="s">
        <v>592</v>
      </c>
      <c r="Z25" s="80" t="str">
        <f>HYPERLINK("https://twitter.com/calamur/status/1622207640335167488")</f>
        <v>https://twitter.com/calamur/status/1622207640335167488</v>
      </c>
      <c r="AA25" s="77"/>
      <c r="AB25" s="77"/>
      <c r="AC25" s="81" t="s">
        <v>748</v>
      </c>
      <c r="AD25" s="77"/>
      <c r="AE25" s="77" t="b">
        <v>0</v>
      </c>
      <c r="AF25" s="77">
        <v>0</v>
      </c>
      <c r="AG25" s="81" t="s">
        <v>916</v>
      </c>
      <c r="AH25" s="77" t="b">
        <v>0</v>
      </c>
      <c r="AI25" s="77" t="s">
        <v>950</v>
      </c>
      <c r="AJ25" s="77"/>
      <c r="AK25" s="81" t="s">
        <v>916</v>
      </c>
      <c r="AL25" s="77" t="b">
        <v>0</v>
      </c>
      <c r="AM25" s="77">
        <v>16</v>
      </c>
      <c r="AN25" s="81" t="s">
        <v>774</v>
      </c>
      <c r="AO25" s="81" t="s">
        <v>958</v>
      </c>
      <c r="AP25" s="77" t="b">
        <v>0</v>
      </c>
      <c r="AQ25" s="81" t="s">
        <v>774</v>
      </c>
      <c r="AR25" s="77" t="s">
        <v>207</v>
      </c>
      <c r="AS25" s="77">
        <v>0</v>
      </c>
      <c r="AT25" s="77">
        <v>0</v>
      </c>
      <c r="AU25" s="77"/>
      <c r="AV25" s="77"/>
      <c r="AW25" s="77"/>
      <c r="AX25" s="77"/>
      <c r="AY25" s="77"/>
      <c r="AZ25" s="77"/>
      <c r="BA25" s="77"/>
      <c r="BB25" s="77"/>
      <c r="BC25">
        <v>1</v>
      </c>
      <c r="BD25" s="76" t="str">
        <f>REPLACE(INDEX(GroupVertices[Group],MATCH(Edges[[#This Row],[Vertex 1]],GroupVertices[Vertex],0)),1,1,"")</f>
        <v>1</v>
      </c>
      <c r="BE25" s="76" t="str">
        <f>REPLACE(INDEX(GroupVertices[Group],MATCH(Edges[[#This Row],[Vertex 2]],GroupVertices[Vertex],0)),1,1,"")</f>
        <v>1</v>
      </c>
      <c r="BF25" s="31"/>
      <c r="BG25" s="31"/>
      <c r="BH25" s="31"/>
      <c r="BI25" s="31"/>
      <c r="BJ25" s="31"/>
      <c r="BK25" s="31"/>
      <c r="BL25" s="31"/>
      <c r="BM25" s="31"/>
      <c r="BN25" s="31"/>
    </row>
    <row r="26" spans="1:66" ht="15">
      <c r="A26" s="61" t="s">
        <v>264</v>
      </c>
      <c r="B26" s="61" t="s">
        <v>286</v>
      </c>
      <c r="C26" s="62"/>
      <c r="D26" s="63"/>
      <c r="E26" s="64"/>
      <c r="F26" s="65"/>
      <c r="G26" s="62"/>
      <c r="H26" s="66"/>
      <c r="I26" s="67"/>
      <c r="J26" s="67"/>
      <c r="K26" s="31" t="s">
        <v>65</v>
      </c>
      <c r="L26" s="75">
        <v>26</v>
      </c>
      <c r="M26" s="75"/>
      <c r="N26" s="69"/>
      <c r="O26" s="77" t="s">
        <v>447</v>
      </c>
      <c r="P26" s="79">
        <v>44962.527395833335</v>
      </c>
      <c r="Q26" s="77" t="s">
        <v>453</v>
      </c>
      <c r="R26" s="77"/>
      <c r="S26" s="77"/>
      <c r="T26" s="77"/>
      <c r="U26" s="77"/>
      <c r="V26" s="80" t="str">
        <f>HYPERLINK("https://pbs.twimg.com/profile_images/875461018088034304/SSQX4sMy_normal.jpg")</f>
        <v>https://pbs.twimg.com/profile_images/875461018088034304/SSQX4sMy_normal.jpg</v>
      </c>
      <c r="W26" s="79">
        <v>44962.527395833335</v>
      </c>
      <c r="X26" s="84">
        <v>44962</v>
      </c>
      <c r="Y26" s="81" t="s">
        <v>593</v>
      </c>
      <c r="Z26" s="80" t="str">
        <f>HYPERLINK("https://twitter.com/mivesto/status/1622213313718255616")</f>
        <v>https://twitter.com/mivesto/status/1622213313718255616</v>
      </c>
      <c r="AA26" s="77"/>
      <c r="AB26" s="77"/>
      <c r="AC26" s="81" t="s">
        <v>749</v>
      </c>
      <c r="AD26" s="77"/>
      <c r="AE26" s="77" t="b">
        <v>0</v>
      </c>
      <c r="AF26" s="77">
        <v>0</v>
      </c>
      <c r="AG26" s="81" t="s">
        <v>916</v>
      </c>
      <c r="AH26" s="77" t="b">
        <v>0</v>
      </c>
      <c r="AI26" s="77" t="s">
        <v>950</v>
      </c>
      <c r="AJ26" s="77"/>
      <c r="AK26" s="81" t="s">
        <v>916</v>
      </c>
      <c r="AL26" s="77" t="b">
        <v>0</v>
      </c>
      <c r="AM26" s="77">
        <v>16</v>
      </c>
      <c r="AN26" s="81" t="s">
        <v>774</v>
      </c>
      <c r="AO26" s="81" t="s">
        <v>959</v>
      </c>
      <c r="AP26" s="77" t="b">
        <v>0</v>
      </c>
      <c r="AQ26" s="81" t="s">
        <v>774</v>
      </c>
      <c r="AR26" s="77" t="s">
        <v>207</v>
      </c>
      <c r="AS26" s="77">
        <v>0</v>
      </c>
      <c r="AT26" s="77">
        <v>0</v>
      </c>
      <c r="AU26" s="77"/>
      <c r="AV26" s="77"/>
      <c r="AW26" s="77"/>
      <c r="AX26" s="77"/>
      <c r="AY26" s="77"/>
      <c r="AZ26" s="77"/>
      <c r="BA26" s="77"/>
      <c r="BB26" s="77"/>
      <c r="BC26">
        <v>1</v>
      </c>
      <c r="BD26" s="76" t="str">
        <f>REPLACE(INDEX(GroupVertices[Group],MATCH(Edges[[#This Row],[Vertex 1]],GroupVertices[Vertex],0)),1,1,"")</f>
        <v>1</v>
      </c>
      <c r="BE26" s="76" t="str">
        <f>REPLACE(INDEX(GroupVertices[Group],MATCH(Edges[[#This Row],[Vertex 2]],GroupVertices[Vertex],0)),1,1,"")</f>
        <v>1</v>
      </c>
      <c r="BF26" s="31"/>
      <c r="BG26" s="31"/>
      <c r="BH26" s="31"/>
      <c r="BI26" s="31"/>
      <c r="BJ26" s="31"/>
      <c r="BK26" s="31"/>
      <c r="BL26" s="31"/>
      <c r="BM26" s="31"/>
      <c r="BN26" s="31"/>
    </row>
    <row r="27" spans="1:66" ht="15">
      <c r="A27" s="61" t="s">
        <v>265</v>
      </c>
      <c r="B27" s="61" t="s">
        <v>286</v>
      </c>
      <c r="C27" s="62"/>
      <c r="D27" s="63"/>
      <c r="E27" s="64"/>
      <c r="F27" s="65"/>
      <c r="G27" s="62"/>
      <c r="H27" s="66"/>
      <c r="I27" s="67"/>
      <c r="J27" s="67"/>
      <c r="K27" s="31" t="s">
        <v>65</v>
      </c>
      <c r="L27" s="75">
        <v>27</v>
      </c>
      <c r="M27" s="75"/>
      <c r="N27" s="69"/>
      <c r="O27" s="77" t="s">
        <v>447</v>
      </c>
      <c r="P27" s="79">
        <v>44962.64741898148</v>
      </c>
      <c r="Q27" s="77" t="s">
        <v>453</v>
      </c>
      <c r="R27" s="77"/>
      <c r="S27" s="77"/>
      <c r="T27" s="77"/>
      <c r="U27" s="77"/>
      <c r="V27" s="80" t="str">
        <f>HYPERLINK("https://pbs.twimg.com/profile_images/1624072992106897410/ovrU1KW-_normal.jpg")</f>
        <v>https://pbs.twimg.com/profile_images/1624072992106897410/ovrU1KW-_normal.jpg</v>
      </c>
      <c r="W27" s="79">
        <v>44962.64741898148</v>
      </c>
      <c r="X27" s="84">
        <v>44962</v>
      </c>
      <c r="Y27" s="81" t="s">
        <v>594</v>
      </c>
      <c r="Z27" s="80" t="str">
        <f>HYPERLINK("https://twitter.com/jayaisales/status/1622256807514095617")</f>
        <v>https://twitter.com/jayaisales/status/1622256807514095617</v>
      </c>
      <c r="AA27" s="77"/>
      <c r="AB27" s="77"/>
      <c r="AC27" s="81" t="s">
        <v>750</v>
      </c>
      <c r="AD27" s="77"/>
      <c r="AE27" s="77" t="b">
        <v>0</v>
      </c>
      <c r="AF27" s="77">
        <v>0</v>
      </c>
      <c r="AG27" s="81" t="s">
        <v>916</v>
      </c>
      <c r="AH27" s="77" t="b">
        <v>0</v>
      </c>
      <c r="AI27" s="77" t="s">
        <v>950</v>
      </c>
      <c r="AJ27" s="77"/>
      <c r="AK27" s="81" t="s">
        <v>916</v>
      </c>
      <c r="AL27" s="77" t="b">
        <v>0</v>
      </c>
      <c r="AM27" s="77">
        <v>16</v>
      </c>
      <c r="AN27" s="81" t="s">
        <v>774</v>
      </c>
      <c r="AO27" s="81" t="s">
        <v>957</v>
      </c>
      <c r="AP27" s="77" t="b">
        <v>0</v>
      </c>
      <c r="AQ27" s="81" t="s">
        <v>774</v>
      </c>
      <c r="AR27" s="77" t="s">
        <v>207</v>
      </c>
      <c r="AS27" s="77">
        <v>0</v>
      </c>
      <c r="AT27" s="77">
        <v>0</v>
      </c>
      <c r="AU27" s="77"/>
      <c r="AV27" s="77"/>
      <c r="AW27" s="77"/>
      <c r="AX27" s="77"/>
      <c r="AY27" s="77"/>
      <c r="AZ27" s="77"/>
      <c r="BA27" s="77"/>
      <c r="BB27" s="77"/>
      <c r="BC27">
        <v>1</v>
      </c>
      <c r="BD27" s="76" t="str">
        <f>REPLACE(INDEX(GroupVertices[Group],MATCH(Edges[[#This Row],[Vertex 1]],GroupVertices[Vertex],0)),1,1,"")</f>
        <v>1</v>
      </c>
      <c r="BE27" s="76" t="str">
        <f>REPLACE(INDEX(GroupVertices[Group],MATCH(Edges[[#This Row],[Vertex 2]],GroupVertices[Vertex],0)),1,1,"")</f>
        <v>1</v>
      </c>
      <c r="BF27" s="31"/>
      <c r="BG27" s="31"/>
      <c r="BH27" s="31"/>
      <c r="BI27" s="31"/>
      <c r="BJ27" s="31"/>
      <c r="BK27" s="31"/>
      <c r="BL27" s="31"/>
      <c r="BM27" s="31"/>
      <c r="BN27" s="31"/>
    </row>
    <row r="28" spans="1:66" ht="15">
      <c r="A28" s="61" t="s">
        <v>266</v>
      </c>
      <c r="B28" s="61" t="s">
        <v>286</v>
      </c>
      <c r="C28" s="62"/>
      <c r="D28" s="63"/>
      <c r="E28" s="64"/>
      <c r="F28" s="65"/>
      <c r="G28" s="62"/>
      <c r="H28" s="66"/>
      <c r="I28" s="67"/>
      <c r="J28" s="67"/>
      <c r="K28" s="31" t="s">
        <v>65</v>
      </c>
      <c r="L28" s="75">
        <v>28</v>
      </c>
      <c r="M28" s="75"/>
      <c r="N28" s="69"/>
      <c r="O28" s="77" t="s">
        <v>447</v>
      </c>
      <c r="P28" s="79">
        <v>44962.70298611111</v>
      </c>
      <c r="Q28" s="77" t="s">
        <v>453</v>
      </c>
      <c r="R28" s="77"/>
      <c r="S28" s="77"/>
      <c r="T28" s="77"/>
      <c r="U28" s="77"/>
      <c r="V28" s="80" t="str">
        <f>HYPERLINK("https://pbs.twimg.com/profile_images/1371833629962293253/0wKhtS0b_normal.jpg")</f>
        <v>https://pbs.twimg.com/profile_images/1371833629962293253/0wKhtS0b_normal.jpg</v>
      </c>
      <c r="W28" s="79">
        <v>44962.70298611111</v>
      </c>
      <c r="X28" s="84">
        <v>44962</v>
      </c>
      <c r="Y28" s="81" t="s">
        <v>595</v>
      </c>
      <c r="Z28" s="80" t="str">
        <f>HYPERLINK("https://twitter.com/deepdyve/status/1622276944636293120")</f>
        <v>https://twitter.com/deepdyve/status/1622276944636293120</v>
      </c>
      <c r="AA28" s="77"/>
      <c r="AB28" s="77"/>
      <c r="AC28" s="81" t="s">
        <v>751</v>
      </c>
      <c r="AD28" s="77"/>
      <c r="AE28" s="77" t="b">
        <v>0</v>
      </c>
      <c r="AF28" s="77">
        <v>0</v>
      </c>
      <c r="AG28" s="81" t="s">
        <v>916</v>
      </c>
      <c r="AH28" s="77" t="b">
        <v>0</v>
      </c>
      <c r="AI28" s="77" t="s">
        <v>950</v>
      </c>
      <c r="AJ28" s="77"/>
      <c r="AK28" s="81" t="s">
        <v>916</v>
      </c>
      <c r="AL28" s="77" t="b">
        <v>0</v>
      </c>
      <c r="AM28" s="77">
        <v>16</v>
      </c>
      <c r="AN28" s="81" t="s">
        <v>774</v>
      </c>
      <c r="AO28" s="81" t="s">
        <v>958</v>
      </c>
      <c r="AP28" s="77" t="b">
        <v>0</v>
      </c>
      <c r="AQ28" s="81" t="s">
        <v>774</v>
      </c>
      <c r="AR28" s="77" t="s">
        <v>207</v>
      </c>
      <c r="AS28" s="77">
        <v>0</v>
      </c>
      <c r="AT28" s="77">
        <v>0</v>
      </c>
      <c r="AU28" s="77"/>
      <c r="AV28" s="77"/>
      <c r="AW28" s="77"/>
      <c r="AX28" s="77"/>
      <c r="AY28" s="77"/>
      <c r="AZ28" s="77"/>
      <c r="BA28" s="77"/>
      <c r="BB28" s="77"/>
      <c r="BC28">
        <v>1</v>
      </c>
      <c r="BD28" s="76" t="str">
        <f>REPLACE(INDEX(GroupVertices[Group],MATCH(Edges[[#This Row],[Vertex 1]],GroupVertices[Vertex],0)),1,1,"")</f>
        <v>1</v>
      </c>
      <c r="BE28" s="76" t="str">
        <f>REPLACE(INDEX(GroupVertices[Group],MATCH(Edges[[#This Row],[Vertex 2]],GroupVertices[Vertex],0)),1,1,"")</f>
        <v>1</v>
      </c>
      <c r="BF28" s="31"/>
      <c r="BG28" s="31"/>
      <c r="BH28" s="31"/>
      <c r="BI28" s="31"/>
      <c r="BJ28" s="31"/>
      <c r="BK28" s="31"/>
      <c r="BL28" s="31"/>
      <c r="BM28" s="31"/>
      <c r="BN28" s="31"/>
    </row>
    <row r="29" spans="1:66" ht="15">
      <c r="A29" s="61" t="s">
        <v>267</v>
      </c>
      <c r="B29" s="61" t="s">
        <v>391</v>
      </c>
      <c r="C29" s="62"/>
      <c r="D29" s="63"/>
      <c r="E29" s="64"/>
      <c r="F29" s="65"/>
      <c r="G29" s="62"/>
      <c r="H29" s="66"/>
      <c r="I29" s="67"/>
      <c r="J29" s="67"/>
      <c r="K29" s="31" t="s">
        <v>65</v>
      </c>
      <c r="L29" s="75">
        <v>29</v>
      </c>
      <c r="M29" s="75"/>
      <c r="N29" s="69"/>
      <c r="O29" s="77" t="s">
        <v>448</v>
      </c>
      <c r="P29" s="79">
        <v>44962.72914351852</v>
      </c>
      <c r="Q29" s="77" t="s">
        <v>457</v>
      </c>
      <c r="R29" s="77"/>
      <c r="S29" s="77"/>
      <c r="T29" s="77"/>
      <c r="U29" s="77"/>
      <c r="V29" s="80" t="str">
        <f>HYPERLINK("https://pbs.twimg.com/profile_images/1524870102109282321/cC1lIJSn_normal.jpg")</f>
        <v>https://pbs.twimg.com/profile_images/1524870102109282321/cC1lIJSn_normal.jpg</v>
      </c>
      <c r="W29" s="79">
        <v>44962.72914351852</v>
      </c>
      <c r="X29" s="84">
        <v>44962</v>
      </c>
      <c r="Y29" s="81" t="s">
        <v>596</v>
      </c>
      <c r="Z29" s="80" t="str">
        <f>HYPERLINK("https://twitter.com/colorblinding/status/1622286423154982919")</f>
        <v>https://twitter.com/colorblinding/status/1622286423154982919</v>
      </c>
      <c r="AA29" s="77"/>
      <c r="AB29" s="77"/>
      <c r="AC29" s="81" t="s">
        <v>752</v>
      </c>
      <c r="AD29" s="81" t="s">
        <v>889</v>
      </c>
      <c r="AE29" s="77" t="b">
        <v>0</v>
      </c>
      <c r="AF29" s="77">
        <v>1</v>
      </c>
      <c r="AG29" s="81" t="s">
        <v>920</v>
      </c>
      <c r="AH29" s="77" t="b">
        <v>0</v>
      </c>
      <c r="AI29" s="77" t="s">
        <v>950</v>
      </c>
      <c r="AJ29" s="77"/>
      <c r="AK29" s="81" t="s">
        <v>916</v>
      </c>
      <c r="AL29" s="77" t="b">
        <v>0</v>
      </c>
      <c r="AM29" s="77">
        <v>0</v>
      </c>
      <c r="AN29" s="81" t="s">
        <v>916</v>
      </c>
      <c r="AO29" s="81" t="s">
        <v>957</v>
      </c>
      <c r="AP29" s="77" t="b">
        <v>0</v>
      </c>
      <c r="AQ29" s="81" t="s">
        <v>889</v>
      </c>
      <c r="AR29" s="77" t="s">
        <v>207</v>
      </c>
      <c r="AS29" s="77">
        <v>0</v>
      </c>
      <c r="AT29" s="77">
        <v>0</v>
      </c>
      <c r="AU29" s="77"/>
      <c r="AV29" s="77"/>
      <c r="AW29" s="77"/>
      <c r="AX29" s="77"/>
      <c r="AY29" s="77"/>
      <c r="AZ29" s="77"/>
      <c r="BA29" s="77"/>
      <c r="BB29" s="77"/>
      <c r="BC29">
        <v>1</v>
      </c>
      <c r="BD29" s="76" t="str">
        <f>REPLACE(INDEX(GroupVertices[Group],MATCH(Edges[[#This Row],[Vertex 1]],GroupVertices[Vertex],0)),1,1,"")</f>
        <v>13</v>
      </c>
      <c r="BE29" s="76" t="str">
        <f>REPLACE(INDEX(GroupVertices[Group],MATCH(Edges[[#This Row],[Vertex 2]],GroupVertices[Vertex],0)),1,1,"")</f>
        <v>13</v>
      </c>
      <c r="BF29" s="31"/>
      <c r="BG29" s="31"/>
      <c r="BH29" s="31"/>
      <c r="BI29" s="31"/>
      <c r="BJ29" s="31"/>
      <c r="BK29" s="31"/>
      <c r="BL29" s="31"/>
      <c r="BM29" s="31"/>
      <c r="BN29" s="31"/>
    </row>
    <row r="30" spans="1:66" ht="15">
      <c r="A30" s="61" t="s">
        <v>267</v>
      </c>
      <c r="B30" s="61" t="s">
        <v>392</v>
      </c>
      <c r="C30" s="62"/>
      <c r="D30" s="63"/>
      <c r="E30" s="64"/>
      <c r="F30" s="65"/>
      <c r="G30" s="62"/>
      <c r="H30" s="66"/>
      <c r="I30" s="67"/>
      <c r="J30" s="67"/>
      <c r="K30" s="31" t="s">
        <v>65</v>
      </c>
      <c r="L30" s="75">
        <v>30</v>
      </c>
      <c r="M30" s="75"/>
      <c r="N30" s="69"/>
      <c r="O30" s="77" t="s">
        <v>448</v>
      </c>
      <c r="P30" s="79">
        <v>44962.72914351852</v>
      </c>
      <c r="Q30" s="77" t="s">
        <v>457</v>
      </c>
      <c r="R30" s="77"/>
      <c r="S30" s="77"/>
      <c r="T30" s="77"/>
      <c r="U30" s="77"/>
      <c r="V30" s="80" t="str">
        <f>HYPERLINK("https://pbs.twimg.com/profile_images/1524870102109282321/cC1lIJSn_normal.jpg")</f>
        <v>https://pbs.twimg.com/profile_images/1524870102109282321/cC1lIJSn_normal.jpg</v>
      </c>
      <c r="W30" s="79">
        <v>44962.72914351852</v>
      </c>
      <c r="X30" s="84">
        <v>44962</v>
      </c>
      <c r="Y30" s="81" t="s">
        <v>596</v>
      </c>
      <c r="Z30" s="80" t="str">
        <f>HYPERLINK("https://twitter.com/colorblinding/status/1622286423154982919")</f>
        <v>https://twitter.com/colorblinding/status/1622286423154982919</v>
      </c>
      <c r="AA30" s="77"/>
      <c r="AB30" s="77"/>
      <c r="AC30" s="81" t="s">
        <v>752</v>
      </c>
      <c r="AD30" s="81" t="s">
        <v>889</v>
      </c>
      <c r="AE30" s="77" t="b">
        <v>0</v>
      </c>
      <c r="AF30" s="77">
        <v>1</v>
      </c>
      <c r="AG30" s="81" t="s">
        <v>920</v>
      </c>
      <c r="AH30" s="77" t="b">
        <v>0</v>
      </c>
      <c r="AI30" s="77" t="s">
        <v>950</v>
      </c>
      <c r="AJ30" s="77"/>
      <c r="AK30" s="81" t="s">
        <v>916</v>
      </c>
      <c r="AL30" s="77" t="b">
        <v>0</v>
      </c>
      <c r="AM30" s="77">
        <v>0</v>
      </c>
      <c r="AN30" s="81" t="s">
        <v>916</v>
      </c>
      <c r="AO30" s="81" t="s">
        <v>957</v>
      </c>
      <c r="AP30" s="77" t="b">
        <v>0</v>
      </c>
      <c r="AQ30" s="81" t="s">
        <v>889</v>
      </c>
      <c r="AR30" s="77" t="s">
        <v>207</v>
      </c>
      <c r="AS30" s="77">
        <v>0</v>
      </c>
      <c r="AT30" s="77">
        <v>0</v>
      </c>
      <c r="AU30" s="77"/>
      <c r="AV30" s="77"/>
      <c r="AW30" s="77"/>
      <c r="AX30" s="77"/>
      <c r="AY30" s="77"/>
      <c r="AZ30" s="77"/>
      <c r="BA30" s="77"/>
      <c r="BB30" s="77"/>
      <c r="BC30">
        <v>1</v>
      </c>
      <c r="BD30" s="76" t="str">
        <f>REPLACE(INDEX(GroupVertices[Group],MATCH(Edges[[#This Row],[Vertex 1]],GroupVertices[Vertex],0)),1,1,"")</f>
        <v>13</v>
      </c>
      <c r="BE30" s="76" t="str">
        <f>REPLACE(INDEX(GroupVertices[Group],MATCH(Edges[[#This Row],[Vertex 2]],GroupVertices[Vertex],0)),1,1,"")</f>
        <v>13</v>
      </c>
      <c r="BF30" s="31"/>
      <c r="BG30" s="31"/>
      <c r="BH30" s="31"/>
      <c r="BI30" s="31"/>
      <c r="BJ30" s="31"/>
      <c r="BK30" s="31"/>
      <c r="BL30" s="31"/>
      <c r="BM30" s="31"/>
      <c r="BN30" s="31"/>
    </row>
    <row r="31" spans="1:66" ht="15">
      <c r="A31" s="61" t="s">
        <v>267</v>
      </c>
      <c r="B31" s="61" t="s">
        <v>393</v>
      </c>
      <c r="C31" s="62"/>
      <c r="D31" s="63"/>
      <c r="E31" s="64"/>
      <c r="F31" s="65"/>
      <c r="G31" s="62"/>
      <c r="H31" s="66"/>
      <c r="I31" s="67"/>
      <c r="J31" s="67"/>
      <c r="K31" s="31" t="s">
        <v>65</v>
      </c>
      <c r="L31" s="75">
        <v>31</v>
      </c>
      <c r="M31" s="75"/>
      <c r="N31" s="69"/>
      <c r="O31" s="77" t="s">
        <v>446</v>
      </c>
      <c r="P31" s="79">
        <v>44962.72914351852</v>
      </c>
      <c r="Q31" s="77" t="s">
        <v>457</v>
      </c>
      <c r="R31" s="77"/>
      <c r="S31" s="77"/>
      <c r="T31" s="77"/>
      <c r="U31" s="77"/>
      <c r="V31" s="80" t="str">
        <f>HYPERLINK("https://pbs.twimg.com/profile_images/1524870102109282321/cC1lIJSn_normal.jpg")</f>
        <v>https://pbs.twimg.com/profile_images/1524870102109282321/cC1lIJSn_normal.jpg</v>
      </c>
      <c r="W31" s="79">
        <v>44962.72914351852</v>
      </c>
      <c r="X31" s="84">
        <v>44962</v>
      </c>
      <c r="Y31" s="81" t="s">
        <v>596</v>
      </c>
      <c r="Z31" s="80" t="str">
        <f>HYPERLINK("https://twitter.com/colorblinding/status/1622286423154982919")</f>
        <v>https://twitter.com/colorblinding/status/1622286423154982919</v>
      </c>
      <c r="AA31" s="77"/>
      <c r="AB31" s="77"/>
      <c r="AC31" s="81" t="s">
        <v>752</v>
      </c>
      <c r="AD31" s="81" t="s">
        <v>889</v>
      </c>
      <c r="AE31" s="77" t="b">
        <v>0</v>
      </c>
      <c r="AF31" s="77">
        <v>1</v>
      </c>
      <c r="AG31" s="81" t="s">
        <v>920</v>
      </c>
      <c r="AH31" s="77" t="b">
        <v>0</v>
      </c>
      <c r="AI31" s="77" t="s">
        <v>950</v>
      </c>
      <c r="AJ31" s="77"/>
      <c r="AK31" s="81" t="s">
        <v>916</v>
      </c>
      <c r="AL31" s="77" t="b">
        <v>0</v>
      </c>
      <c r="AM31" s="77">
        <v>0</v>
      </c>
      <c r="AN31" s="81" t="s">
        <v>916</v>
      </c>
      <c r="AO31" s="81" t="s">
        <v>957</v>
      </c>
      <c r="AP31" s="77" t="b">
        <v>0</v>
      </c>
      <c r="AQ31" s="81" t="s">
        <v>889</v>
      </c>
      <c r="AR31" s="77" t="s">
        <v>207</v>
      </c>
      <c r="AS31" s="77">
        <v>0</v>
      </c>
      <c r="AT31" s="77">
        <v>0</v>
      </c>
      <c r="AU31" s="77"/>
      <c r="AV31" s="77"/>
      <c r="AW31" s="77"/>
      <c r="AX31" s="77"/>
      <c r="AY31" s="77"/>
      <c r="AZ31" s="77"/>
      <c r="BA31" s="77"/>
      <c r="BB31" s="77"/>
      <c r="BC31">
        <v>1</v>
      </c>
      <c r="BD31" s="76" t="str">
        <f>REPLACE(INDEX(GroupVertices[Group],MATCH(Edges[[#This Row],[Vertex 1]],GroupVertices[Vertex],0)),1,1,"")</f>
        <v>13</v>
      </c>
      <c r="BE31" s="76" t="str">
        <f>REPLACE(INDEX(GroupVertices[Group],MATCH(Edges[[#This Row],[Vertex 2]],GroupVertices[Vertex],0)),1,1,"")</f>
        <v>13</v>
      </c>
      <c r="BF31" s="31"/>
      <c r="BG31" s="31"/>
      <c r="BH31" s="31"/>
      <c r="BI31" s="31"/>
      <c r="BJ31" s="31"/>
      <c r="BK31" s="31"/>
      <c r="BL31" s="31"/>
      <c r="BM31" s="31"/>
      <c r="BN31" s="31"/>
    </row>
    <row r="32" spans="1:66" ht="15">
      <c r="A32" s="61" t="s">
        <v>268</v>
      </c>
      <c r="B32" s="61" t="s">
        <v>286</v>
      </c>
      <c r="C32" s="62"/>
      <c r="D32" s="63"/>
      <c r="E32" s="64"/>
      <c r="F32" s="65"/>
      <c r="G32" s="62"/>
      <c r="H32" s="66"/>
      <c r="I32" s="67"/>
      <c r="J32" s="67"/>
      <c r="K32" s="31" t="s">
        <v>65</v>
      </c>
      <c r="L32" s="75">
        <v>32</v>
      </c>
      <c r="M32" s="75"/>
      <c r="N32" s="69"/>
      <c r="O32" s="77" t="s">
        <v>447</v>
      </c>
      <c r="P32" s="79">
        <v>44962.77600694444</v>
      </c>
      <c r="Q32" s="77" t="s">
        <v>453</v>
      </c>
      <c r="R32" s="77"/>
      <c r="S32" s="77"/>
      <c r="T32" s="77"/>
      <c r="U32" s="77"/>
      <c r="V32" s="80" t="str">
        <f>HYPERLINK("https://pbs.twimg.com/profile_images/1033020954144849920/xDQUvsH-_normal.jpg")</f>
        <v>https://pbs.twimg.com/profile_images/1033020954144849920/xDQUvsH-_normal.jpg</v>
      </c>
      <c r="W32" s="79">
        <v>44962.77600694444</v>
      </c>
      <c r="X32" s="84">
        <v>44962</v>
      </c>
      <c r="Y32" s="81" t="s">
        <v>597</v>
      </c>
      <c r="Z32" s="80" t="str">
        <f>HYPERLINK("https://twitter.com/rschrobuk/status/1622303403752693760")</f>
        <v>https://twitter.com/rschrobuk/status/1622303403752693760</v>
      </c>
      <c r="AA32" s="77"/>
      <c r="AB32" s="77"/>
      <c r="AC32" s="81" t="s">
        <v>753</v>
      </c>
      <c r="AD32" s="77"/>
      <c r="AE32" s="77" t="b">
        <v>0</v>
      </c>
      <c r="AF32" s="77">
        <v>0</v>
      </c>
      <c r="AG32" s="81" t="s">
        <v>916</v>
      </c>
      <c r="AH32" s="77" t="b">
        <v>0</v>
      </c>
      <c r="AI32" s="77" t="s">
        <v>950</v>
      </c>
      <c r="AJ32" s="77"/>
      <c r="AK32" s="81" t="s">
        <v>916</v>
      </c>
      <c r="AL32" s="77" t="b">
        <v>0</v>
      </c>
      <c r="AM32" s="77">
        <v>16</v>
      </c>
      <c r="AN32" s="81" t="s">
        <v>774</v>
      </c>
      <c r="AO32" s="81" t="s">
        <v>957</v>
      </c>
      <c r="AP32" s="77" t="b">
        <v>0</v>
      </c>
      <c r="AQ32" s="81" t="s">
        <v>774</v>
      </c>
      <c r="AR32" s="77" t="s">
        <v>207</v>
      </c>
      <c r="AS32" s="77">
        <v>0</v>
      </c>
      <c r="AT32" s="77">
        <v>0</v>
      </c>
      <c r="AU32" s="77"/>
      <c r="AV32" s="77"/>
      <c r="AW32" s="77"/>
      <c r="AX32" s="77"/>
      <c r="AY32" s="77"/>
      <c r="AZ32" s="77"/>
      <c r="BA32" s="77"/>
      <c r="BB32" s="77"/>
      <c r="BC32">
        <v>1</v>
      </c>
      <c r="BD32" s="76" t="str">
        <f>REPLACE(INDEX(GroupVertices[Group],MATCH(Edges[[#This Row],[Vertex 1]],GroupVertices[Vertex],0)),1,1,"")</f>
        <v>1</v>
      </c>
      <c r="BE32" s="76" t="str">
        <f>REPLACE(INDEX(GroupVertices[Group],MATCH(Edges[[#This Row],[Vertex 2]],GroupVertices[Vertex],0)),1,1,"")</f>
        <v>1</v>
      </c>
      <c r="BF32" s="31"/>
      <c r="BG32" s="31"/>
      <c r="BH32" s="31"/>
      <c r="BI32" s="31"/>
      <c r="BJ32" s="31"/>
      <c r="BK32" s="31"/>
      <c r="BL32" s="31"/>
      <c r="BM32" s="31"/>
      <c r="BN32" s="31"/>
    </row>
    <row r="33" spans="1:66" ht="15">
      <c r="A33" s="61" t="s">
        <v>269</v>
      </c>
      <c r="B33" s="61" t="s">
        <v>269</v>
      </c>
      <c r="C33" s="62"/>
      <c r="D33" s="63"/>
      <c r="E33" s="64"/>
      <c r="F33" s="65"/>
      <c r="G33" s="62"/>
      <c r="H33" s="66"/>
      <c r="I33" s="67"/>
      <c r="J33" s="67"/>
      <c r="K33" s="31" t="s">
        <v>65</v>
      </c>
      <c r="L33" s="75">
        <v>33</v>
      </c>
      <c r="M33" s="75"/>
      <c r="N33" s="69"/>
      <c r="O33" s="77" t="s">
        <v>207</v>
      </c>
      <c r="P33" s="79">
        <v>44963.09230324074</v>
      </c>
      <c r="Q33" s="77" t="s">
        <v>458</v>
      </c>
      <c r="R33" s="80" t="str">
        <f>HYPERLINK("https://interestingengineering.com/innovation/chatgpt-ai-will-help-cure-diseases-and-solve-climate-change-chatbot-says")</f>
        <v>https://interestingengineering.com/innovation/chatgpt-ai-will-help-cure-diseases-and-solve-climate-change-chatbot-says</v>
      </c>
      <c r="S33" s="77" t="s">
        <v>550</v>
      </c>
      <c r="T33" s="81" t="s">
        <v>563</v>
      </c>
      <c r="U33" s="77"/>
      <c r="V33" s="80" t="str">
        <f>HYPERLINK("https://pbs.twimg.com/profile_images/688735459892195329/v8sHaWSG_normal.jpg")</f>
        <v>https://pbs.twimg.com/profile_images/688735459892195329/v8sHaWSG_normal.jpg</v>
      </c>
      <c r="W33" s="79">
        <v>44963.09230324074</v>
      </c>
      <c r="X33" s="84">
        <v>44963</v>
      </c>
      <c r="Y33" s="81" t="s">
        <v>598</v>
      </c>
      <c r="Z33" s="80" t="str">
        <f>HYPERLINK("https://twitter.com/machinelearnflx/status/1622418025998680065")</f>
        <v>https://twitter.com/machinelearnflx/status/1622418025998680065</v>
      </c>
      <c r="AA33" s="77"/>
      <c r="AB33" s="77"/>
      <c r="AC33" s="81" t="s">
        <v>754</v>
      </c>
      <c r="AD33" s="77"/>
      <c r="AE33" s="77" t="b">
        <v>0</v>
      </c>
      <c r="AF33" s="77">
        <v>7</v>
      </c>
      <c r="AG33" s="81" t="s">
        <v>916</v>
      </c>
      <c r="AH33" s="77" t="b">
        <v>0</v>
      </c>
      <c r="AI33" s="77" t="s">
        <v>950</v>
      </c>
      <c r="AJ33" s="77"/>
      <c r="AK33" s="81" t="s">
        <v>916</v>
      </c>
      <c r="AL33" s="77" t="b">
        <v>0</v>
      </c>
      <c r="AM33" s="77">
        <v>1</v>
      </c>
      <c r="AN33" s="81" t="s">
        <v>916</v>
      </c>
      <c r="AO33" s="81" t="s">
        <v>961</v>
      </c>
      <c r="AP33" s="77" t="b">
        <v>0</v>
      </c>
      <c r="AQ33" s="81" t="s">
        <v>754</v>
      </c>
      <c r="AR33" s="77" t="s">
        <v>207</v>
      </c>
      <c r="AS33" s="77">
        <v>0</v>
      </c>
      <c r="AT33" s="77">
        <v>0</v>
      </c>
      <c r="AU33" s="77"/>
      <c r="AV33" s="77"/>
      <c r="AW33" s="77"/>
      <c r="AX33" s="77"/>
      <c r="AY33" s="77"/>
      <c r="AZ33" s="77"/>
      <c r="BA33" s="77"/>
      <c r="BB33" s="77"/>
      <c r="BC33">
        <v>1</v>
      </c>
      <c r="BD33" s="76" t="str">
        <f>REPLACE(INDEX(GroupVertices[Group],MATCH(Edges[[#This Row],[Vertex 1]],GroupVertices[Vertex],0)),1,1,"")</f>
        <v>42</v>
      </c>
      <c r="BE33" s="76" t="str">
        <f>REPLACE(INDEX(GroupVertices[Group],MATCH(Edges[[#This Row],[Vertex 2]],GroupVertices[Vertex],0)),1,1,"")</f>
        <v>42</v>
      </c>
      <c r="BF33" s="31"/>
      <c r="BG33" s="31"/>
      <c r="BH33" s="31"/>
      <c r="BI33" s="31"/>
      <c r="BJ33" s="31"/>
      <c r="BK33" s="31"/>
      <c r="BL33" s="31"/>
      <c r="BM33" s="31"/>
      <c r="BN33" s="31"/>
    </row>
    <row r="34" spans="1:66" ht="15">
      <c r="A34" s="61" t="s">
        <v>270</v>
      </c>
      <c r="B34" s="61" t="s">
        <v>269</v>
      </c>
      <c r="C34" s="62"/>
      <c r="D34" s="63"/>
      <c r="E34" s="64"/>
      <c r="F34" s="65"/>
      <c r="G34" s="62"/>
      <c r="H34" s="66"/>
      <c r="I34" s="67"/>
      <c r="J34" s="67"/>
      <c r="K34" s="31" t="s">
        <v>65</v>
      </c>
      <c r="L34" s="75">
        <v>34</v>
      </c>
      <c r="M34" s="75"/>
      <c r="N34" s="69"/>
      <c r="O34" s="77" t="s">
        <v>447</v>
      </c>
      <c r="P34" s="79">
        <v>44963.13167824074</v>
      </c>
      <c r="Q34" s="77" t="s">
        <v>458</v>
      </c>
      <c r="R34" s="80" t="str">
        <f>HYPERLINK("https://interestingengineering.com/innovation/chatgpt-ai-will-help-cure-diseases-and-solve-climate-change-chatbot-says")</f>
        <v>https://interestingengineering.com/innovation/chatgpt-ai-will-help-cure-diseases-and-solve-climate-change-chatbot-says</v>
      </c>
      <c r="S34" s="77" t="s">
        <v>550</v>
      </c>
      <c r="T34" s="81" t="s">
        <v>563</v>
      </c>
      <c r="U34" s="77"/>
      <c r="V34" s="80" t="str">
        <f>HYPERLINK("https://pbs.twimg.com/profile_images/1098041056371838976/0BMQA72I_normal.png")</f>
        <v>https://pbs.twimg.com/profile_images/1098041056371838976/0BMQA72I_normal.png</v>
      </c>
      <c r="W34" s="79">
        <v>44963.13167824074</v>
      </c>
      <c r="X34" s="84">
        <v>44963</v>
      </c>
      <c r="Y34" s="81" t="s">
        <v>599</v>
      </c>
      <c r="Z34" s="80" t="str">
        <f>HYPERLINK("https://twitter.com/venehsoftw/status/1622432298095321088")</f>
        <v>https://twitter.com/venehsoftw/status/1622432298095321088</v>
      </c>
      <c r="AA34" s="77"/>
      <c r="AB34" s="77"/>
      <c r="AC34" s="81" t="s">
        <v>755</v>
      </c>
      <c r="AD34" s="77"/>
      <c r="AE34" s="77" t="b">
        <v>0</v>
      </c>
      <c r="AF34" s="77">
        <v>0</v>
      </c>
      <c r="AG34" s="81" t="s">
        <v>916</v>
      </c>
      <c r="AH34" s="77" t="b">
        <v>0</v>
      </c>
      <c r="AI34" s="77" t="s">
        <v>950</v>
      </c>
      <c r="AJ34" s="77"/>
      <c r="AK34" s="81" t="s">
        <v>916</v>
      </c>
      <c r="AL34" s="77" t="b">
        <v>0</v>
      </c>
      <c r="AM34" s="77">
        <v>1</v>
      </c>
      <c r="AN34" s="81" t="s">
        <v>754</v>
      </c>
      <c r="AO34" s="81" t="s">
        <v>959</v>
      </c>
      <c r="AP34" s="77" t="b">
        <v>0</v>
      </c>
      <c r="AQ34" s="81" t="s">
        <v>754</v>
      </c>
      <c r="AR34" s="77" t="s">
        <v>207</v>
      </c>
      <c r="AS34" s="77">
        <v>0</v>
      </c>
      <c r="AT34" s="77">
        <v>0</v>
      </c>
      <c r="AU34" s="77"/>
      <c r="AV34" s="77"/>
      <c r="AW34" s="77"/>
      <c r="AX34" s="77"/>
      <c r="AY34" s="77"/>
      <c r="AZ34" s="77"/>
      <c r="BA34" s="77"/>
      <c r="BB34" s="77"/>
      <c r="BC34">
        <v>1</v>
      </c>
      <c r="BD34" s="76" t="str">
        <f>REPLACE(INDEX(GroupVertices[Group],MATCH(Edges[[#This Row],[Vertex 1]],GroupVertices[Vertex],0)),1,1,"")</f>
        <v>42</v>
      </c>
      <c r="BE34" s="76" t="str">
        <f>REPLACE(INDEX(GroupVertices[Group],MATCH(Edges[[#This Row],[Vertex 2]],GroupVertices[Vertex],0)),1,1,"")</f>
        <v>42</v>
      </c>
      <c r="BF34" s="31"/>
      <c r="BG34" s="31"/>
      <c r="BH34" s="31"/>
      <c r="BI34" s="31"/>
      <c r="BJ34" s="31"/>
      <c r="BK34" s="31"/>
      <c r="BL34" s="31"/>
      <c r="BM34" s="31"/>
      <c r="BN34" s="31"/>
    </row>
    <row r="35" spans="1:66" ht="15">
      <c r="A35" s="61" t="s">
        <v>271</v>
      </c>
      <c r="B35" s="61" t="s">
        <v>394</v>
      </c>
      <c r="C35" s="62"/>
      <c r="D35" s="63"/>
      <c r="E35" s="64"/>
      <c r="F35" s="65"/>
      <c r="G35" s="62"/>
      <c r="H35" s="66"/>
      <c r="I35" s="67"/>
      <c r="J35" s="67"/>
      <c r="K35" s="31" t="s">
        <v>65</v>
      </c>
      <c r="L35" s="75">
        <v>35</v>
      </c>
      <c r="M35" s="75"/>
      <c r="N35" s="69"/>
      <c r="O35" s="77" t="s">
        <v>446</v>
      </c>
      <c r="P35" s="79">
        <v>44963.13773148148</v>
      </c>
      <c r="Q35" s="77" t="s">
        <v>459</v>
      </c>
      <c r="R35" s="77"/>
      <c r="S35" s="77"/>
      <c r="T35" s="77"/>
      <c r="U35" s="77"/>
      <c r="V35" s="80" t="str">
        <f>HYPERLINK("https://pbs.twimg.com/profile_images/1573116676111233025/bIDBW5y2_normal.jpg")</f>
        <v>https://pbs.twimg.com/profile_images/1573116676111233025/bIDBW5y2_normal.jpg</v>
      </c>
      <c r="W35" s="79">
        <v>44963.13773148148</v>
      </c>
      <c r="X35" s="84">
        <v>44963</v>
      </c>
      <c r="Y35" s="81" t="s">
        <v>600</v>
      </c>
      <c r="Z35" s="80" t="str">
        <f>HYPERLINK("https://twitter.com/wokechurchsigns/status/1622434489795506176")</f>
        <v>https://twitter.com/wokechurchsigns/status/1622434489795506176</v>
      </c>
      <c r="AA35" s="77"/>
      <c r="AB35" s="77"/>
      <c r="AC35" s="81" t="s">
        <v>756</v>
      </c>
      <c r="AD35" s="81" t="s">
        <v>890</v>
      </c>
      <c r="AE35" s="77" t="b">
        <v>0</v>
      </c>
      <c r="AF35" s="77">
        <v>0</v>
      </c>
      <c r="AG35" s="81" t="s">
        <v>921</v>
      </c>
      <c r="AH35" s="77" t="b">
        <v>0</v>
      </c>
      <c r="AI35" s="77" t="s">
        <v>950</v>
      </c>
      <c r="AJ35" s="77"/>
      <c r="AK35" s="81" t="s">
        <v>916</v>
      </c>
      <c r="AL35" s="77" t="b">
        <v>0</v>
      </c>
      <c r="AM35" s="77">
        <v>0</v>
      </c>
      <c r="AN35" s="81" t="s">
        <v>916</v>
      </c>
      <c r="AO35" s="81" t="s">
        <v>958</v>
      </c>
      <c r="AP35" s="77" t="b">
        <v>0</v>
      </c>
      <c r="AQ35" s="81" t="s">
        <v>890</v>
      </c>
      <c r="AR35" s="77" t="s">
        <v>207</v>
      </c>
      <c r="AS35" s="77">
        <v>0</v>
      </c>
      <c r="AT35" s="77">
        <v>0</v>
      </c>
      <c r="AU35" s="77"/>
      <c r="AV35" s="77"/>
      <c r="AW35" s="77"/>
      <c r="AX35" s="77"/>
      <c r="AY35" s="77"/>
      <c r="AZ35" s="77"/>
      <c r="BA35" s="77"/>
      <c r="BB35" s="77"/>
      <c r="BC35">
        <v>1</v>
      </c>
      <c r="BD35" s="76" t="str">
        <f>REPLACE(INDEX(GroupVertices[Group],MATCH(Edges[[#This Row],[Vertex 1]],GroupVertices[Vertex],0)),1,1,"")</f>
        <v>4</v>
      </c>
      <c r="BE35" s="76" t="str">
        <f>REPLACE(INDEX(GroupVertices[Group],MATCH(Edges[[#This Row],[Vertex 2]],GroupVertices[Vertex],0)),1,1,"")</f>
        <v>4</v>
      </c>
      <c r="BF35" s="31"/>
      <c r="BG35" s="31"/>
      <c r="BH35" s="31"/>
      <c r="BI35" s="31"/>
      <c r="BJ35" s="31"/>
      <c r="BK35" s="31"/>
      <c r="BL35" s="31"/>
      <c r="BM35" s="31"/>
      <c r="BN35" s="31"/>
    </row>
    <row r="36" spans="1:66" ht="15">
      <c r="A36" s="61" t="s">
        <v>271</v>
      </c>
      <c r="B36" s="61" t="s">
        <v>395</v>
      </c>
      <c r="C36" s="62"/>
      <c r="D36" s="63"/>
      <c r="E36" s="64"/>
      <c r="F36" s="65"/>
      <c r="G36" s="62"/>
      <c r="H36" s="66"/>
      <c r="I36" s="67"/>
      <c r="J36" s="67"/>
      <c r="K36" s="31" t="s">
        <v>65</v>
      </c>
      <c r="L36" s="75">
        <v>36</v>
      </c>
      <c r="M36" s="75"/>
      <c r="N36" s="69"/>
      <c r="O36" s="77" t="s">
        <v>446</v>
      </c>
      <c r="P36" s="79">
        <v>44963.13880787037</v>
      </c>
      <c r="Q36" s="77" t="s">
        <v>460</v>
      </c>
      <c r="R36" s="77"/>
      <c r="S36" s="77"/>
      <c r="T36" s="77"/>
      <c r="U36" s="77"/>
      <c r="V36" s="80" t="str">
        <f>HYPERLINK("https://pbs.twimg.com/profile_images/1573116676111233025/bIDBW5y2_normal.jpg")</f>
        <v>https://pbs.twimg.com/profile_images/1573116676111233025/bIDBW5y2_normal.jpg</v>
      </c>
      <c r="W36" s="79">
        <v>44963.13880787037</v>
      </c>
      <c r="X36" s="84">
        <v>44963</v>
      </c>
      <c r="Y36" s="81" t="s">
        <v>601</v>
      </c>
      <c r="Z36" s="80" t="str">
        <f>HYPERLINK("https://twitter.com/wokechurchsigns/status/1622434879614091265")</f>
        <v>https://twitter.com/wokechurchsigns/status/1622434879614091265</v>
      </c>
      <c r="AA36" s="77"/>
      <c r="AB36" s="77"/>
      <c r="AC36" s="81" t="s">
        <v>757</v>
      </c>
      <c r="AD36" s="81" t="s">
        <v>891</v>
      </c>
      <c r="AE36" s="77" t="b">
        <v>0</v>
      </c>
      <c r="AF36" s="77">
        <v>0</v>
      </c>
      <c r="AG36" s="81" t="s">
        <v>922</v>
      </c>
      <c r="AH36" s="77" t="b">
        <v>0</v>
      </c>
      <c r="AI36" s="77" t="s">
        <v>950</v>
      </c>
      <c r="AJ36" s="77"/>
      <c r="AK36" s="81" t="s">
        <v>916</v>
      </c>
      <c r="AL36" s="77" t="b">
        <v>0</v>
      </c>
      <c r="AM36" s="77">
        <v>0</v>
      </c>
      <c r="AN36" s="81" t="s">
        <v>916</v>
      </c>
      <c r="AO36" s="81" t="s">
        <v>958</v>
      </c>
      <c r="AP36" s="77" t="b">
        <v>0</v>
      </c>
      <c r="AQ36" s="81" t="s">
        <v>891</v>
      </c>
      <c r="AR36" s="77" t="s">
        <v>207</v>
      </c>
      <c r="AS36" s="77">
        <v>0</v>
      </c>
      <c r="AT36" s="77">
        <v>0</v>
      </c>
      <c r="AU36" s="77"/>
      <c r="AV36" s="77"/>
      <c r="AW36" s="77"/>
      <c r="AX36" s="77"/>
      <c r="AY36" s="77"/>
      <c r="AZ36" s="77"/>
      <c r="BA36" s="77"/>
      <c r="BB36" s="77"/>
      <c r="BC36">
        <v>1</v>
      </c>
      <c r="BD36" s="76" t="str">
        <f>REPLACE(INDEX(GroupVertices[Group],MATCH(Edges[[#This Row],[Vertex 1]],GroupVertices[Vertex],0)),1,1,"")</f>
        <v>4</v>
      </c>
      <c r="BE36" s="76" t="str">
        <f>REPLACE(INDEX(GroupVertices[Group],MATCH(Edges[[#This Row],[Vertex 2]],GroupVertices[Vertex],0)),1,1,"")</f>
        <v>4</v>
      </c>
      <c r="BF36" s="31"/>
      <c r="BG36" s="31"/>
      <c r="BH36" s="31"/>
      <c r="BI36" s="31"/>
      <c r="BJ36" s="31"/>
      <c r="BK36" s="31"/>
      <c r="BL36" s="31"/>
      <c r="BM36" s="31"/>
      <c r="BN36" s="31"/>
    </row>
    <row r="37" spans="1:66" ht="15">
      <c r="A37" s="61" t="s">
        <v>272</v>
      </c>
      <c r="B37" s="61" t="s">
        <v>396</v>
      </c>
      <c r="C37" s="62"/>
      <c r="D37" s="63"/>
      <c r="E37" s="64"/>
      <c r="F37" s="65"/>
      <c r="G37" s="62"/>
      <c r="H37" s="66"/>
      <c r="I37" s="67"/>
      <c r="J37" s="67"/>
      <c r="K37" s="31" t="s">
        <v>65</v>
      </c>
      <c r="L37" s="75">
        <v>37</v>
      </c>
      <c r="M37" s="75"/>
      <c r="N37" s="69"/>
      <c r="O37" s="77" t="s">
        <v>448</v>
      </c>
      <c r="P37" s="79">
        <v>44963.19805555556</v>
      </c>
      <c r="Q37" s="77" t="s">
        <v>461</v>
      </c>
      <c r="R37" s="77"/>
      <c r="S37" s="77"/>
      <c r="T37" s="77"/>
      <c r="U37" s="77"/>
      <c r="V37" s="80" t="str">
        <f>HYPERLINK("https://pbs.twimg.com/profile_images/1511493694188183552/ls6gKwKa_normal.jpg")</f>
        <v>https://pbs.twimg.com/profile_images/1511493694188183552/ls6gKwKa_normal.jpg</v>
      </c>
      <c r="W37" s="79">
        <v>44963.19805555556</v>
      </c>
      <c r="X37" s="84">
        <v>44963</v>
      </c>
      <c r="Y37" s="81" t="s">
        <v>602</v>
      </c>
      <c r="Z37" s="80" t="str">
        <f>HYPERLINK("https://twitter.com/uziballet/status/1622456351069970432")</f>
        <v>https://twitter.com/uziballet/status/1622456351069970432</v>
      </c>
      <c r="AA37" s="77"/>
      <c r="AB37" s="77"/>
      <c r="AC37" s="81" t="s">
        <v>758</v>
      </c>
      <c r="AD37" s="81" t="s">
        <v>891</v>
      </c>
      <c r="AE37" s="77" t="b">
        <v>0</v>
      </c>
      <c r="AF37" s="77">
        <v>0</v>
      </c>
      <c r="AG37" s="81" t="s">
        <v>922</v>
      </c>
      <c r="AH37" s="77" t="b">
        <v>0</v>
      </c>
      <c r="AI37" s="77" t="s">
        <v>950</v>
      </c>
      <c r="AJ37" s="77"/>
      <c r="AK37" s="81" t="s">
        <v>916</v>
      </c>
      <c r="AL37" s="77" t="b">
        <v>0</v>
      </c>
      <c r="AM37" s="77">
        <v>0</v>
      </c>
      <c r="AN37" s="81" t="s">
        <v>916</v>
      </c>
      <c r="AO37" s="81" t="s">
        <v>957</v>
      </c>
      <c r="AP37" s="77" t="b">
        <v>0</v>
      </c>
      <c r="AQ37" s="81" t="s">
        <v>891</v>
      </c>
      <c r="AR37" s="77" t="s">
        <v>207</v>
      </c>
      <c r="AS37" s="77">
        <v>0</v>
      </c>
      <c r="AT37" s="77">
        <v>0</v>
      </c>
      <c r="AU37" s="77"/>
      <c r="AV37" s="77"/>
      <c r="AW37" s="77"/>
      <c r="AX37" s="77"/>
      <c r="AY37" s="77"/>
      <c r="AZ37" s="77"/>
      <c r="BA37" s="77"/>
      <c r="BB37" s="77"/>
      <c r="BC37">
        <v>1</v>
      </c>
      <c r="BD37" s="76" t="str">
        <f>REPLACE(INDEX(GroupVertices[Group],MATCH(Edges[[#This Row],[Vertex 1]],GroupVertices[Vertex],0)),1,1,"")</f>
        <v>4</v>
      </c>
      <c r="BE37" s="76" t="str">
        <f>REPLACE(INDEX(GroupVertices[Group],MATCH(Edges[[#This Row],[Vertex 2]],GroupVertices[Vertex],0)),1,1,"")</f>
        <v>4</v>
      </c>
      <c r="BF37" s="31"/>
      <c r="BG37" s="31"/>
      <c r="BH37" s="31"/>
      <c r="BI37" s="31"/>
      <c r="BJ37" s="31"/>
      <c r="BK37" s="31"/>
      <c r="BL37" s="31"/>
      <c r="BM37" s="31"/>
      <c r="BN37" s="31"/>
    </row>
    <row r="38" spans="1:66" ht="15">
      <c r="A38" s="61" t="s">
        <v>272</v>
      </c>
      <c r="B38" s="61" t="s">
        <v>395</v>
      </c>
      <c r="C38" s="62"/>
      <c r="D38" s="63"/>
      <c r="E38" s="64"/>
      <c r="F38" s="65"/>
      <c r="G38" s="62"/>
      <c r="H38" s="66"/>
      <c r="I38" s="67"/>
      <c r="J38" s="67"/>
      <c r="K38" s="31" t="s">
        <v>65</v>
      </c>
      <c r="L38" s="75">
        <v>38</v>
      </c>
      <c r="M38" s="75"/>
      <c r="N38" s="69"/>
      <c r="O38" s="77" t="s">
        <v>446</v>
      </c>
      <c r="P38" s="79">
        <v>44963.19805555556</v>
      </c>
      <c r="Q38" s="77" t="s">
        <v>461</v>
      </c>
      <c r="R38" s="77"/>
      <c r="S38" s="77"/>
      <c r="T38" s="77"/>
      <c r="U38" s="77"/>
      <c r="V38" s="80" t="str">
        <f>HYPERLINK("https://pbs.twimg.com/profile_images/1511493694188183552/ls6gKwKa_normal.jpg")</f>
        <v>https://pbs.twimg.com/profile_images/1511493694188183552/ls6gKwKa_normal.jpg</v>
      </c>
      <c r="W38" s="79">
        <v>44963.19805555556</v>
      </c>
      <c r="X38" s="84">
        <v>44963</v>
      </c>
      <c r="Y38" s="81" t="s">
        <v>602</v>
      </c>
      <c r="Z38" s="80" t="str">
        <f>HYPERLINK("https://twitter.com/uziballet/status/1622456351069970432")</f>
        <v>https://twitter.com/uziballet/status/1622456351069970432</v>
      </c>
      <c r="AA38" s="77"/>
      <c r="AB38" s="77"/>
      <c r="AC38" s="81" t="s">
        <v>758</v>
      </c>
      <c r="AD38" s="81" t="s">
        <v>891</v>
      </c>
      <c r="AE38" s="77" t="b">
        <v>0</v>
      </c>
      <c r="AF38" s="77">
        <v>0</v>
      </c>
      <c r="AG38" s="81" t="s">
        <v>922</v>
      </c>
      <c r="AH38" s="77" t="b">
        <v>0</v>
      </c>
      <c r="AI38" s="77" t="s">
        <v>950</v>
      </c>
      <c r="AJ38" s="77"/>
      <c r="AK38" s="81" t="s">
        <v>916</v>
      </c>
      <c r="AL38" s="77" t="b">
        <v>0</v>
      </c>
      <c r="AM38" s="77">
        <v>0</v>
      </c>
      <c r="AN38" s="81" t="s">
        <v>916</v>
      </c>
      <c r="AO38" s="81" t="s">
        <v>957</v>
      </c>
      <c r="AP38" s="77" t="b">
        <v>0</v>
      </c>
      <c r="AQ38" s="81" t="s">
        <v>891</v>
      </c>
      <c r="AR38" s="77" t="s">
        <v>207</v>
      </c>
      <c r="AS38" s="77">
        <v>0</v>
      </c>
      <c r="AT38" s="77">
        <v>0</v>
      </c>
      <c r="AU38" s="77"/>
      <c r="AV38" s="77"/>
      <c r="AW38" s="77"/>
      <c r="AX38" s="77"/>
      <c r="AY38" s="77"/>
      <c r="AZ38" s="77"/>
      <c r="BA38" s="77"/>
      <c r="BB38" s="77"/>
      <c r="BC38">
        <v>1</v>
      </c>
      <c r="BD38" s="76" t="str">
        <f>REPLACE(INDEX(GroupVertices[Group],MATCH(Edges[[#This Row],[Vertex 1]],GroupVertices[Vertex],0)),1,1,"")</f>
        <v>4</v>
      </c>
      <c r="BE38" s="76" t="str">
        <f>REPLACE(INDEX(GroupVertices[Group],MATCH(Edges[[#This Row],[Vertex 2]],GroupVertices[Vertex],0)),1,1,"")</f>
        <v>4</v>
      </c>
      <c r="BF38" s="31"/>
      <c r="BG38" s="31"/>
      <c r="BH38" s="31"/>
      <c r="BI38" s="31"/>
      <c r="BJ38" s="31"/>
      <c r="BK38" s="31"/>
      <c r="BL38" s="31"/>
      <c r="BM38" s="31"/>
      <c r="BN38" s="31"/>
    </row>
    <row r="39" spans="1:66" ht="15">
      <c r="A39" s="61" t="s">
        <v>273</v>
      </c>
      <c r="B39" s="61" t="s">
        <v>273</v>
      </c>
      <c r="C39" s="62"/>
      <c r="D39" s="63"/>
      <c r="E39" s="64"/>
      <c r="F39" s="65"/>
      <c r="G39" s="62"/>
      <c r="H39" s="66"/>
      <c r="I39" s="67"/>
      <c r="J39" s="67"/>
      <c r="K39" s="31" t="s">
        <v>65</v>
      </c>
      <c r="L39" s="75">
        <v>39</v>
      </c>
      <c r="M39" s="75"/>
      <c r="N39" s="69"/>
      <c r="O39" s="77" t="s">
        <v>207</v>
      </c>
      <c r="P39" s="79">
        <v>44963.23516203704</v>
      </c>
      <c r="Q39" s="77" t="s">
        <v>462</v>
      </c>
      <c r="R39" s="80" t="str">
        <f>HYPERLINK("https://interestingengineering.com/innovation/chatgpt-ai-will-help-cure-diseases-and-solve-climate-change-chatbot-says")</f>
        <v>https://interestingengineering.com/innovation/chatgpt-ai-will-help-cure-diseases-and-solve-climate-change-chatbot-says</v>
      </c>
      <c r="S39" s="77" t="s">
        <v>550</v>
      </c>
      <c r="T39" s="77"/>
      <c r="U39" s="77"/>
      <c r="V39" s="80" t="str">
        <f>HYPERLINK("https://pbs.twimg.com/profile_images/1549807220052860930/WEXgl2E5_normal.jpg")</f>
        <v>https://pbs.twimg.com/profile_images/1549807220052860930/WEXgl2E5_normal.jpg</v>
      </c>
      <c r="W39" s="79">
        <v>44963.23516203704</v>
      </c>
      <c r="X39" s="84">
        <v>44963</v>
      </c>
      <c r="Y39" s="81" t="s">
        <v>603</v>
      </c>
      <c r="Z39" s="80" t="str">
        <f>HYPERLINK("https://twitter.com/muhirwakyeyune/status/1622469798931169286")</f>
        <v>https://twitter.com/muhirwakyeyune/status/1622469798931169286</v>
      </c>
      <c r="AA39" s="77"/>
      <c r="AB39" s="77"/>
      <c r="AC39" s="81" t="s">
        <v>759</v>
      </c>
      <c r="AD39" s="77"/>
      <c r="AE39" s="77" t="b">
        <v>0</v>
      </c>
      <c r="AF39" s="77">
        <v>1</v>
      </c>
      <c r="AG39" s="81" t="s">
        <v>916</v>
      </c>
      <c r="AH39" s="77" t="b">
        <v>0</v>
      </c>
      <c r="AI39" s="77" t="s">
        <v>950</v>
      </c>
      <c r="AJ39" s="77"/>
      <c r="AK39" s="81" t="s">
        <v>916</v>
      </c>
      <c r="AL39" s="77" t="b">
        <v>0</v>
      </c>
      <c r="AM39" s="77">
        <v>1</v>
      </c>
      <c r="AN39" s="81" t="s">
        <v>916</v>
      </c>
      <c r="AO39" s="81" t="s">
        <v>959</v>
      </c>
      <c r="AP39" s="77" t="b">
        <v>0</v>
      </c>
      <c r="AQ39" s="81" t="s">
        <v>759</v>
      </c>
      <c r="AR39" s="77" t="s">
        <v>207</v>
      </c>
      <c r="AS39" s="77">
        <v>0</v>
      </c>
      <c r="AT39" s="77">
        <v>0</v>
      </c>
      <c r="AU39" s="77"/>
      <c r="AV39" s="77"/>
      <c r="AW39" s="77"/>
      <c r="AX39" s="77"/>
      <c r="AY39" s="77"/>
      <c r="AZ39" s="77"/>
      <c r="BA39" s="77"/>
      <c r="BB39" s="77"/>
      <c r="BC39">
        <v>1</v>
      </c>
      <c r="BD39" s="76" t="str">
        <f>REPLACE(INDEX(GroupVertices[Group],MATCH(Edges[[#This Row],[Vertex 1]],GroupVertices[Vertex],0)),1,1,"")</f>
        <v>78</v>
      </c>
      <c r="BE39" s="76" t="str">
        <f>REPLACE(INDEX(GroupVertices[Group],MATCH(Edges[[#This Row],[Vertex 2]],GroupVertices[Vertex],0)),1,1,"")</f>
        <v>78</v>
      </c>
      <c r="BF39" s="31"/>
      <c r="BG39" s="31"/>
      <c r="BH39" s="31"/>
      <c r="BI39" s="31"/>
      <c r="BJ39" s="31"/>
      <c r="BK39" s="31"/>
      <c r="BL39" s="31"/>
      <c r="BM39" s="31"/>
      <c r="BN39" s="31"/>
    </row>
    <row r="40" spans="1:66" ht="15">
      <c r="A40" s="61" t="s">
        <v>274</v>
      </c>
      <c r="B40" s="61" t="s">
        <v>274</v>
      </c>
      <c r="C40" s="62"/>
      <c r="D40" s="63"/>
      <c r="E40" s="64"/>
      <c r="F40" s="65"/>
      <c r="G40" s="62"/>
      <c r="H40" s="66"/>
      <c r="I40" s="67"/>
      <c r="J40" s="67"/>
      <c r="K40" s="31" t="s">
        <v>65</v>
      </c>
      <c r="L40" s="75">
        <v>40</v>
      </c>
      <c r="M40" s="75"/>
      <c r="N40" s="69"/>
      <c r="O40" s="77" t="s">
        <v>207</v>
      </c>
      <c r="P40" s="79">
        <v>44963.26797453704</v>
      </c>
      <c r="Q40" s="77" t="s">
        <v>463</v>
      </c>
      <c r="R40" s="80" t="str">
        <f>HYPERLINK("https://twitter.com/ChrisWickNews/status/1621890098039083009")</f>
        <v>https://twitter.com/ChrisWickNews/status/1621890098039083009</v>
      </c>
      <c r="S40" s="77" t="s">
        <v>551</v>
      </c>
      <c r="T40" s="77"/>
      <c r="U40" s="80" t="str">
        <f>HYPERLINK("https://pbs.twimg.com/tweet_video_thumb/FoQ2exVaUAQimL2.jpg")</f>
        <v>https://pbs.twimg.com/tweet_video_thumb/FoQ2exVaUAQimL2.jpg</v>
      </c>
      <c r="V40" s="80" t="str">
        <f>HYPERLINK("https://pbs.twimg.com/tweet_video_thumb/FoQ2exVaUAQimL2.jpg")</f>
        <v>https://pbs.twimg.com/tweet_video_thumb/FoQ2exVaUAQimL2.jpg</v>
      </c>
      <c r="W40" s="79">
        <v>44963.26797453704</v>
      </c>
      <c r="X40" s="84">
        <v>44963</v>
      </c>
      <c r="Y40" s="81" t="s">
        <v>604</v>
      </c>
      <c r="Z40" s="80" t="str">
        <f>HYPERLINK("https://twitter.com/taknevimnevim/status/1622481688797548544")</f>
        <v>https://twitter.com/taknevimnevim/status/1622481688797548544</v>
      </c>
      <c r="AA40" s="77"/>
      <c r="AB40" s="77"/>
      <c r="AC40" s="81" t="s">
        <v>760</v>
      </c>
      <c r="AD40" s="77"/>
      <c r="AE40" s="77" t="b">
        <v>0</v>
      </c>
      <c r="AF40" s="77">
        <v>1</v>
      </c>
      <c r="AG40" s="81" t="s">
        <v>916</v>
      </c>
      <c r="AH40" s="77" t="b">
        <v>1</v>
      </c>
      <c r="AI40" s="77" t="s">
        <v>950</v>
      </c>
      <c r="AJ40" s="77"/>
      <c r="AK40" s="81" t="s">
        <v>951</v>
      </c>
      <c r="AL40" s="77" t="b">
        <v>0</v>
      </c>
      <c r="AM40" s="77">
        <v>0</v>
      </c>
      <c r="AN40" s="81" t="s">
        <v>916</v>
      </c>
      <c r="AO40" s="81" t="s">
        <v>957</v>
      </c>
      <c r="AP40" s="77" t="b">
        <v>0</v>
      </c>
      <c r="AQ40" s="81" t="s">
        <v>760</v>
      </c>
      <c r="AR40" s="77" t="s">
        <v>207</v>
      </c>
      <c r="AS40" s="77">
        <v>0</v>
      </c>
      <c r="AT40" s="77">
        <v>0</v>
      </c>
      <c r="AU40" s="77"/>
      <c r="AV40" s="77"/>
      <c r="AW40" s="77"/>
      <c r="AX40" s="77"/>
      <c r="AY40" s="77"/>
      <c r="AZ40" s="77"/>
      <c r="BA40" s="77"/>
      <c r="BB40" s="77"/>
      <c r="BC40">
        <v>1</v>
      </c>
      <c r="BD40" s="76" t="str">
        <f>REPLACE(INDEX(GroupVertices[Group],MATCH(Edges[[#This Row],[Vertex 1]],GroupVertices[Vertex],0)),1,1,"")</f>
        <v>77</v>
      </c>
      <c r="BE40" s="76" t="str">
        <f>REPLACE(INDEX(GroupVertices[Group],MATCH(Edges[[#This Row],[Vertex 2]],GroupVertices[Vertex],0)),1,1,"")</f>
        <v>77</v>
      </c>
      <c r="BF40" s="31"/>
      <c r="BG40" s="31"/>
      <c r="BH40" s="31"/>
      <c r="BI40" s="31"/>
      <c r="BJ40" s="31"/>
      <c r="BK40" s="31"/>
      <c r="BL40" s="31"/>
      <c r="BM40" s="31"/>
      <c r="BN40" s="31"/>
    </row>
    <row r="41" spans="1:66" ht="15">
      <c r="A41" s="61" t="s">
        <v>275</v>
      </c>
      <c r="B41" s="61" t="s">
        <v>397</v>
      </c>
      <c r="C41" s="62"/>
      <c r="D41" s="63"/>
      <c r="E41" s="64"/>
      <c r="F41" s="65"/>
      <c r="G41" s="62"/>
      <c r="H41" s="66"/>
      <c r="I41" s="67"/>
      <c r="J41" s="67"/>
      <c r="K41" s="31" t="s">
        <v>65</v>
      </c>
      <c r="L41" s="75">
        <v>41</v>
      </c>
      <c r="M41" s="75"/>
      <c r="N41" s="69"/>
      <c r="O41" s="77" t="s">
        <v>445</v>
      </c>
      <c r="P41" s="79">
        <v>44963.28252314815</v>
      </c>
      <c r="Q41" s="77" t="s">
        <v>464</v>
      </c>
      <c r="R41" s="77"/>
      <c r="S41" s="77"/>
      <c r="T41" s="77"/>
      <c r="U41" s="77"/>
      <c r="V41" s="80" t="str">
        <f>HYPERLINK("https://pbs.twimg.com/profile_images/1535527485408182273/ikDoB4oY_normal.jpg")</f>
        <v>https://pbs.twimg.com/profile_images/1535527485408182273/ikDoB4oY_normal.jpg</v>
      </c>
      <c r="W41" s="79">
        <v>44963.28252314815</v>
      </c>
      <c r="X41" s="84">
        <v>44963</v>
      </c>
      <c r="Y41" s="81" t="s">
        <v>605</v>
      </c>
      <c r="Z41" s="80" t="str">
        <f>HYPERLINK("https://twitter.com/liberals_ipa/status/1622486961087995905")</f>
        <v>https://twitter.com/liberals_ipa/status/1622486961087995905</v>
      </c>
      <c r="AA41" s="77"/>
      <c r="AB41" s="77"/>
      <c r="AC41" s="81" t="s">
        <v>761</v>
      </c>
      <c r="AD41" s="77"/>
      <c r="AE41" s="77" t="b">
        <v>0</v>
      </c>
      <c r="AF41" s="77">
        <v>0</v>
      </c>
      <c r="AG41" s="81" t="s">
        <v>916</v>
      </c>
      <c r="AH41" s="77" t="b">
        <v>0</v>
      </c>
      <c r="AI41" s="77" t="s">
        <v>950</v>
      </c>
      <c r="AJ41" s="77"/>
      <c r="AK41" s="81" t="s">
        <v>916</v>
      </c>
      <c r="AL41" s="77" t="b">
        <v>0</v>
      </c>
      <c r="AM41" s="77">
        <v>6</v>
      </c>
      <c r="AN41" s="81" t="s">
        <v>765</v>
      </c>
      <c r="AO41" s="81" t="s">
        <v>958</v>
      </c>
      <c r="AP41" s="77" t="b">
        <v>0</v>
      </c>
      <c r="AQ41" s="81" t="s">
        <v>765</v>
      </c>
      <c r="AR41" s="77" t="s">
        <v>207</v>
      </c>
      <c r="AS41" s="77">
        <v>0</v>
      </c>
      <c r="AT41" s="77">
        <v>0</v>
      </c>
      <c r="AU41" s="77"/>
      <c r="AV41" s="77"/>
      <c r="AW41" s="77"/>
      <c r="AX41" s="77"/>
      <c r="AY41" s="77"/>
      <c r="AZ41" s="77"/>
      <c r="BA41" s="77"/>
      <c r="BB41" s="77"/>
      <c r="BC41">
        <v>1</v>
      </c>
      <c r="BD41" s="76" t="str">
        <f>REPLACE(INDEX(GroupVertices[Group],MATCH(Edges[[#This Row],[Vertex 1]],GroupVertices[Vertex],0)),1,1,"")</f>
        <v>5</v>
      </c>
      <c r="BE41" s="76" t="str">
        <f>REPLACE(INDEX(GroupVertices[Group],MATCH(Edges[[#This Row],[Vertex 2]],GroupVertices[Vertex],0)),1,1,"")</f>
        <v>5</v>
      </c>
      <c r="BF41" s="31"/>
      <c r="BG41" s="31"/>
      <c r="BH41" s="31"/>
      <c r="BI41" s="31"/>
      <c r="BJ41" s="31"/>
      <c r="BK41" s="31"/>
      <c r="BL41" s="31"/>
      <c r="BM41" s="31"/>
      <c r="BN41" s="31"/>
    </row>
    <row r="42" spans="1:66" ht="15">
      <c r="A42" s="61" t="s">
        <v>275</v>
      </c>
      <c r="B42" s="61" t="s">
        <v>279</v>
      </c>
      <c r="C42" s="62"/>
      <c r="D42" s="63"/>
      <c r="E42" s="64"/>
      <c r="F42" s="65"/>
      <c r="G42" s="62"/>
      <c r="H42" s="66"/>
      <c r="I42" s="67"/>
      <c r="J42" s="67"/>
      <c r="K42" s="31" t="s">
        <v>65</v>
      </c>
      <c r="L42" s="75">
        <v>42</v>
      </c>
      <c r="M42" s="75"/>
      <c r="N42" s="69"/>
      <c r="O42" s="77" t="s">
        <v>447</v>
      </c>
      <c r="P42" s="79">
        <v>44963.28252314815</v>
      </c>
      <c r="Q42" s="77" t="s">
        <v>464</v>
      </c>
      <c r="R42" s="77"/>
      <c r="S42" s="77"/>
      <c r="T42" s="77"/>
      <c r="U42" s="77"/>
      <c r="V42" s="80" t="str">
        <f>HYPERLINK("https://pbs.twimg.com/profile_images/1535527485408182273/ikDoB4oY_normal.jpg")</f>
        <v>https://pbs.twimg.com/profile_images/1535527485408182273/ikDoB4oY_normal.jpg</v>
      </c>
      <c r="W42" s="79">
        <v>44963.28252314815</v>
      </c>
      <c r="X42" s="84">
        <v>44963</v>
      </c>
      <c r="Y42" s="81" t="s">
        <v>605</v>
      </c>
      <c r="Z42" s="80" t="str">
        <f>HYPERLINK("https://twitter.com/liberals_ipa/status/1622486961087995905")</f>
        <v>https://twitter.com/liberals_ipa/status/1622486961087995905</v>
      </c>
      <c r="AA42" s="77"/>
      <c r="AB42" s="77"/>
      <c r="AC42" s="81" t="s">
        <v>761</v>
      </c>
      <c r="AD42" s="77"/>
      <c r="AE42" s="77" t="b">
        <v>0</v>
      </c>
      <c r="AF42" s="77">
        <v>0</v>
      </c>
      <c r="AG42" s="81" t="s">
        <v>916</v>
      </c>
      <c r="AH42" s="77" t="b">
        <v>0</v>
      </c>
      <c r="AI42" s="77" t="s">
        <v>950</v>
      </c>
      <c r="AJ42" s="77"/>
      <c r="AK42" s="81" t="s">
        <v>916</v>
      </c>
      <c r="AL42" s="77" t="b">
        <v>0</v>
      </c>
      <c r="AM42" s="77">
        <v>6</v>
      </c>
      <c r="AN42" s="81" t="s">
        <v>765</v>
      </c>
      <c r="AO42" s="81" t="s">
        <v>958</v>
      </c>
      <c r="AP42" s="77" t="b">
        <v>0</v>
      </c>
      <c r="AQ42" s="81" t="s">
        <v>765</v>
      </c>
      <c r="AR42" s="77" t="s">
        <v>207</v>
      </c>
      <c r="AS42" s="77">
        <v>0</v>
      </c>
      <c r="AT42" s="77">
        <v>0</v>
      </c>
      <c r="AU42" s="77"/>
      <c r="AV42" s="77"/>
      <c r="AW42" s="77"/>
      <c r="AX42" s="77"/>
      <c r="AY42" s="77"/>
      <c r="AZ42" s="77"/>
      <c r="BA42" s="77"/>
      <c r="BB42" s="77"/>
      <c r="BC42">
        <v>1</v>
      </c>
      <c r="BD42" s="76" t="str">
        <f>REPLACE(INDEX(GroupVertices[Group],MATCH(Edges[[#This Row],[Vertex 1]],GroupVertices[Vertex],0)),1,1,"")</f>
        <v>5</v>
      </c>
      <c r="BE42" s="76" t="str">
        <f>REPLACE(INDEX(GroupVertices[Group],MATCH(Edges[[#This Row],[Vertex 2]],GroupVertices[Vertex],0)),1,1,"")</f>
        <v>5</v>
      </c>
      <c r="BF42" s="31"/>
      <c r="BG42" s="31"/>
      <c r="BH42" s="31"/>
      <c r="BI42" s="31"/>
      <c r="BJ42" s="31"/>
      <c r="BK42" s="31"/>
      <c r="BL42" s="31"/>
      <c r="BM42" s="31"/>
      <c r="BN42" s="31"/>
    </row>
    <row r="43" spans="1:66" ht="15">
      <c r="A43" s="61" t="s">
        <v>275</v>
      </c>
      <c r="B43" s="61" t="s">
        <v>398</v>
      </c>
      <c r="C43" s="62"/>
      <c r="D43" s="63"/>
      <c r="E43" s="64"/>
      <c r="F43" s="65"/>
      <c r="G43" s="62"/>
      <c r="H43" s="66"/>
      <c r="I43" s="67"/>
      <c r="J43" s="67"/>
      <c r="K43" s="31" t="s">
        <v>65</v>
      </c>
      <c r="L43" s="75">
        <v>43</v>
      </c>
      <c r="M43" s="75"/>
      <c r="N43" s="69"/>
      <c r="O43" s="77" t="s">
        <v>446</v>
      </c>
      <c r="P43" s="79">
        <v>44963.28252314815</v>
      </c>
      <c r="Q43" s="77" t="s">
        <v>464</v>
      </c>
      <c r="R43" s="77"/>
      <c r="S43" s="77"/>
      <c r="T43" s="77"/>
      <c r="U43" s="77"/>
      <c r="V43" s="80" t="str">
        <f>HYPERLINK("https://pbs.twimg.com/profile_images/1535527485408182273/ikDoB4oY_normal.jpg")</f>
        <v>https://pbs.twimg.com/profile_images/1535527485408182273/ikDoB4oY_normal.jpg</v>
      </c>
      <c r="W43" s="79">
        <v>44963.28252314815</v>
      </c>
      <c r="X43" s="84">
        <v>44963</v>
      </c>
      <c r="Y43" s="81" t="s">
        <v>605</v>
      </c>
      <c r="Z43" s="80" t="str">
        <f>HYPERLINK("https://twitter.com/liberals_ipa/status/1622486961087995905")</f>
        <v>https://twitter.com/liberals_ipa/status/1622486961087995905</v>
      </c>
      <c r="AA43" s="77"/>
      <c r="AB43" s="77"/>
      <c r="AC43" s="81" t="s">
        <v>761</v>
      </c>
      <c r="AD43" s="77"/>
      <c r="AE43" s="77" t="b">
        <v>0</v>
      </c>
      <c r="AF43" s="77">
        <v>0</v>
      </c>
      <c r="AG43" s="81" t="s">
        <v>916</v>
      </c>
      <c r="AH43" s="77" t="b">
        <v>0</v>
      </c>
      <c r="AI43" s="77" t="s">
        <v>950</v>
      </c>
      <c r="AJ43" s="77"/>
      <c r="AK43" s="81" t="s">
        <v>916</v>
      </c>
      <c r="AL43" s="77" t="b">
        <v>0</v>
      </c>
      <c r="AM43" s="77">
        <v>6</v>
      </c>
      <c r="AN43" s="81" t="s">
        <v>765</v>
      </c>
      <c r="AO43" s="81" t="s">
        <v>958</v>
      </c>
      <c r="AP43" s="77" t="b">
        <v>0</v>
      </c>
      <c r="AQ43" s="81" t="s">
        <v>765</v>
      </c>
      <c r="AR43" s="77" t="s">
        <v>207</v>
      </c>
      <c r="AS43" s="77">
        <v>0</v>
      </c>
      <c r="AT43" s="77">
        <v>0</v>
      </c>
      <c r="AU43" s="77"/>
      <c r="AV43" s="77"/>
      <c r="AW43" s="77"/>
      <c r="AX43" s="77"/>
      <c r="AY43" s="77"/>
      <c r="AZ43" s="77"/>
      <c r="BA43" s="77"/>
      <c r="BB43" s="77"/>
      <c r="BC43">
        <v>1</v>
      </c>
      <c r="BD43" s="76" t="str">
        <f>REPLACE(INDEX(GroupVertices[Group],MATCH(Edges[[#This Row],[Vertex 1]],GroupVertices[Vertex],0)),1,1,"")</f>
        <v>5</v>
      </c>
      <c r="BE43" s="76" t="str">
        <f>REPLACE(INDEX(GroupVertices[Group],MATCH(Edges[[#This Row],[Vertex 2]],GroupVertices[Vertex],0)),1,1,"")</f>
        <v>5</v>
      </c>
      <c r="BF43" s="31"/>
      <c r="BG43" s="31"/>
      <c r="BH43" s="31"/>
      <c r="BI43" s="31"/>
      <c r="BJ43" s="31"/>
      <c r="BK43" s="31"/>
      <c r="BL43" s="31"/>
      <c r="BM43" s="31"/>
      <c r="BN43" s="31"/>
    </row>
    <row r="44" spans="1:66" ht="15">
      <c r="A44" s="61" t="s">
        <v>276</v>
      </c>
      <c r="B44" s="61" t="s">
        <v>397</v>
      </c>
      <c r="C44" s="62"/>
      <c r="D44" s="63"/>
      <c r="E44" s="64"/>
      <c r="F44" s="65"/>
      <c r="G44" s="62"/>
      <c r="H44" s="66"/>
      <c r="I44" s="67"/>
      <c r="J44" s="67"/>
      <c r="K44" s="31" t="s">
        <v>65</v>
      </c>
      <c r="L44" s="75">
        <v>44</v>
      </c>
      <c r="M44" s="75"/>
      <c r="N44" s="69"/>
      <c r="O44" s="77" t="s">
        <v>445</v>
      </c>
      <c r="P44" s="79">
        <v>44963.28333333333</v>
      </c>
      <c r="Q44" s="77" t="s">
        <v>464</v>
      </c>
      <c r="R44" s="77"/>
      <c r="S44" s="77"/>
      <c r="T44" s="77"/>
      <c r="U44" s="77"/>
      <c r="V44" s="80" t="str">
        <f>HYPERLINK("https://pbs.twimg.com/profile_images/1142696602479423488/EtErUzHL_normal.jpg")</f>
        <v>https://pbs.twimg.com/profile_images/1142696602479423488/EtErUzHL_normal.jpg</v>
      </c>
      <c r="W44" s="79">
        <v>44963.28333333333</v>
      </c>
      <c r="X44" s="84">
        <v>44963</v>
      </c>
      <c r="Y44" s="81" t="s">
        <v>606</v>
      </c>
      <c r="Z44" s="80" t="str">
        <f>HYPERLINK("https://twitter.com/neddycgoon/status/1622487255670755328")</f>
        <v>https://twitter.com/neddycgoon/status/1622487255670755328</v>
      </c>
      <c r="AA44" s="77"/>
      <c r="AB44" s="77"/>
      <c r="AC44" s="81" t="s">
        <v>762</v>
      </c>
      <c r="AD44" s="77"/>
      <c r="AE44" s="77" t="b">
        <v>0</v>
      </c>
      <c r="AF44" s="77">
        <v>0</v>
      </c>
      <c r="AG44" s="81" t="s">
        <v>916</v>
      </c>
      <c r="AH44" s="77" t="b">
        <v>0</v>
      </c>
      <c r="AI44" s="77" t="s">
        <v>950</v>
      </c>
      <c r="AJ44" s="77"/>
      <c r="AK44" s="81" t="s">
        <v>916</v>
      </c>
      <c r="AL44" s="77" t="b">
        <v>0</v>
      </c>
      <c r="AM44" s="77">
        <v>6</v>
      </c>
      <c r="AN44" s="81" t="s">
        <v>765</v>
      </c>
      <c r="AO44" s="81" t="s">
        <v>957</v>
      </c>
      <c r="AP44" s="77" t="b">
        <v>0</v>
      </c>
      <c r="AQ44" s="81" t="s">
        <v>765</v>
      </c>
      <c r="AR44" s="77" t="s">
        <v>207</v>
      </c>
      <c r="AS44" s="77">
        <v>0</v>
      </c>
      <c r="AT44" s="77">
        <v>0</v>
      </c>
      <c r="AU44" s="77"/>
      <c r="AV44" s="77"/>
      <c r="AW44" s="77"/>
      <c r="AX44" s="77"/>
      <c r="AY44" s="77"/>
      <c r="AZ44" s="77"/>
      <c r="BA44" s="77"/>
      <c r="BB44" s="77"/>
      <c r="BC44">
        <v>1</v>
      </c>
      <c r="BD44" s="76" t="str">
        <f>REPLACE(INDEX(GroupVertices[Group],MATCH(Edges[[#This Row],[Vertex 1]],GroupVertices[Vertex],0)),1,1,"")</f>
        <v>5</v>
      </c>
      <c r="BE44" s="76" t="str">
        <f>REPLACE(INDEX(GroupVertices[Group],MATCH(Edges[[#This Row],[Vertex 2]],GroupVertices[Vertex],0)),1,1,"")</f>
        <v>5</v>
      </c>
      <c r="BF44" s="31"/>
      <c r="BG44" s="31"/>
      <c r="BH44" s="31"/>
      <c r="BI44" s="31"/>
      <c r="BJ44" s="31"/>
      <c r="BK44" s="31"/>
      <c r="BL44" s="31"/>
      <c r="BM44" s="31"/>
      <c r="BN44" s="31"/>
    </row>
    <row r="45" spans="1:66" ht="15">
      <c r="A45" s="61" t="s">
        <v>276</v>
      </c>
      <c r="B45" s="61" t="s">
        <v>279</v>
      </c>
      <c r="C45" s="62"/>
      <c r="D45" s="63"/>
      <c r="E45" s="64"/>
      <c r="F45" s="65"/>
      <c r="G45" s="62"/>
      <c r="H45" s="66"/>
      <c r="I45" s="67"/>
      <c r="J45" s="67"/>
      <c r="K45" s="31" t="s">
        <v>65</v>
      </c>
      <c r="L45" s="75">
        <v>45</v>
      </c>
      <c r="M45" s="75"/>
      <c r="N45" s="69"/>
      <c r="O45" s="77" t="s">
        <v>447</v>
      </c>
      <c r="P45" s="79">
        <v>44963.28333333333</v>
      </c>
      <c r="Q45" s="77" t="s">
        <v>464</v>
      </c>
      <c r="R45" s="77"/>
      <c r="S45" s="77"/>
      <c r="T45" s="77"/>
      <c r="U45" s="77"/>
      <c r="V45" s="80" t="str">
        <f>HYPERLINK("https://pbs.twimg.com/profile_images/1142696602479423488/EtErUzHL_normal.jpg")</f>
        <v>https://pbs.twimg.com/profile_images/1142696602479423488/EtErUzHL_normal.jpg</v>
      </c>
      <c r="W45" s="79">
        <v>44963.28333333333</v>
      </c>
      <c r="X45" s="84">
        <v>44963</v>
      </c>
      <c r="Y45" s="81" t="s">
        <v>606</v>
      </c>
      <c r="Z45" s="80" t="str">
        <f>HYPERLINK("https://twitter.com/neddycgoon/status/1622487255670755328")</f>
        <v>https://twitter.com/neddycgoon/status/1622487255670755328</v>
      </c>
      <c r="AA45" s="77"/>
      <c r="AB45" s="77"/>
      <c r="AC45" s="81" t="s">
        <v>762</v>
      </c>
      <c r="AD45" s="77"/>
      <c r="AE45" s="77" t="b">
        <v>0</v>
      </c>
      <c r="AF45" s="77">
        <v>0</v>
      </c>
      <c r="AG45" s="81" t="s">
        <v>916</v>
      </c>
      <c r="AH45" s="77" t="b">
        <v>0</v>
      </c>
      <c r="AI45" s="77" t="s">
        <v>950</v>
      </c>
      <c r="AJ45" s="77"/>
      <c r="AK45" s="81" t="s">
        <v>916</v>
      </c>
      <c r="AL45" s="77" t="b">
        <v>0</v>
      </c>
      <c r="AM45" s="77">
        <v>6</v>
      </c>
      <c r="AN45" s="81" t="s">
        <v>765</v>
      </c>
      <c r="AO45" s="81" t="s">
        <v>957</v>
      </c>
      <c r="AP45" s="77" t="b">
        <v>0</v>
      </c>
      <c r="AQ45" s="81" t="s">
        <v>765</v>
      </c>
      <c r="AR45" s="77" t="s">
        <v>207</v>
      </c>
      <c r="AS45" s="77">
        <v>0</v>
      </c>
      <c r="AT45" s="77">
        <v>0</v>
      </c>
      <c r="AU45" s="77"/>
      <c r="AV45" s="77"/>
      <c r="AW45" s="77"/>
      <c r="AX45" s="77"/>
      <c r="AY45" s="77"/>
      <c r="AZ45" s="77"/>
      <c r="BA45" s="77"/>
      <c r="BB45" s="77"/>
      <c r="BC45">
        <v>1</v>
      </c>
      <c r="BD45" s="76" t="str">
        <f>REPLACE(INDEX(GroupVertices[Group],MATCH(Edges[[#This Row],[Vertex 1]],GroupVertices[Vertex],0)),1,1,"")</f>
        <v>5</v>
      </c>
      <c r="BE45" s="76" t="str">
        <f>REPLACE(INDEX(GroupVertices[Group],MATCH(Edges[[#This Row],[Vertex 2]],GroupVertices[Vertex],0)),1,1,"")</f>
        <v>5</v>
      </c>
      <c r="BF45" s="31"/>
      <c r="BG45" s="31"/>
      <c r="BH45" s="31"/>
      <c r="BI45" s="31"/>
      <c r="BJ45" s="31"/>
      <c r="BK45" s="31"/>
      <c r="BL45" s="31"/>
      <c r="BM45" s="31"/>
      <c r="BN45" s="31"/>
    </row>
    <row r="46" spans="1:66" ht="15">
      <c r="A46" s="61" t="s">
        <v>276</v>
      </c>
      <c r="B46" s="61" t="s">
        <v>398</v>
      </c>
      <c r="C46" s="62"/>
      <c r="D46" s="63"/>
      <c r="E46" s="64"/>
      <c r="F46" s="65"/>
      <c r="G46" s="62"/>
      <c r="H46" s="66"/>
      <c r="I46" s="67"/>
      <c r="J46" s="67"/>
      <c r="K46" s="31" t="s">
        <v>65</v>
      </c>
      <c r="L46" s="75">
        <v>46</v>
      </c>
      <c r="M46" s="75"/>
      <c r="N46" s="69"/>
      <c r="O46" s="77" t="s">
        <v>446</v>
      </c>
      <c r="P46" s="79">
        <v>44963.28333333333</v>
      </c>
      <c r="Q46" s="77" t="s">
        <v>464</v>
      </c>
      <c r="R46" s="77"/>
      <c r="S46" s="77"/>
      <c r="T46" s="77"/>
      <c r="U46" s="77"/>
      <c r="V46" s="80" t="str">
        <f>HYPERLINK("https://pbs.twimg.com/profile_images/1142696602479423488/EtErUzHL_normal.jpg")</f>
        <v>https://pbs.twimg.com/profile_images/1142696602479423488/EtErUzHL_normal.jpg</v>
      </c>
      <c r="W46" s="79">
        <v>44963.28333333333</v>
      </c>
      <c r="X46" s="84">
        <v>44963</v>
      </c>
      <c r="Y46" s="81" t="s">
        <v>606</v>
      </c>
      <c r="Z46" s="80" t="str">
        <f>HYPERLINK("https://twitter.com/neddycgoon/status/1622487255670755328")</f>
        <v>https://twitter.com/neddycgoon/status/1622487255670755328</v>
      </c>
      <c r="AA46" s="77"/>
      <c r="AB46" s="77"/>
      <c r="AC46" s="81" t="s">
        <v>762</v>
      </c>
      <c r="AD46" s="77"/>
      <c r="AE46" s="77" t="b">
        <v>0</v>
      </c>
      <c r="AF46" s="77">
        <v>0</v>
      </c>
      <c r="AG46" s="81" t="s">
        <v>916</v>
      </c>
      <c r="AH46" s="77" t="b">
        <v>0</v>
      </c>
      <c r="AI46" s="77" t="s">
        <v>950</v>
      </c>
      <c r="AJ46" s="77"/>
      <c r="AK46" s="81" t="s">
        <v>916</v>
      </c>
      <c r="AL46" s="77" t="b">
        <v>0</v>
      </c>
      <c r="AM46" s="77">
        <v>6</v>
      </c>
      <c r="AN46" s="81" t="s">
        <v>765</v>
      </c>
      <c r="AO46" s="81" t="s">
        <v>957</v>
      </c>
      <c r="AP46" s="77" t="b">
        <v>0</v>
      </c>
      <c r="AQ46" s="81" t="s">
        <v>765</v>
      </c>
      <c r="AR46" s="77" t="s">
        <v>207</v>
      </c>
      <c r="AS46" s="77">
        <v>0</v>
      </c>
      <c r="AT46" s="77">
        <v>0</v>
      </c>
      <c r="AU46" s="77"/>
      <c r="AV46" s="77"/>
      <c r="AW46" s="77"/>
      <c r="AX46" s="77"/>
      <c r="AY46" s="77"/>
      <c r="AZ46" s="77"/>
      <c r="BA46" s="77"/>
      <c r="BB46" s="77"/>
      <c r="BC46">
        <v>1</v>
      </c>
      <c r="BD46" s="76" t="str">
        <f>REPLACE(INDEX(GroupVertices[Group],MATCH(Edges[[#This Row],[Vertex 1]],GroupVertices[Vertex],0)),1,1,"")</f>
        <v>5</v>
      </c>
      <c r="BE46" s="76" t="str">
        <f>REPLACE(INDEX(GroupVertices[Group],MATCH(Edges[[#This Row],[Vertex 2]],GroupVertices[Vertex],0)),1,1,"")</f>
        <v>5</v>
      </c>
      <c r="BF46" s="31"/>
      <c r="BG46" s="31"/>
      <c r="BH46" s="31"/>
      <c r="BI46" s="31"/>
      <c r="BJ46" s="31"/>
      <c r="BK46" s="31"/>
      <c r="BL46" s="31"/>
      <c r="BM46" s="31"/>
      <c r="BN46" s="31"/>
    </row>
    <row r="47" spans="1:66" ht="15">
      <c r="A47" s="61" t="s">
        <v>277</v>
      </c>
      <c r="B47" s="61" t="s">
        <v>397</v>
      </c>
      <c r="C47" s="62"/>
      <c r="D47" s="63"/>
      <c r="E47" s="64"/>
      <c r="F47" s="65"/>
      <c r="G47" s="62"/>
      <c r="H47" s="66"/>
      <c r="I47" s="67"/>
      <c r="J47" s="67"/>
      <c r="K47" s="31" t="s">
        <v>65</v>
      </c>
      <c r="L47" s="75">
        <v>47</v>
      </c>
      <c r="M47" s="75"/>
      <c r="N47" s="69"/>
      <c r="O47" s="77" t="s">
        <v>445</v>
      </c>
      <c r="P47" s="79">
        <v>44963.312430555554</v>
      </c>
      <c r="Q47" s="77" t="s">
        <v>464</v>
      </c>
      <c r="R47" s="77"/>
      <c r="S47" s="77"/>
      <c r="T47" s="77"/>
      <c r="U47" s="77"/>
      <c r="V47" s="80" t="str">
        <f>HYPERLINK("https://pbs.twimg.com/profile_images/1622110671885438976/C0CcKlWc_normal.jpg")</f>
        <v>https://pbs.twimg.com/profile_images/1622110671885438976/C0CcKlWc_normal.jpg</v>
      </c>
      <c r="W47" s="79">
        <v>44963.312430555554</v>
      </c>
      <c r="X47" s="84">
        <v>44963</v>
      </c>
      <c r="Y47" s="81" t="s">
        <v>607</v>
      </c>
      <c r="Z47" s="80" t="str">
        <f>HYPERLINK("https://twitter.com/msmwatchdog2013/status/1622497800549462018")</f>
        <v>https://twitter.com/msmwatchdog2013/status/1622497800549462018</v>
      </c>
      <c r="AA47" s="77"/>
      <c r="AB47" s="77"/>
      <c r="AC47" s="81" t="s">
        <v>763</v>
      </c>
      <c r="AD47" s="77"/>
      <c r="AE47" s="77" t="b">
        <v>0</v>
      </c>
      <c r="AF47" s="77">
        <v>0</v>
      </c>
      <c r="AG47" s="81" t="s">
        <v>916</v>
      </c>
      <c r="AH47" s="77" t="b">
        <v>0</v>
      </c>
      <c r="AI47" s="77" t="s">
        <v>950</v>
      </c>
      <c r="AJ47" s="77"/>
      <c r="AK47" s="81" t="s">
        <v>916</v>
      </c>
      <c r="AL47" s="77" t="b">
        <v>0</v>
      </c>
      <c r="AM47" s="77">
        <v>6</v>
      </c>
      <c r="AN47" s="81" t="s">
        <v>765</v>
      </c>
      <c r="AO47" s="81" t="s">
        <v>959</v>
      </c>
      <c r="AP47" s="77" t="b">
        <v>0</v>
      </c>
      <c r="AQ47" s="81" t="s">
        <v>765</v>
      </c>
      <c r="AR47" s="77" t="s">
        <v>207</v>
      </c>
      <c r="AS47" s="77">
        <v>0</v>
      </c>
      <c r="AT47" s="77">
        <v>0</v>
      </c>
      <c r="AU47" s="77"/>
      <c r="AV47" s="77"/>
      <c r="AW47" s="77"/>
      <c r="AX47" s="77"/>
      <c r="AY47" s="77"/>
      <c r="AZ47" s="77"/>
      <c r="BA47" s="77"/>
      <c r="BB47" s="77"/>
      <c r="BC47">
        <v>1</v>
      </c>
      <c r="BD47" s="76" t="str">
        <f>REPLACE(INDEX(GroupVertices[Group],MATCH(Edges[[#This Row],[Vertex 1]],GroupVertices[Vertex],0)),1,1,"")</f>
        <v>5</v>
      </c>
      <c r="BE47" s="76" t="str">
        <f>REPLACE(INDEX(GroupVertices[Group],MATCH(Edges[[#This Row],[Vertex 2]],GroupVertices[Vertex],0)),1,1,"")</f>
        <v>5</v>
      </c>
      <c r="BF47" s="31"/>
      <c r="BG47" s="31"/>
      <c r="BH47" s="31"/>
      <c r="BI47" s="31"/>
      <c r="BJ47" s="31"/>
      <c r="BK47" s="31"/>
      <c r="BL47" s="31"/>
      <c r="BM47" s="31"/>
      <c r="BN47" s="31"/>
    </row>
    <row r="48" spans="1:66" ht="15">
      <c r="A48" s="61" t="s">
        <v>277</v>
      </c>
      <c r="B48" s="61" t="s">
        <v>279</v>
      </c>
      <c r="C48" s="62"/>
      <c r="D48" s="63"/>
      <c r="E48" s="64"/>
      <c r="F48" s="65"/>
      <c r="G48" s="62"/>
      <c r="H48" s="66"/>
      <c r="I48" s="67"/>
      <c r="J48" s="67"/>
      <c r="K48" s="31" t="s">
        <v>65</v>
      </c>
      <c r="L48" s="75">
        <v>48</v>
      </c>
      <c r="M48" s="75"/>
      <c r="N48" s="69"/>
      <c r="O48" s="77" t="s">
        <v>447</v>
      </c>
      <c r="P48" s="79">
        <v>44963.312430555554</v>
      </c>
      <c r="Q48" s="77" t="s">
        <v>464</v>
      </c>
      <c r="R48" s="77"/>
      <c r="S48" s="77"/>
      <c r="T48" s="77"/>
      <c r="U48" s="77"/>
      <c r="V48" s="80" t="str">
        <f>HYPERLINK("https://pbs.twimg.com/profile_images/1622110671885438976/C0CcKlWc_normal.jpg")</f>
        <v>https://pbs.twimg.com/profile_images/1622110671885438976/C0CcKlWc_normal.jpg</v>
      </c>
      <c r="W48" s="79">
        <v>44963.312430555554</v>
      </c>
      <c r="X48" s="84">
        <v>44963</v>
      </c>
      <c r="Y48" s="81" t="s">
        <v>607</v>
      </c>
      <c r="Z48" s="80" t="str">
        <f>HYPERLINK("https://twitter.com/msmwatchdog2013/status/1622497800549462018")</f>
        <v>https://twitter.com/msmwatchdog2013/status/1622497800549462018</v>
      </c>
      <c r="AA48" s="77"/>
      <c r="AB48" s="77"/>
      <c r="AC48" s="81" t="s">
        <v>763</v>
      </c>
      <c r="AD48" s="77"/>
      <c r="AE48" s="77" t="b">
        <v>0</v>
      </c>
      <c r="AF48" s="77">
        <v>0</v>
      </c>
      <c r="AG48" s="81" t="s">
        <v>916</v>
      </c>
      <c r="AH48" s="77" t="b">
        <v>0</v>
      </c>
      <c r="AI48" s="77" t="s">
        <v>950</v>
      </c>
      <c r="AJ48" s="77"/>
      <c r="AK48" s="81" t="s">
        <v>916</v>
      </c>
      <c r="AL48" s="77" t="b">
        <v>0</v>
      </c>
      <c r="AM48" s="77">
        <v>6</v>
      </c>
      <c r="AN48" s="81" t="s">
        <v>765</v>
      </c>
      <c r="AO48" s="81" t="s">
        <v>959</v>
      </c>
      <c r="AP48" s="77" t="b">
        <v>0</v>
      </c>
      <c r="AQ48" s="81" t="s">
        <v>765</v>
      </c>
      <c r="AR48" s="77" t="s">
        <v>207</v>
      </c>
      <c r="AS48" s="77">
        <v>0</v>
      </c>
      <c r="AT48" s="77">
        <v>0</v>
      </c>
      <c r="AU48" s="77"/>
      <c r="AV48" s="77"/>
      <c r="AW48" s="77"/>
      <c r="AX48" s="77"/>
      <c r="AY48" s="77"/>
      <c r="AZ48" s="77"/>
      <c r="BA48" s="77"/>
      <c r="BB48" s="77"/>
      <c r="BC48">
        <v>1</v>
      </c>
      <c r="BD48" s="76" t="str">
        <f>REPLACE(INDEX(GroupVertices[Group],MATCH(Edges[[#This Row],[Vertex 1]],GroupVertices[Vertex],0)),1,1,"")</f>
        <v>5</v>
      </c>
      <c r="BE48" s="76" t="str">
        <f>REPLACE(INDEX(GroupVertices[Group],MATCH(Edges[[#This Row],[Vertex 2]],GroupVertices[Vertex],0)),1,1,"")</f>
        <v>5</v>
      </c>
      <c r="BF48" s="31"/>
      <c r="BG48" s="31"/>
      <c r="BH48" s="31"/>
      <c r="BI48" s="31"/>
      <c r="BJ48" s="31"/>
      <c r="BK48" s="31"/>
      <c r="BL48" s="31"/>
      <c r="BM48" s="31"/>
      <c r="BN48" s="31"/>
    </row>
    <row r="49" spans="1:66" ht="15">
      <c r="A49" s="61" t="s">
        <v>277</v>
      </c>
      <c r="B49" s="61" t="s">
        <v>398</v>
      </c>
      <c r="C49" s="62"/>
      <c r="D49" s="63"/>
      <c r="E49" s="64"/>
      <c r="F49" s="65"/>
      <c r="G49" s="62"/>
      <c r="H49" s="66"/>
      <c r="I49" s="67"/>
      <c r="J49" s="67"/>
      <c r="K49" s="31" t="s">
        <v>65</v>
      </c>
      <c r="L49" s="75">
        <v>49</v>
      </c>
      <c r="M49" s="75"/>
      <c r="N49" s="69"/>
      <c r="O49" s="77" t="s">
        <v>446</v>
      </c>
      <c r="P49" s="79">
        <v>44963.312430555554</v>
      </c>
      <c r="Q49" s="77" t="s">
        <v>464</v>
      </c>
      <c r="R49" s="77"/>
      <c r="S49" s="77"/>
      <c r="T49" s="77"/>
      <c r="U49" s="77"/>
      <c r="V49" s="80" t="str">
        <f>HYPERLINK("https://pbs.twimg.com/profile_images/1622110671885438976/C0CcKlWc_normal.jpg")</f>
        <v>https://pbs.twimg.com/profile_images/1622110671885438976/C0CcKlWc_normal.jpg</v>
      </c>
      <c r="W49" s="79">
        <v>44963.312430555554</v>
      </c>
      <c r="X49" s="84">
        <v>44963</v>
      </c>
      <c r="Y49" s="81" t="s">
        <v>607</v>
      </c>
      <c r="Z49" s="80" t="str">
        <f>HYPERLINK("https://twitter.com/msmwatchdog2013/status/1622497800549462018")</f>
        <v>https://twitter.com/msmwatchdog2013/status/1622497800549462018</v>
      </c>
      <c r="AA49" s="77"/>
      <c r="AB49" s="77"/>
      <c r="AC49" s="81" t="s">
        <v>763</v>
      </c>
      <c r="AD49" s="77"/>
      <c r="AE49" s="77" t="b">
        <v>0</v>
      </c>
      <c r="AF49" s="77">
        <v>0</v>
      </c>
      <c r="AG49" s="81" t="s">
        <v>916</v>
      </c>
      <c r="AH49" s="77" t="b">
        <v>0</v>
      </c>
      <c r="AI49" s="77" t="s">
        <v>950</v>
      </c>
      <c r="AJ49" s="77"/>
      <c r="AK49" s="81" t="s">
        <v>916</v>
      </c>
      <c r="AL49" s="77" t="b">
        <v>0</v>
      </c>
      <c r="AM49" s="77">
        <v>6</v>
      </c>
      <c r="AN49" s="81" t="s">
        <v>765</v>
      </c>
      <c r="AO49" s="81" t="s">
        <v>959</v>
      </c>
      <c r="AP49" s="77" t="b">
        <v>0</v>
      </c>
      <c r="AQ49" s="81" t="s">
        <v>765</v>
      </c>
      <c r="AR49" s="77" t="s">
        <v>207</v>
      </c>
      <c r="AS49" s="77">
        <v>0</v>
      </c>
      <c r="AT49" s="77">
        <v>0</v>
      </c>
      <c r="AU49" s="77"/>
      <c r="AV49" s="77"/>
      <c r="AW49" s="77"/>
      <c r="AX49" s="77"/>
      <c r="AY49" s="77"/>
      <c r="AZ49" s="77"/>
      <c r="BA49" s="77"/>
      <c r="BB49" s="77"/>
      <c r="BC49">
        <v>1</v>
      </c>
      <c r="BD49" s="76" t="str">
        <f>REPLACE(INDEX(GroupVertices[Group],MATCH(Edges[[#This Row],[Vertex 1]],GroupVertices[Vertex],0)),1,1,"")</f>
        <v>5</v>
      </c>
      <c r="BE49" s="76" t="str">
        <f>REPLACE(INDEX(GroupVertices[Group],MATCH(Edges[[#This Row],[Vertex 2]],GroupVertices[Vertex],0)),1,1,"")</f>
        <v>5</v>
      </c>
      <c r="BF49" s="31"/>
      <c r="BG49" s="31"/>
      <c r="BH49" s="31"/>
      <c r="BI49" s="31"/>
      <c r="BJ49" s="31"/>
      <c r="BK49" s="31"/>
      <c r="BL49" s="31"/>
      <c r="BM49" s="31"/>
      <c r="BN49" s="31"/>
    </row>
    <row r="50" spans="1:66" ht="15">
      <c r="A50" s="61" t="s">
        <v>278</v>
      </c>
      <c r="B50" s="61" t="s">
        <v>397</v>
      </c>
      <c r="C50" s="62"/>
      <c r="D50" s="63"/>
      <c r="E50" s="64"/>
      <c r="F50" s="65"/>
      <c r="G50" s="62"/>
      <c r="H50" s="66"/>
      <c r="I50" s="67"/>
      <c r="J50" s="67"/>
      <c r="K50" s="31" t="s">
        <v>65</v>
      </c>
      <c r="L50" s="75">
        <v>50</v>
      </c>
      <c r="M50" s="75"/>
      <c r="N50" s="69"/>
      <c r="O50" s="77" t="s">
        <v>445</v>
      </c>
      <c r="P50" s="79">
        <v>44963.31491898148</v>
      </c>
      <c r="Q50" s="77" t="s">
        <v>464</v>
      </c>
      <c r="R50" s="77"/>
      <c r="S50" s="77"/>
      <c r="T50" s="77"/>
      <c r="U50" s="77"/>
      <c r="V50" s="80" t="str">
        <f>HYPERLINK("https://pbs.twimg.com/profile_images/1106779977238798336/mpyFrAX3_normal.jpg")</f>
        <v>https://pbs.twimg.com/profile_images/1106779977238798336/mpyFrAX3_normal.jpg</v>
      </c>
      <c r="W50" s="79">
        <v>44963.31491898148</v>
      </c>
      <c r="X50" s="84">
        <v>44963</v>
      </c>
      <c r="Y50" s="81" t="s">
        <v>608</v>
      </c>
      <c r="Z50" s="80" t="str">
        <f>HYPERLINK("https://twitter.com/von_herren/status/1622498699397169152")</f>
        <v>https://twitter.com/von_herren/status/1622498699397169152</v>
      </c>
      <c r="AA50" s="77"/>
      <c r="AB50" s="77"/>
      <c r="AC50" s="81" t="s">
        <v>764</v>
      </c>
      <c r="AD50" s="77"/>
      <c r="AE50" s="77" t="b">
        <v>0</v>
      </c>
      <c r="AF50" s="77">
        <v>0</v>
      </c>
      <c r="AG50" s="81" t="s">
        <v>916</v>
      </c>
      <c r="AH50" s="77" t="b">
        <v>0</v>
      </c>
      <c r="AI50" s="77" t="s">
        <v>950</v>
      </c>
      <c r="AJ50" s="77"/>
      <c r="AK50" s="81" t="s">
        <v>916</v>
      </c>
      <c r="AL50" s="77" t="b">
        <v>0</v>
      </c>
      <c r="AM50" s="77">
        <v>6</v>
      </c>
      <c r="AN50" s="81" t="s">
        <v>765</v>
      </c>
      <c r="AO50" s="81" t="s">
        <v>959</v>
      </c>
      <c r="AP50" s="77" t="b">
        <v>0</v>
      </c>
      <c r="AQ50" s="81" t="s">
        <v>765</v>
      </c>
      <c r="AR50" s="77" t="s">
        <v>207</v>
      </c>
      <c r="AS50" s="77">
        <v>0</v>
      </c>
      <c r="AT50" s="77">
        <v>0</v>
      </c>
      <c r="AU50" s="77"/>
      <c r="AV50" s="77"/>
      <c r="AW50" s="77"/>
      <c r="AX50" s="77"/>
      <c r="AY50" s="77"/>
      <c r="AZ50" s="77"/>
      <c r="BA50" s="77"/>
      <c r="BB50" s="77"/>
      <c r="BC50">
        <v>1</v>
      </c>
      <c r="BD50" s="76" t="str">
        <f>REPLACE(INDEX(GroupVertices[Group],MATCH(Edges[[#This Row],[Vertex 1]],GroupVertices[Vertex],0)),1,1,"")</f>
        <v>5</v>
      </c>
      <c r="BE50" s="76" t="str">
        <f>REPLACE(INDEX(GroupVertices[Group],MATCH(Edges[[#This Row],[Vertex 2]],GroupVertices[Vertex],0)),1,1,"")</f>
        <v>5</v>
      </c>
      <c r="BF50" s="31"/>
      <c r="BG50" s="31"/>
      <c r="BH50" s="31"/>
      <c r="BI50" s="31"/>
      <c r="BJ50" s="31"/>
      <c r="BK50" s="31"/>
      <c r="BL50" s="31"/>
      <c r="BM50" s="31"/>
      <c r="BN50" s="31"/>
    </row>
    <row r="51" spans="1:66" ht="15">
      <c r="A51" s="61" t="s">
        <v>278</v>
      </c>
      <c r="B51" s="61" t="s">
        <v>279</v>
      </c>
      <c r="C51" s="62"/>
      <c r="D51" s="63"/>
      <c r="E51" s="64"/>
      <c r="F51" s="65"/>
      <c r="G51" s="62"/>
      <c r="H51" s="66"/>
      <c r="I51" s="67"/>
      <c r="J51" s="67"/>
      <c r="K51" s="31" t="s">
        <v>65</v>
      </c>
      <c r="L51" s="75">
        <v>51</v>
      </c>
      <c r="M51" s="75"/>
      <c r="N51" s="69"/>
      <c r="O51" s="77" t="s">
        <v>447</v>
      </c>
      <c r="P51" s="79">
        <v>44963.31491898148</v>
      </c>
      <c r="Q51" s="77" t="s">
        <v>464</v>
      </c>
      <c r="R51" s="77"/>
      <c r="S51" s="77"/>
      <c r="T51" s="77"/>
      <c r="U51" s="77"/>
      <c r="V51" s="80" t="str">
        <f>HYPERLINK("https://pbs.twimg.com/profile_images/1106779977238798336/mpyFrAX3_normal.jpg")</f>
        <v>https://pbs.twimg.com/profile_images/1106779977238798336/mpyFrAX3_normal.jpg</v>
      </c>
      <c r="W51" s="79">
        <v>44963.31491898148</v>
      </c>
      <c r="X51" s="84">
        <v>44963</v>
      </c>
      <c r="Y51" s="81" t="s">
        <v>608</v>
      </c>
      <c r="Z51" s="80" t="str">
        <f>HYPERLINK("https://twitter.com/von_herren/status/1622498699397169152")</f>
        <v>https://twitter.com/von_herren/status/1622498699397169152</v>
      </c>
      <c r="AA51" s="77"/>
      <c r="AB51" s="77"/>
      <c r="AC51" s="81" t="s">
        <v>764</v>
      </c>
      <c r="AD51" s="77"/>
      <c r="AE51" s="77" t="b">
        <v>0</v>
      </c>
      <c r="AF51" s="77">
        <v>0</v>
      </c>
      <c r="AG51" s="81" t="s">
        <v>916</v>
      </c>
      <c r="AH51" s="77" t="b">
        <v>0</v>
      </c>
      <c r="AI51" s="77" t="s">
        <v>950</v>
      </c>
      <c r="AJ51" s="77"/>
      <c r="AK51" s="81" t="s">
        <v>916</v>
      </c>
      <c r="AL51" s="77" t="b">
        <v>0</v>
      </c>
      <c r="AM51" s="77">
        <v>6</v>
      </c>
      <c r="AN51" s="81" t="s">
        <v>765</v>
      </c>
      <c r="AO51" s="81" t="s">
        <v>959</v>
      </c>
      <c r="AP51" s="77" t="b">
        <v>0</v>
      </c>
      <c r="AQ51" s="81" t="s">
        <v>765</v>
      </c>
      <c r="AR51" s="77" t="s">
        <v>207</v>
      </c>
      <c r="AS51" s="77">
        <v>0</v>
      </c>
      <c r="AT51" s="77">
        <v>0</v>
      </c>
      <c r="AU51" s="77"/>
      <c r="AV51" s="77"/>
      <c r="AW51" s="77"/>
      <c r="AX51" s="77"/>
      <c r="AY51" s="77"/>
      <c r="AZ51" s="77"/>
      <c r="BA51" s="77"/>
      <c r="BB51" s="77"/>
      <c r="BC51">
        <v>1</v>
      </c>
      <c r="BD51" s="76" t="str">
        <f>REPLACE(INDEX(GroupVertices[Group],MATCH(Edges[[#This Row],[Vertex 1]],GroupVertices[Vertex],0)),1,1,"")</f>
        <v>5</v>
      </c>
      <c r="BE51" s="76" t="str">
        <f>REPLACE(INDEX(GroupVertices[Group],MATCH(Edges[[#This Row],[Vertex 2]],GroupVertices[Vertex],0)),1,1,"")</f>
        <v>5</v>
      </c>
      <c r="BF51" s="31"/>
      <c r="BG51" s="31"/>
      <c r="BH51" s="31"/>
      <c r="BI51" s="31"/>
      <c r="BJ51" s="31"/>
      <c r="BK51" s="31"/>
      <c r="BL51" s="31"/>
      <c r="BM51" s="31"/>
      <c r="BN51" s="31"/>
    </row>
    <row r="52" spans="1:66" ht="15">
      <c r="A52" s="61" t="s">
        <v>278</v>
      </c>
      <c r="B52" s="61" t="s">
        <v>398</v>
      </c>
      <c r="C52" s="62"/>
      <c r="D52" s="63"/>
      <c r="E52" s="64"/>
      <c r="F52" s="65"/>
      <c r="G52" s="62"/>
      <c r="H52" s="66"/>
      <c r="I52" s="67"/>
      <c r="J52" s="67"/>
      <c r="K52" s="31" t="s">
        <v>65</v>
      </c>
      <c r="L52" s="75">
        <v>52</v>
      </c>
      <c r="M52" s="75"/>
      <c r="N52" s="69"/>
      <c r="O52" s="77" t="s">
        <v>446</v>
      </c>
      <c r="P52" s="79">
        <v>44963.31491898148</v>
      </c>
      <c r="Q52" s="77" t="s">
        <v>464</v>
      </c>
      <c r="R52" s="77"/>
      <c r="S52" s="77"/>
      <c r="T52" s="77"/>
      <c r="U52" s="77"/>
      <c r="V52" s="80" t="str">
        <f>HYPERLINK("https://pbs.twimg.com/profile_images/1106779977238798336/mpyFrAX3_normal.jpg")</f>
        <v>https://pbs.twimg.com/profile_images/1106779977238798336/mpyFrAX3_normal.jpg</v>
      </c>
      <c r="W52" s="79">
        <v>44963.31491898148</v>
      </c>
      <c r="X52" s="84">
        <v>44963</v>
      </c>
      <c r="Y52" s="81" t="s">
        <v>608</v>
      </c>
      <c r="Z52" s="80" t="str">
        <f>HYPERLINK("https://twitter.com/von_herren/status/1622498699397169152")</f>
        <v>https://twitter.com/von_herren/status/1622498699397169152</v>
      </c>
      <c r="AA52" s="77"/>
      <c r="AB52" s="77"/>
      <c r="AC52" s="81" t="s">
        <v>764</v>
      </c>
      <c r="AD52" s="77"/>
      <c r="AE52" s="77" t="b">
        <v>0</v>
      </c>
      <c r="AF52" s="77">
        <v>0</v>
      </c>
      <c r="AG52" s="81" t="s">
        <v>916</v>
      </c>
      <c r="AH52" s="77" t="b">
        <v>0</v>
      </c>
      <c r="AI52" s="77" t="s">
        <v>950</v>
      </c>
      <c r="AJ52" s="77"/>
      <c r="AK52" s="81" t="s">
        <v>916</v>
      </c>
      <c r="AL52" s="77" t="b">
        <v>0</v>
      </c>
      <c r="AM52" s="77">
        <v>6</v>
      </c>
      <c r="AN52" s="81" t="s">
        <v>765</v>
      </c>
      <c r="AO52" s="81" t="s">
        <v>959</v>
      </c>
      <c r="AP52" s="77" t="b">
        <v>0</v>
      </c>
      <c r="AQ52" s="81" t="s">
        <v>765</v>
      </c>
      <c r="AR52" s="77" t="s">
        <v>207</v>
      </c>
      <c r="AS52" s="77">
        <v>0</v>
      </c>
      <c r="AT52" s="77">
        <v>0</v>
      </c>
      <c r="AU52" s="77"/>
      <c r="AV52" s="77"/>
      <c r="AW52" s="77"/>
      <c r="AX52" s="77"/>
      <c r="AY52" s="77"/>
      <c r="AZ52" s="77"/>
      <c r="BA52" s="77"/>
      <c r="BB52" s="77"/>
      <c r="BC52">
        <v>1</v>
      </c>
      <c r="BD52" s="76" t="str">
        <f>REPLACE(INDEX(GroupVertices[Group],MATCH(Edges[[#This Row],[Vertex 1]],GroupVertices[Vertex],0)),1,1,"")</f>
        <v>5</v>
      </c>
      <c r="BE52" s="76" t="str">
        <f>REPLACE(INDEX(GroupVertices[Group],MATCH(Edges[[#This Row],[Vertex 2]],GroupVertices[Vertex],0)),1,1,"")</f>
        <v>5</v>
      </c>
      <c r="BF52" s="31"/>
      <c r="BG52" s="31"/>
      <c r="BH52" s="31"/>
      <c r="BI52" s="31"/>
      <c r="BJ52" s="31"/>
      <c r="BK52" s="31"/>
      <c r="BL52" s="31"/>
      <c r="BM52" s="31"/>
      <c r="BN52" s="31"/>
    </row>
    <row r="53" spans="1:66" ht="15">
      <c r="A53" s="61" t="s">
        <v>279</v>
      </c>
      <c r="B53" s="61" t="s">
        <v>397</v>
      </c>
      <c r="C53" s="62"/>
      <c r="D53" s="63"/>
      <c r="E53" s="64"/>
      <c r="F53" s="65"/>
      <c r="G53" s="62"/>
      <c r="H53" s="66"/>
      <c r="I53" s="67"/>
      <c r="J53" s="67"/>
      <c r="K53" s="31" t="s">
        <v>65</v>
      </c>
      <c r="L53" s="75">
        <v>53</v>
      </c>
      <c r="M53" s="75"/>
      <c r="N53" s="69"/>
      <c r="O53" s="77" t="s">
        <v>448</v>
      </c>
      <c r="P53" s="79">
        <v>44963.27974537037</v>
      </c>
      <c r="Q53" s="77" t="s">
        <v>464</v>
      </c>
      <c r="R53" s="77"/>
      <c r="S53" s="77"/>
      <c r="T53" s="77"/>
      <c r="U53" s="77"/>
      <c r="V53" s="80" t="str">
        <f>HYPERLINK("https://pbs.twimg.com/profile_images/1010363771796140033/S2oq4Ge0_normal.jpg")</f>
        <v>https://pbs.twimg.com/profile_images/1010363771796140033/S2oq4Ge0_normal.jpg</v>
      </c>
      <c r="W53" s="79">
        <v>44963.27974537037</v>
      </c>
      <c r="X53" s="84">
        <v>44963</v>
      </c>
      <c r="Y53" s="81" t="s">
        <v>609</v>
      </c>
      <c r="Z53" s="80" t="str">
        <f>HYPERLINK("https://twitter.com/davidbewart/status/1622485952424996864")</f>
        <v>https://twitter.com/davidbewart/status/1622485952424996864</v>
      </c>
      <c r="AA53" s="77"/>
      <c r="AB53" s="77"/>
      <c r="AC53" s="81" t="s">
        <v>765</v>
      </c>
      <c r="AD53" s="81" t="s">
        <v>892</v>
      </c>
      <c r="AE53" s="77" t="b">
        <v>0</v>
      </c>
      <c r="AF53" s="77">
        <v>18</v>
      </c>
      <c r="AG53" s="81" t="s">
        <v>923</v>
      </c>
      <c r="AH53" s="77" t="b">
        <v>0</v>
      </c>
      <c r="AI53" s="77" t="s">
        <v>950</v>
      </c>
      <c r="AJ53" s="77"/>
      <c r="AK53" s="81" t="s">
        <v>916</v>
      </c>
      <c r="AL53" s="77" t="b">
        <v>0</v>
      </c>
      <c r="AM53" s="77">
        <v>6</v>
      </c>
      <c r="AN53" s="81" t="s">
        <v>916</v>
      </c>
      <c r="AO53" s="81" t="s">
        <v>958</v>
      </c>
      <c r="AP53" s="77" t="b">
        <v>0</v>
      </c>
      <c r="AQ53" s="81" t="s">
        <v>892</v>
      </c>
      <c r="AR53" s="77" t="s">
        <v>207</v>
      </c>
      <c r="AS53" s="77">
        <v>0</v>
      </c>
      <c r="AT53" s="77">
        <v>0</v>
      </c>
      <c r="AU53" s="77"/>
      <c r="AV53" s="77"/>
      <c r="AW53" s="77"/>
      <c r="AX53" s="77"/>
      <c r="AY53" s="77"/>
      <c r="AZ53" s="77"/>
      <c r="BA53" s="77"/>
      <c r="BB53" s="77"/>
      <c r="BC53">
        <v>2</v>
      </c>
      <c r="BD53" s="76" t="str">
        <f>REPLACE(INDEX(GroupVertices[Group],MATCH(Edges[[#This Row],[Vertex 1]],GroupVertices[Vertex],0)),1,1,"")</f>
        <v>5</v>
      </c>
      <c r="BE53" s="76" t="str">
        <f>REPLACE(INDEX(GroupVertices[Group],MATCH(Edges[[#This Row],[Vertex 2]],GroupVertices[Vertex],0)),1,1,"")</f>
        <v>5</v>
      </c>
      <c r="BF53" s="31"/>
      <c r="BG53" s="31"/>
      <c r="BH53" s="31"/>
      <c r="BI53" s="31"/>
      <c r="BJ53" s="31"/>
      <c r="BK53" s="31"/>
      <c r="BL53" s="31"/>
      <c r="BM53" s="31"/>
      <c r="BN53" s="31"/>
    </row>
    <row r="54" spans="1:66" ht="15">
      <c r="A54" s="61" t="s">
        <v>279</v>
      </c>
      <c r="B54" s="61" t="s">
        <v>397</v>
      </c>
      <c r="C54" s="62"/>
      <c r="D54" s="63"/>
      <c r="E54" s="64"/>
      <c r="F54" s="65"/>
      <c r="G54" s="62"/>
      <c r="H54" s="66"/>
      <c r="I54" s="67"/>
      <c r="J54" s="67"/>
      <c r="K54" s="31" t="s">
        <v>65</v>
      </c>
      <c r="L54" s="75">
        <v>54</v>
      </c>
      <c r="M54" s="75"/>
      <c r="N54" s="69"/>
      <c r="O54" s="77" t="s">
        <v>445</v>
      </c>
      <c r="P54" s="79">
        <v>44963.281168981484</v>
      </c>
      <c r="Q54" s="77" t="s">
        <v>464</v>
      </c>
      <c r="R54" s="77"/>
      <c r="S54" s="77"/>
      <c r="T54" s="77"/>
      <c r="U54" s="77"/>
      <c r="V54" s="80" t="str">
        <f>HYPERLINK("https://pbs.twimg.com/profile_images/1010363771796140033/S2oq4Ge0_normal.jpg")</f>
        <v>https://pbs.twimg.com/profile_images/1010363771796140033/S2oq4Ge0_normal.jpg</v>
      </c>
      <c r="W54" s="79">
        <v>44963.281168981484</v>
      </c>
      <c r="X54" s="84">
        <v>44963</v>
      </c>
      <c r="Y54" s="81" t="s">
        <v>610</v>
      </c>
      <c r="Z54" s="80" t="str">
        <f>HYPERLINK("https://twitter.com/davidbewart/status/1622486470006296578")</f>
        <v>https://twitter.com/davidbewart/status/1622486470006296578</v>
      </c>
      <c r="AA54" s="77"/>
      <c r="AB54" s="77"/>
      <c r="AC54" s="81" t="s">
        <v>766</v>
      </c>
      <c r="AD54" s="77"/>
      <c r="AE54" s="77" t="b">
        <v>0</v>
      </c>
      <c r="AF54" s="77">
        <v>0</v>
      </c>
      <c r="AG54" s="81" t="s">
        <v>916</v>
      </c>
      <c r="AH54" s="77" t="b">
        <v>0</v>
      </c>
      <c r="AI54" s="77" t="s">
        <v>950</v>
      </c>
      <c r="AJ54" s="77"/>
      <c r="AK54" s="81" t="s">
        <v>916</v>
      </c>
      <c r="AL54" s="77" t="b">
        <v>0</v>
      </c>
      <c r="AM54" s="77">
        <v>6</v>
      </c>
      <c r="AN54" s="81" t="s">
        <v>765</v>
      </c>
      <c r="AO54" s="81" t="s">
        <v>958</v>
      </c>
      <c r="AP54" s="77" t="b">
        <v>0</v>
      </c>
      <c r="AQ54" s="81" t="s">
        <v>765</v>
      </c>
      <c r="AR54" s="77" t="s">
        <v>207</v>
      </c>
      <c r="AS54" s="77">
        <v>0</v>
      </c>
      <c r="AT54" s="77">
        <v>0</v>
      </c>
      <c r="AU54" s="77"/>
      <c r="AV54" s="77"/>
      <c r="AW54" s="77"/>
      <c r="AX54" s="77"/>
      <c r="AY54" s="77"/>
      <c r="AZ54" s="77"/>
      <c r="BA54" s="77"/>
      <c r="BB54" s="77"/>
      <c r="BC54">
        <v>2</v>
      </c>
      <c r="BD54" s="76" t="str">
        <f>REPLACE(INDEX(GroupVertices[Group],MATCH(Edges[[#This Row],[Vertex 1]],GroupVertices[Vertex],0)),1,1,"")</f>
        <v>5</v>
      </c>
      <c r="BE54" s="76" t="str">
        <f>REPLACE(INDEX(GroupVertices[Group],MATCH(Edges[[#This Row],[Vertex 2]],GroupVertices[Vertex],0)),1,1,"")</f>
        <v>5</v>
      </c>
      <c r="BF54" s="31"/>
      <c r="BG54" s="31"/>
      <c r="BH54" s="31"/>
      <c r="BI54" s="31"/>
      <c r="BJ54" s="31"/>
      <c r="BK54" s="31"/>
      <c r="BL54" s="31"/>
      <c r="BM54" s="31"/>
      <c r="BN54" s="31"/>
    </row>
    <row r="55" spans="1:66" ht="15">
      <c r="A55" s="61" t="s">
        <v>280</v>
      </c>
      <c r="B55" s="61" t="s">
        <v>397</v>
      </c>
      <c r="C55" s="62"/>
      <c r="D55" s="63"/>
      <c r="E55" s="64"/>
      <c r="F55" s="65"/>
      <c r="G55" s="62"/>
      <c r="H55" s="66"/>
      <c r="I55" s="67"/>
      <c r="J55" s="67"/>
      <c r="K55" s="31" t="s">
        <v>65</v>
      </c>
      <c r="L55" s="75">
        <v>55</v>
      </c>
      <c r="M55" s="75"/>
      <c r="N55" s="69"/>
      <c r="O55" s="77" t="s">
        <v>445</v>
      </c>
      <c r="P55" s="79">
        <v>44963.315474537034</v>
      </c>
      <c r="Q55" s="77" t="s">
        <v>464</v>
      </c>
      <c r="R55" s="77"/>
      <c r="S55" s="77"/>
      <c r="T55" s="77"/>
      <c r="U55" s="77"/>
      <c r="V55" s="80" t="str">
        <f>HYPERLINK("https://pbs.twimg.com/profile_images/1593445873526050816/WVFznGvf_normal.jpg")</f>
        <v>https://pbs.twimg.com/profile_images/1593445873526050816/WVFznGvf_normal.jpg</v>
      </c>
      <c r="W55" s="79">
        <v>44963.315474537034</v>
      </c>
      <c r="X55" s="84">
        <v>44963</v>
      </c>
      <c r="Y55" s="81" t="s">
        <v>611</v>
      </c>
      <c r="Z55" s="80" t="str">
        <f>HYPERLINK("https://twitter.com/jrehnj/status/1622498904112758784")</f>
        <v>https://twitter.com/jrehnj/status/1622498904112758784</v>
      </c>
      <c r="AA55" s="77"/>
      <c r="AB55" s="77"/>
      <c r="AC55" s="81" t="s">
        <v>767</v>
      </c>
      <c r="AD55" s="77"/>
      <c r="AE55" s="77" t="b">
        <v>0</v>
      </c>
      <c r="AF55" s="77">
        <v>0</v>
      </c>
      <c r="AG55" s="81" t="s">
        <v>916</v>
      </c>
      <c r="AH55" s="77" t="b">
        <v>0</v>
      </c>
      <c r="AI55" s="77" t="s">
        <v>950</v>
      </c>
      <c r="AJ55" s="77"/>
      <c r="AK55" s="81" t="s">
        <v>916</v>
      </c>
      <c r="AL55" s="77" t="b">
        <v>0</v>
      </c>
      <c r="AM55" s="77">
        <v>6</v>
      </c>
      <c r="AN55" s="81" t="s">
        <v>765</v>
      </c>
      <c r="AO55" s="81" t="s">
        <v>958</v>
      </c>
      <c r="AP55" s="77" t="b">
        <v>0</v>
      </c>
      <c r="AQ55" s="81" t="s">
        <v>765</v>
      </c>
      <c r="AR55" s="77" t="s">
        <v>207</v>
      </c>
      <c r="AS55" s="77">
        <v>0</v>
      </c>
      <c r="AT55" s="77">
        <v>0</v>
      </c>
      <c r="AU55" s="77"/>
      <c r="AV55" s="77"/>
      <c r="AW55" s="77"/>
      <c r="AX55" s="77"/>
      <c r="AY55" s="77"/>
      <c r="AZ55" s="77"/>
      <c r="BA55" s="77"/>
      <c r="BB55" s="77"/>
      <c r="BC55">
        <v>1</v>
      </c>
      <c r="BD55" s="76" t="str">
        <f>REPLACE(INDEX(GroupVertices[Group],MATCH(Edges[[#This Row],[Vertex 1]],GroupVertices[Vertex],0)),1,1,"")</f>
        <v>5</v>
      </c>
      <c r="BE55" s="76" t="str">
        <f>REPLACE(INDEX(GroupVertices[Group],MATCH(Edges[[#This Row],[Vertex 2]],GroupVertices[Vertex],0)),1,1,"")</f>
        <v>5</v>
      </c>
      <c r="BF55" s="31"/>
      <c r="BG55" s="31"/>
      <c r="BH55" s="31"/>
      <c r="BI55" s="31"/>
      <c r="BJ55" s="31"/>
      <c r="BK55" s="31"/>
      <c r="BL55" s="31"/>
      <c r="BM55" s="31"/>
      <c r="BN55" s="31"/>
    </row>
    <row r="56" spans="1:66" ht="15">
      <c r="A56" s="61" t="s">
        <v>279</v>
      </c>
      <c r="B56" s="61" t="s">
        <v>398</v>
      </c>
      <c r="C56" s="62"/>
      <c r="D56" s="63"/>
      <c r="E56" s="64"/>
      <c r="F56" s="65"/>
      <c r="G56" s="62"/>
      <c r="H56" s="66"/>
      <c r="I56" s="67"/>
      <c r="J56" s="67"/>
      <c r="K56" s="31" t="s">
        <v>65</v>
      </c>
      <c r="L56" s="75">
        <v>56</v>
      </c>
      <c r="M56" s="75"/>
      <c r="N56" s="69"/>
      <c r="O56" s="77" t="s">
        <v>446</v>
      </c>
      <c r="P56" s="79">
        <v>44963.27974537037</v>
      </c>
      <c r="Q56" s="77" t="s">
        <v>464</v>
      </c>
      <c r="R56" s="77"/>
      <c r="S56" s="77"/>
      <c r="T56" s="77"/>
      <c r="U56" s="77"/>
      <c r="V56" s="80" t="str">
        <f>HYPERLINK("https://pbs.twimg.com/profile_images/1010363771796140033/S2oq4Ge0_normal.jpg")</f>
        <v>https://pbs.twimg.com/profile_images/1010363771796140033/S2oq4Ge0_normal.jpg</v>
      </c>
      <c r="W56" s="79">
        <v>44963.27974537037</v>
      </c>
      <c r="X56" s="84">
        <v>44963</v>
      </c>
      <c r="Y56" s="81" t="s">
        <v>609</v>
      </c>
      <c r="Z56" s="80" t="str">
        <f>HYPERLINK("https://twitter.com/davidbewart/status/1622485952424996864")</f>
        <v>https://twitter.com/davidbewart/status/1622485952424996864</v>
      </c>
      <c r="AA56" s="77"/>
      <c r="AB56" s="77"/>
      <c r="AC56" s="81" t="s">
        <v>765</v>
      </c>
      <c r="AD56" s="81" t="s">
        <v>892</v>
      </c>
      <c r="AE56" s="77" t="b">
        <v>0</v>
      </c>
      <c r="AF56" s="77">
        <v>18</v>
      </c>
      <c r="AG56" s="81" t="s">
        <v>923</v>
      </c>
      <c r="AH56" s="77" t="b">
        <v>0</v>
      </c>
      <c r="AI56" s="77" t="s">
        <v>950</v>
      </c>
      <c r="AJ56" s="77"/>
      <c r="AK56" s="81" t="s">
        <v>916</v>
      </c>
      <c r="AL56" s="77" t="b">
        <v>0</v>
      </c>
      <c r="AM56" s="77">
        <v>6</v>
      </c>
      <c r="AN56" s="81" t="s">
        <v>916</v>
      </c>
      <c r="AO56" s="81" t="s">
        <v>958</v>
      </c>
      <c r="AP56" s="77" t="b">
        <v>0</v>
      </c>
      <c r="AQ56" s="81" t="s">
        <v>892</v>
      </c>
      <c r="AR56" s="77" t="s">
        <v>207</v>
      </c>
      <c r="AS56" s="77">
        <v>0</v>
      </c>
      <c r="AT56" s="77">
        <v>0</v>
      </c>
      <c r="AU56" s="77"/>
      <c r="AV56" s="77"/>
      <c r="AW56" s="77"/>
      <c r="AX56" s="77"/>
      <c r="AY56" s="77"/>
      <c r="AZ56" s="77"/>
      <c r="BA56" s="77"/>
      <c r="BB56" s="77"/>
      <c r="BC56">
        <v>2</v>
      </c>
      <c r="BD56" s="76" t="str">
        <f>REPLACE(INDEX(GroupVertices[Group],MATCH(Edges[[#This Row],[Vertex 1]],GroupVertices[Vertex],0)),1,1,"")</f>
        <v>5</v>
      </c>
      <c r="BE56" s="76" t="str">
        <f>REPLACE(INDEX(GroupVertices[Group],MATCH(Edges[[#This Row],[Vertex 2]],GroupVertices[Vertex],0)),1,1,"")</f>
        <v>5</v>
      </c>
      <c r="BF56" s="31"/>
      <c r="BG56" s="31"/>
      <c r="BH56" s="31"/>
      <c r="BI56" s="31"/>
      <c r="BJ56" s="31"/>
      <c r="BK56" s="31"/>
      <c r="BL56" s="31"/>
      <c r="BM56" s="31"/>
      <c r="BN56" s="31"/>
    </row>
    <row r="57" spans="1:66" ht="15">
      <c r="A57" s="61" t="s">
        <v>279</v>
      </c>
      <c r="B57" s="61" t="s">
        <v>279</v>
      </c>
      <c r="C57" s="62"/>
      <c r="D57" s="63"/>
      <c r="E57" s="64"/>
      <c r="F57" s="65"/>
      <c r="G57" s="62"/>
      <c r="H57" s="66"/>
      <c r="I57" s="67"/>
      <c r="J57" s="67"/>
      <c r="K57" s="31" t="s">
        <v>65</v>
      </c>
      <c r="L57" s="75">
        <v>57</v>
      </c>
      <c r="M57" s="75"/>
      <c r="N57" s="69"/>
      <c r="O57" s="77" t="s">
        <v>447</v>
      </c>
      <c r="P57" s="79">
        <v>44963.281168981484</v>
      </c>
      <c r="Q57" s="77" t="s">
        <v>464</v>
      </c>
      <c r="R57" s="77"/>
      <c r="S57" s="77"/>
      <c r="T57" s="77"/>
      <c r="U57" s="77"/>
      <c r="V57" s="80" t="str">
        <f>HYPERLINK("https://pbs.twimg.com/profile_images/1010363771796140033/S2oq4Ge0_normal.jpg")</f>
        <v>https://pbs.twimg.com/profile_images/1010363771796140033/S2oq4Ge0_normal.jpg</v>
      </c>
      <c r="W57" s="79">
        <v>44963.281168981484</v>
      </c>
      <c r="X57" s="84">
        <v>44963</v>
      </c>
      <c r="Y57" s="81" t="s">
        <v>610</v>
      </c>
      <c r="Z57" s="80" t="str">
        <f>HYPERLINK("https://twitter.com/davidbewart/status/1622486470006296578")</f>
        <v>https://twitter.com/davidbewart/status/1622486470006296578</v>
      </c>
      <c r="AA57" s="77"/>
      <c r="AB57" s="77"/>
      <c r="AC57" s="81" t="s">
        <v>766</v>
      </c>
      <c r="AD57" s="77"/>
      <c r="AE57" s="77" t="b">
        <v>0</v>
      </c>
      <c r="AF57" s="77">
        <v>0</v>
      </c>
      <c r="AG57" s="81" t="s">
        <v>916</v>
      </c>
      <c r="AH57" s="77" t="b">
        <v>0</v>
      </c>
      <c r="AI57" s="77" t="s">
        <v>950</v>
      </c>
      <c r="AJ57" s="77"/>
      <c r="AK57" s="81" t="s">
        <v>916</v>
      </c>
      <c r="AL57" s="77" t="b">
        <v>0</v>
      </c>
      <c r="AM57" s="77">
        <v>6</v>
      </c>
      <c r="AN57" s="81" t="s">
        <v>765</v>
      </c>
      <c r="AO57" s="81" t="s">
        <v>958</v>
      </c>
      <c r="AP57" s="77" t="b">
        <v>0</v>
      </c>
      <c r="AQ57" s="81" t="s">
        <v>765</v>
      </c>
      <c r="AR57" s="77" t="s">
        <v>207</v>
      </c>
      <c r="AS57" s="77">
        <v>0</v>
      </c>
      <c r="AT57" s="77">
        <v>0</v>
      </c>
      <c r="AU57" s="77"/>
      <c r="AV57" s="77"/>
      <c r="AW57" s="77"/>
      <c r="AX57" s="77"/>
      <c r="AY57" s="77"/>
      <c r="AZ57" s="77"/>
      <c r="BA57" s="77"/>
      <c r="BB57" s="77"/>
      <c r="BC57">
        <v>1</v>
      </c>
      <c r="BD57" s="76" t="str">
        <f>REPLACE(INDEX(GroupVertices[Group],MATCH(Edges[[#This Row],[Vertex 1]],GroupVertices[Vertex],0)),1,1,"")</f>
        <v>5</v>
      </c>
      <c r="BE57" s="76" t="str">
        <f>REPLACE(INDEX(GroupVertices[Group],MATCH(Edges[[#This Row],[Vertex 2]],GroupVertices[Vertex],0)),1,1,"")</f>
        <v>5</v>
      </c>
      <c r="BF57" s="31"/>
      <c r="BG57" s="31"/>
      <c r="BH57" s="31"/>
      <c r="BI57" s="31"/>
      <c r="BJ57" s="31"/>
      <c r="BK57" s="31"/>
      <c r="BL57" s="31"/>
      <c r="BM57" s="31"/>
      <c r="BN57" s="31"/>
    </row>
    <row r="58" spans="1:66" ht="15">
      <c r="A58" s="61" t="s">
        <v>279</v>
      </c>
      <c r="B58" s="61" t="s">
        <v>398</v>
      </c>
      <c r="C58" s="62"/>
      <c r="D58" s="63"/>
      <c r="E58" s="64"/>
      <c r="F58" s="65"/>
      <c r="G58" s="62"/>
      <c r="H58" s="66"/>
      <c r="I58" s="67"/>
      <c r="J58" s="67"/>
      <c r="K58" s="31" t="s">
        <v>65</v>
      </c>
      <c r="L58" s="75">
        <v>58</v>
      </c>
      <c r="M58" s="75"/>
      <c r="N58" s="69"/>
      <c r="O58" s="77" t="s">
        <v>446</v>
      </c>
      <c r="P58" s="79">
        <v>44963.281168981484</v>
      </c>
      <c r="Q58" s="77" t="s">
        <v>464</v>
      </c>
      <c r="R58" s="77"/>
      <c r="S58" s="77"/>
      <c r="T58" s="77"/>
      <c r="U58" s="77"/>
      <c r="V58" s="80" t="str">
        <f>HYPERLINK("https://pbs.twimg.com/profile_images/1010363771796140033/S2oq4Ge0_normal.jpg")</f>
        <v>https://pbs.twimg.com/profile_images/1010363771796140033/S2oq4Ge0_normal.jpg</v>
      </c>
      <c r="W58" s="79">
        <v>44963.281168981484</v>
      </c>
      <c r="X58" s="84">
        <v>44963</v>
      </c>
      <c r="Y58" s="81" t="s">
        <v>610</v>
      </c>
      <c r="Z58" s="80" t="str">
        <f>HYPERLINK("https://twitter.com/davidbewart/status/1622486470006296578")</f>
        <v>https://twitter.com/davidbewart/status/1622486470006296578</v>
      </c>
      <c r="AA58" s="77"/>
      <c r="AB58" s="77"/>
      <c r="AC58" s="81" t="s">
        <v>766</v>
      </c>
      <c r="AD58" s="77"/>
      <c r="AE58" s="77" t="b">
        <v>0</v>
      </c>
      <c r="AF58" s="77">
        <v>0</v>
      </c>
      <c r="AG58" s="81" t="s">
        <v>916</v>
      </c>
      <c r="AH58" s="77" t="b">
        <v>0</v>
      </c>
      <c r="AI58" s="77" t="s">
        <v>950</v>
      </c>
      <c r="AJ58" s="77"/>
      <c r="AK58" s="81" t="s">
        <v>916</v>
      </c>
      <c r="AL58" s="77" t="b">
        <v>0</v>
      </c>
      <c r="AM58" s="77">
        <v>6</v>
      </c>
      <c r="AN58" s="81" t="s">
        <v>765</v>
      </c>
      <c r="AO58" s="81" t="s">
        <v>958</v>
      </c>
      <c r="AP58" s="77" t="b">
        <v>0</v>
      </c>
      <c r="AQ58" s="81" t="s">
        <v>765</v>
      </c>
      <c r="AR58" s="77" t="s">
        <v>207</v>
      </c>
      <c r="AS58" s="77">
        <v>0</v>
      </c>
      <c r="AT58" s="77">
        <v>0</v>
      </c>
      <c r="AU58" s="77"/>
      <c r="AV58" s="77"/>
      <c r="AW58" s="77"/>
      <c r="AX58" s="77"/>
      <c r="AY58" s="77"/>
      <c r="AZ58" s="77"/>
      <c r="BA58" s="77"/>
      <c r="BB58" s="77"/>
      <c r="BC58">
        <v>2</v>
      </c>
      <c r="BD58" s="76" t="str">
        <f>REPLACE(INDEX(GroupVertices[Group],MATCH(Edges[[#This Row],[Vertex 1]],GroupVertices[Vertex],0)),1,1,"")</f>
        <v>5</v>
      </c>
      <c r="BE58" s="76" t="str">
        <f>REPLACE(INDEX(GroupVertices[Group],MATCH(Edges[[#This Row],[Vertex 2]],GroupVertices[Vertex],0)),1,1,"")</f>
        <v>5</v>
      </c>
      <c r="BF58" s="31"/>
      <c r="BG58" s="31"/>
      <c r="BH58" s="31"/>
      <c r="BI58" s="31"/>
      <c r="BJ58" s="31"/>
      <c r="BK58" s="31"/>
      <c r="BL58" s="31"/>
      <c r="BM58" s="31"/>
      <c r="BN58" s="31"/>
    </row>
    <row r="59" spans="1:66" ht="15">
      <c r="A59" s="61" t="s">
        <v>280</v>
      </c>
      <c r="B59" s="61" t="s">
        <v>279</v>
      </c>
      <c r="C59" s="62"/>
      <c r="D59" s="63"/>
      <c r="E59" s="64"/>
      <c r="F59" s="65"/>
      <c r="G59" s="62"/>
      <c r="H59" s="66"/>
      <c r="I59" s="67"/>
      <c r="J59" s="67"/>
      <c r="K59" s="31" t="s">
        <v>65</v>
      </c>
      <c r="L59" s="75">
        <v>59</v>
      </c>
      <c r="M59" s="75"/>
      <c r="N59" s="69"/>
      <c r="O59" s="77" t="s">
        <v>447</v>
      </c>
      <c r="P59" s="79">
        <v>44963.315474537034</v>
      </c>
      <c r="Q59" s="77" t="s">
        <v>464</v>
      </c>
      <c r="R59" s="77"/>
      <c r="S59" s="77"/>
      <c r="T59" s="77"/>
      <c r="U59" s="77"/>
      <c r="V59" s="80" t="str">
        <f>HYPERLINK("https://pbs.twimg.com/profile_images/1593445873526050816/WVFznGvf_normal.jpg")</f>
        <v>https://pbs.twimg.com/profile_images/1593445873526050816/WVFznGvf_normal.jpg</v>
      </c>
      <c r="W59" s="79">
        <v>44963.315474537034</v>
      </c>
      <c r="X59" s="84">
        <v>44963</v>
      </c>
      <c r="Y59" s="81" t="s">
        <v>611</v>
      </c>
      <c r="Z59" s="80" t="str">
        <f>HYPERLINK("https://twitter.com/jrehnj/status/1622498904112758784")</f>
        <v>https://twitter.com/jrehnj/status/1622498904112758784</v>
      </c>
      <c r="AA59" s="77"/>
      <c r="AB59" s="77"/>
      <c r="AC59" s="81" t="s">
        <v>767</v>
      </c>
      <c r="AD59" s="77"/>
      <c r="AE59" s="77" t="b">
        <v>0</v>
      </c>
      <c r="AF59" s="77">
        <v>0</v>
      </c>
      <c r="AG59" s="81" t="s">
        <v>916</v>
      </c>
      <c r="AH59" s="77" t="b">
        <v>0</v>
      </c>
      <c r="AI59" s="77" t="s">
        <v>950</v>
      </c>
      <c r="AJ59" s="77"/>
      <c r="AK59" s="81" t="s">
        <v>916</v>
      </c>
      <c r="AL59" s="77" t="b">
        <v>0</v>
      </c>
      <c r="AM59" s="77">
        <v>6</v>
      </c>
      <c r="AN59" s="81" t="s">
        <v>765</v>
      </c>
      <c r="AO59" s="81" t="s">
        <v>958</v>
      </c>
      <c r="AP59" s="77" t="b">
        <v>0</v>
      </c>
      <c r="AQ59" s="81" t="s">
        <v>765</v>
      </c>
      <c r="AR59" s="77" t="s">
        <v>207</v>
      </c>
      <c r="AS59" s="77">
        <v>0</v>
      </c>
      <c r="AT59" s="77">
        <v>0</v>
      </c>
      <c r="AU59" s="77"/>
      <c r="AV59" s="77"/>
      <c r="AW59" s="77"/>
      <c r="AX59" s="77"/>
      <c r="AY59" s="77"/>
      <c r="AZ59" s="77"/>
      <c r="BA59" s="77"/>
      <c r="BB59" s="77"/>
      <c r="BC59">
        <v>1</v>
      </c>
      <c r="BD59" s="76" t="str">
        <f>REPLACE(INDEX(GroupVertices[Group],MATCH(Edges[[#This Row],[Vertex 1]],GroupVertices[Vertex],0)),1,1,"")</f>
        <v>5</v>
      </c>
      <c r="BE59" s="76" t="str">
        <f>REPLACE(INDEX(GroupVertices[Group],MATCH(Edges[[#This Row],[Vertex 2]],GroupVertices[Vertex],0)),1,1,"")</f>
        <v>5</v>
      </c>
      <c r="BF59" s="31"/>
      <c r="BG59" s="31"/>
      <c r="BH59" s="31"/>
      <c r="BI59" s="31"/>
      <c r="BJ59" s="31"/>
      <c r="BK59" s="31"/>
      <c r="BL59" s="31"/>
      <c r="BM59" s="31"/>
      <c r="BN59" s="31"/>
    </row>
    <row r="60" spans="1:66" ht="15">
      <c r="A60" s="61" t="s">
        <v>280</v>
      </c>
      <c r="B60" s="61" t="s">
        <v>398</v>
      </c>
      <c r="C60" s="62"/>
      <c r="D60" s="63"/>
      <c r="E60" s="64"/>
      <c r="F60" s="65"/>
      <c r="G60" s="62"/>
      <c r="H60" s="66"/>
      <c r="I60" s="67"/>
      <c r="J60" s="67"/>
      <c r="K60" s="31" t="s">
        <v>65</v>
      </c>
      <c r="L60" s="75">
        <v>60</v>
      </c>
      <c r="M60" s="75"/>
      <c r="N60" s="69"/>
      <c r="O60" s="77" t="s">
        <v>446</v>
      </c>
      <c r="P60" s="79">
        <v>44963.315474537034</v>
      </c>
      <c r="Q60" s="77" t="s">
        <v>464</v>
      </c>
      <c r="R60" s="77"/>
      <c r="S60" s="77"/>
      <c r="T60" s="77"/>
      <c r="U60" s="77"/>
      <c r="V60" s="80" t="str">
        <f>HYPERLINK("https://pbs.twimg.com/profile_images/1593445873526050816/WVFznGvf_normal.jpg")</f>
        <v>https://pbs.twimg.com/profile_images/1593445873526050816/WVFznGvf_normal.jpg</v>
      </c>
      <c r="W60" s="79">
        <v>44963.315474537034</v>
      </c>
      <c r="X60" s="84">
        <v>44963</v>
      </c>
      <c r="Y60" s="81" t="s">
        <v>611</v>
      </c>
      <c r="Z60" s="80" t="str">
        <f>HYPERLINK("https://twitter.com/jrehnj/status/1622498904112758784")</f>
        <v>https://twitter.com/jrehnj/status/1622498904112758784</v>
      </c>
      <c r="AA60" s="77"/>
      <c r="AB60" s="77"/>
      <c r="AC60" s="81" t="s">
        <v>767</v>
      </c>
      <c r="AD60" s="77"/>
      <c r="AE60" s="77" t="b">
        <v>0</v>
      </c>
      <c r="AF60" s="77">
        <v>0</v>
      </c>
      <c r="AG60" s="81" t="s">
        <v>916</v>
      </c>
      <c r="AH60" s="77" t="b">
        <v>0</v>
      </c>
      <c r="AI60" s="77" t="s">
        <v>950</v>
      </c>
      <c r="AJ60" s="77"/>
      <c r="AK60" s="81" t="s">
        <v>916</v>
      </c>
      <c r="AL60" s="77" t="b">
        <v>0</v>
      </c>
      <c r="AM60" s="77">
        <v>6</v>
      </c>
      <c r="AN60" s="81" t="s">
        <v>765</v>
      </c>
      <c r="AO60" s="81" t="s">
        <v>958</v>
      </c>
      <c r="AP60" s="77" t="b">
        <v>0</v>
      </c>
      <c r="AQ60" s="81" t="s">
        <v>765</v>
      </c>
      <c r="AR60" s="77" t="s">
        <v>207</v>
      </c>
      <c r="AS60" s="77">
        <v>0</v>
      </c>
      <c r="AT60" s="77">
        <v>0</v>
      </c>
      <c r="AU60" s="77"/>
      <c r="AV60" s="77"/>
      <c r="AW60" s="77"/>
      <c r="AX60" s="77"/>
      <c r="AY60" s="77"/>
      <c r="AZ60" s="77"/>
      <c r="BA60" s="77"/>
      <c r="BB60" s="77"/>
      <c r="BC60">
        <v>1</v>
      </c>
      <c r="BD60" s="76" t="str">
        <f>REPLACE(INDEX(GroupVertices[Group],MATCH(Edges[[#This Row],[Vertex 1]],GroupVertices[Vertex],0)),1,1,"")</f>
        <v>5</v>
      </c>
      <c r="BE60" s="76" t="str">
        <f>REPLACE(INDEX(GroupVertices[Group],MATCH(Edges[[#This Row],[Vertex 2]],GroupVertices[Vertex],0)),1,1,"")</f>
        <v>5</v>
      </c>
      <c r="BF60" s="31"/>
      <c r="BG60" s="31"/>
      <c r="BH60" s="31"/>
      <c r="BI60" s="31"/>
      <c r="BJ60" s="31"/>
      <c r="BK60" s="31"/>
      <c r="BL60" s="31"/>
      <c r="BM60" s="31"/>
      <c r="BN60" s="31"/>
    </row>
    <row r="61" spans="1:66" ht="15">
      <c r="A61" s="61" t="s">
        <v>281</v>
      </c>
      <c r="B61" s="61" t="s">
        <v>399</v>
      </c>
      <c r="C61" s="62"/>
      <c r="D61" s="63"/>
      <c r="E61" s="64"/>
      <c r="F61" s="65"/>
      <c r="G61" s="62"/>
      <c r="H61" s="66"/>
      <c r="I61" s="67"/>
      <c r="J61" s="67"/>
      <c r="K61" s="31" t="s">
        <v>65</v>
      </c>
      <c r="L61" s="75">
        <v>61</v>
      </c>
      <c r="M61" s="75"/>
      <c r="N61" s="69"/>
      <c r="O61" s="77" t="s">
        <v>448</v>
      </c>
      <c r="P61" s="79">
        <v>44963.40153935185</v>
      </c>
      <c r="Q61" s="77" t="s">
        <v>465</v>
      </c>
      <c r="R61" s="77"/>
      <c r="S61" s="77"/>
      <c r="T61" s="77"/>
      <c r="U61" s="80" t="str">
        <f>HYPERLINK("https://pbs.twimg.com/media/FoRhZDRaYAQX_15.jpg")</f>
        <v>https://pbs.twimg.com/media/FoRhZDRaYAQX_15.jpg</v>
      </c>
      <c r="V61" s="80" t="str">
        <f>HYPERLINK("https://pbs.twimg.com/media/FoRhZDRaYAQX_15.jpg")</f>
        <v>https://pbs.twimg.com/media/FoRhZDRaYAQX_15.jpg</v>
      </c>
      <c r="W61" s="79">
        <v>44963.40153935185</v>
      </c>
      <c r="X61" s="84">
        <v>44963</v>
      </c>
      <c r="Y61" s="81" t="s">
        <v>612</v>
      </c>
      <c r="Z61" s="80" t="str">
        <f>HYPERLINK("https://twitter.com/cosmkiwi/status/1622530091405434880")</f>
        <v>https://twitter.com/cosmkiwi/status/1622530091405434880</v>
      </c>
      <c r="AA61" s="77"/>
      <c r="AB61" s="77"/>
      <c r="AC61" s="81" t="s">
        <v>768</v>
      </c>
      <c r="AD61" s="81" t="s">
        <v>893</v>
      </c>
      <c r="AE61" s="77" t="b">
        <v>0</v>
      </c>
      <c r="AF61" s="77">
        <v>1</v>
      </c>
      <c r="AG61" s="81" t="s">
        <v>924</v>
      </c>
      <c r="AH61" s="77" t="b">
        <v>0</v>
      </c>
      <c r="AI61" s="77" t="s">
        <v>950</v>
      </c>
      <c r="AJ61" s="77"/>
      <c r="AK61" s="81" t="s">
        <v>916</v>
      </c>
      <c r="AL61" s="77" t="b">
        <v>0</v>
      </c>
      <c r="AM61" s="77">
        <v>0</v>
      </c>
      <c r="AN61" s="81" t="s">
        <v>916</v>
      </c>
      <c r="AO61" s="81" t="s">
        <v>958</v>
      </c>
      <c r="AP61" s="77" t="b">
        <v>0</v>
      </c>
      <c r="AQ61" s="81" t="s">
        <v>893</v>
      </c>
      <c r="AR61" s="77" t="s">
        <v>207</v>
      </c>
      <c r="AS61" s="77">
        <v>0</v>
      </c>
      <c r="AT61" s="77">
        <v>0</v>
      </c>
      <c r="AU61" s="77"/>
      <c r="AV61" s="77"/>
      <c r="AW61" s="77"/>
      <c r="AX61" s="77"/>
      <c r="AY61" s="77"/>
      <c r="AZ61" s="77"/>
      <c r="BA61" s="77"/>
      <c r="BB61" s="77"/>
      <c r="BC61">
        <v>1</v>
      </c>
      <c r="BD61" s="76" t="str">
        <f>REPLACE(INDEX(GroupVertices[Group],MATCH(Edges[[#This Row],[Vertex 1]],GroupVertices[Vertex],0)),1,1,"")</f>
        <v>12</v>
      </c>
      <c r="BE61" s="76" t="str">
        <f>REPLACE(INDEX(GroupVertices[Group],MATCH(Edges[[#This Row],[Vertex 2]],GroupVertices[Vertex],0)),1,1,"")</f>
        <v>12</v>
      </c>
      <c r="BF61" s="31"/>
      <c r="BG61" s="31"/>
      <c r="BH61" s="31"/>
      <c r="BI61" s="31"/>
      <c r="BJ61" s="31"/>
      <c r="BK61" s="31"/>
      <c r="BL61" s="31"/>
      <c r="BM61" s="31"/>
      <c r="BN61" s="31"/>
    </row>
    <row r="62" spans="1:66" ht="15">
      <c r="A62" s="61" t="s">
        <v>281</v>
      </c>
      <c r="B62" s="61" t="s">
        <v>400</v>
      </c>
      <c r="C62" s="62"/>
      <c r="D62" s="63"/>
      <c r="E62" s="64"/>
      <c r="F62" s="65"/>
      <c r="G62" s="62"/>
      <c r="H62" s="66"/>
      <c r="I62" s="67"/>
      <c r="J62" s="67"/>
      <c r="K62" s="31" t="s">
        <v>65</v>
      </c>
      <c r="L62" s="75">
        <v>62</v>
      </c>
      <c r="M62" s="75"/>
      <c r="N62" s="69"/>
      <c r="O62" s="77" t="s">
        <v>446</v>
      </c>
      <c r="P62" s="79">
        <v>44963.40153935185</v>
      </c>
      <c r="Q62" s="77" t="s">
        <v>465</v>
      </c>
      <c r="R62" s="77"/>
      <c r="S62" s="77"/>
      <c r="T62" s="77"/>
      <c r="U62" s="80" t="str">
        <f>HYPERLINK("https://pbs.twimg.com/media/FoRhZDRaYAQX_15.jpg")</f>
        <v>https://pbs.twimg.com/media/FoRhZDRaYAQX_15.jpg</v>
      </c>
      <c r="V62" s="80" t="str">
        <f>HYPERLINK("https://pbs.twimg.com/media/FoRhZDRaYAQX_15.jpg")</f>
        <v>https://pbs.twimg.com/media/FoRhZDRaYAQX_15.jpg</v>
      </c>
      <c r="W62" s="79">
        <v>44963.40153935185</v>
      </c>
      <c r="X62" s="84">
        <v>44963</v>
      </c>
      <c r="Y62" s="81" t="s">
        <v>612</v>
      </c>
      <c r="Z62" s="80" t="str">
        <f>HYPERLINK("https://twitter.com/cosmkiwi/status/1622530091405434880")</f>
        <v>https://twitter.com/cosmkiwi/status/1622530091405434880</v>
      </c>
      <c r="AA62" s="77"/>
      <c r="AB62" s="77"/>
      <c r="AC62" s="81" t="s">
        <v>768</v>
      </c>
      <c r="AD62" s="81" t="s">
        <v>893</v>
      </c>
      <c r="AE62" s="77" t="b">
        <v>0</v>
      </c>
      <c r="AF62" s="77">
        <v>1</v>
      </c>
      <c r="AG62" s="81" t="s">
        <v>924</v>
      </c>
      <c r="AH62" s="77" t="b">
        <v>0</v>
      </c>
      <c r="AI62" s="77" t="s">
        <v>950</v>
      </c>
      <c r="AJ62" s="77"/>
      <c r="AK62" s="81" t="s">
        <v>916</v>
      </c>
      <c r="AL62" s="77" t="b">
        <v>0</v>
      </c>
      <c r="AM62" s="77">
        <v>0</v>
      </c>
      <c r="AN62" s="81" t="s">
        <v>916</v>
      </c>
      <c r="AO62" s="81" t="s">
        <v>958</v>
      </c>
      <c r="AP62" s="77" t="b">
        <v>0</v>
      </c>
      <c r="AQ62" s="81" t="s">
        <v>893</v>
      </c>
      <c r="AR62" s="77" t="s">
        <v>207</v>
      </c>
      <c r="AS62" s="77">
        <v>0</v>
      </c>
      <c r="AT62" s="77">
        <v>0</v>
      </c>
      <c r="AU62" s="77"/>
      <c r="AV62" s="77"/>
      <c r="AW62" s="77"/>
      <c r="AX62" s="77"/>
      <c r="AY62" s="77"/>
      <c r="AZ62" s="77"/>
      <c r="BA62" s="77"/>
      <c r="BB62" s="77"/>
      <c r="BC62">
        <v>1</v>
      </c>
      <c r="BD62" s="76" t="str">
        <f>REPLACE(INDEX(GroupVertices[Group],MATCH(Edges[[#This Row],[Vertex 1]],GroupVertices[Vertex],0)),1,1,"")</f>
        <v>12</v>
      </c>
      <c r="BE62" s="76" t="str">
        <f>REPLACE(INDEX(GroupVertices[Group],MATCH(Edges[[#This Row],[Vertex 2]],GroupVertices[Vertex],0)),1,1,"")</f>
        <v>12</v>
      </c>
      <c r="BF62" s="31"/>
      <c r="BG62" s="31"/>
      <c r="BH62" s="31"/>
      <c r="BI62" s="31"/>
      <c r="BJ62" s="31"/>
      <c r="BK62" s="31"/>
      <c r="BL62" s="31"/>
      <c r="BM62" s="31"/>
      <c r="BN62" s="31"/>
    </row>
    <row r="63" spans="1:66" ht="15">
      <c r="A63" s="61" t="s">
        <v>281</v>
      </c>
      <c r="B63" s="61" t="s">
        <v>401</v>
      </c>
      <c r="C63" s="62"/>
      <c r="D63" s="63"/>
      <c r="E63" s="64"/>
      <c r="F63" s="65"/>
      <c r="G63" s="62"/>
      <c r="H63" s="66"/>
      <c r="I63" s="67"/>
      <c r="J63" s="67"/>
      <c r="K63" s="31" t="s">
        <v>65</v>
      </c>
      <c r="L63" s="75">
        <v>63</v>
      </c>
      <c r="M63" s="75"/>
      <c r="N63" s="69"/>
      <c r="O63" s="77" t="s">
        <v>446</v>
      </c>
      <c r="P63" s="79">
        <v>44963.416909722226</v>
      </c>
      <c r="Q63" s="77" t="s">
        <v>466</v>
      </c>
      <c r="R63" s="77"/>
      <c r="S63" s="77"/>
      <c r="T63" s="77"/>
      <c r="U63" s="80" t="str">
        <f>HYPERLINK("https://pbs.twimg.com/media/FoRnZNUagAMrEKK.jpg")</f>
        <v>https://pbs.twimg.com/media/FoRnZNUagAMrEKK.jpg</v>
      </c>
      <c r="V63" s="80" t="str">
        <f>HYPERLINK("https://pbs.twimg.com/media/FoRnZNUagAMrEKK.jpg")</f>
        <v>https://pbs.twimg.com/media/FoRnZNUagAMrEKK.jpg</v>
      </c>
      <c r="W63" s="79">
        <v>44963.416909722226</v>
      </c>
      <c r="X63" s="84">
        <v>44963</v>
      </c>
      <c r="Y63" s="81" t="s">
        <v>613</v>
      </c>
      <c r="Z63" s="80" t="str">
        <f>HYPERLINK("https://twitter.com/cosmkiwi/status/1622535660258344960")</f>
        <v>https://twitter.com/cosmkiwi/status/1622535660258344960</v>
      </c>
      <c r="AA63" s="77"/>
      <c r="AB63" s="77"/>
      <c r="AC63" s="81" t="s">
        <v>769</v>
      </c>
      <c r="AD63" s="81" t="s">
        <v>894</v>
      </c>
      <c r="AE63" s="77" t="b">
        <v>0</v>
      </c>
      <c r="AF63" s="77">
        <v>2</v>
      </c>
      <c r="AG63" s="81" t="s">
        <v>925</v>
      </c>
      <c r="AH63" s="77" t="b">
        <v>0</v>
      </c>
      <c r="AI63" s="77" t="s">
        <v>950</v>
      </c>
      <c r="AJ63" s="77"/>
      <c r="AK63" s="81" t="s">
        <v>916</v>
      </c>
      <c r="AL63" s="77" t="b">
        <v>0</v>
      </c>
      <c r="AM63" s="77">
        <v>0</v>
      </c>
      <c r="AN63" s="81" t="s">
        <v>916</v>
      </c>
      <c r="AO63" s="81" t="s">
        <v>958</v>
      </c>
      <c r="AP63" s="77" t="b">
        <v>0</v>
      </c>
      <c r="AQ63" s="81" t="s">
        <v>894</v>
      </c>
      <c r="AR63" s="77" t="s">
        <v>207</v>
      </c>
      <c r="AS63" s="77">
        <v>0</v>
      </c>
      <c r="AT63" s="77">
        <v>0</v>
      </c>
      <c r="AU63" s="77"/>
      <c r="AV63" s="77"/>
      <c r="AW63" s="77"/>
      <c r="AX63" s="77"/>
      <c r="AY63" s="77"/>
      <c r="AZ63" s="77"/>
      <c r="BA63" s="77"/>
      <c r="BB63" s="77"/>
      <c r="BC63">
        <v>1</v>
      </c>
      <c r="BD63" s="76" t="str">
        <f>REPLACE(INDEX(GroupVertices[Group],MATCH(Edges[[#This Row],[Vertex 1]],GroupVertices[Vertex],0)),1,1,"")</f>
        <v>12</v>
      </c>
      <c r="BE63" s="76" t="str">
        <f>REPLACE(INDEX(GroupVertices[Group],MATCH(Edges[[#This Row],[Vertex 2]],GroupVertices[Vertex],0)),1,1,"")</f>
        <v>12</v>
      </c>
      <c r="BF63" s="31"/>
      <c r="BG63" s="31"/>
      <c r="BH63" s="31"/>
      <c r="BI63" s="31"/>
      <c r="BJ63" s="31"/>
      <c r="BK63" s="31"/>
      <c r="BL63" s="31"/>
      <c r="BM63" s="31"/>
      <c r="BN63" s="31"/>
    </row>
    <row r="64" spans="1:66" ht="15">
      <c r="A64" s="61" t="s">
        <v>282</v>
      </c>
      <c r="B64" s="61" t="s">
        <v>299</v>
      </c>
      <c r="C64" s="62"/>
      <c r="D64" s="63"/>
      <c r="E64" s="64"/>
      <c r="F64" s="65"/>
      <c r="G64" s="62"/>
      <c r="H64" s="66"/>
      <c r="I64" s="67"/>
      <c r="J64" s="67"/>
      <c r="K64" s="31" t="s">
        <v>65</v>
      </c>
      <c r="L64" s="75">
        <v>64</v>
      </c>
      <c r="M64" s="75"/>
      <c r="N64" s="69"/>
      <c r="O64" s="77" t="s">
        <v>447</v>
      </c>
      <c r="P64" s="79">
        <v>44963.49190972222</v>
      </c>
      <c r="Q64" s="77" t="s">
        <v>467</v>
      </c>
      <c r="R64" s="77"/>
      <c r="S64" s="77"/>
      <c r="T64" s="77"/>
      <c r="U64" s="80" t="str">
        <f>HYPERLINK("https://pbs.twimg.com/media/Fn9ffRRaEAA6LuC.jpg")</f>
        <v>https://pbs.twimg.com/media/Fn9ffRRaEAA6LuC.jpg</v>
      </c>
      <c r="V64" s="80" t="str">
        <f>HYPERLINK("https://pbs.twimg.com/media/Fn9ffRRaEAA6LuC.jpg")</f>
        <v>https://pbs.twimg.com/media/Fn9ffRRaEAA6LuC.jpg</v>
      </c>
      <c r="W64" s="79">
        <v>44963.49190972222</v>
      </c>
      <c r="X64" s="84">
        <v>44963</v>
      </c>
      <c r="Y64" s="81" t="s">
        <v>614</v>
      </c>
      <c r="Z64" s="80" t="str">
        <f>HYPERLINK("https://twitter.com/cjtjgeol/status/1622562842041024513")</f>
        <v>https://twitter.com/cjtjgeol/status/1622562842041024513</v>
      </c>
      <c r="AA64" s="77"/>
      <c r="AB64" s="77"/>
      <c r="AC64" s="81" t="s">
        <v>770</v>
      </c>
      <c r="AD64" s="77"/>
      <c r="AE64" s="77" t="b">
        <v>0</v>
      </c>
      <c r="AF64" s="77">
        <v>0</v>
      </c>
      <c r="AG64" s="81" t="s">
        <v>916</v>
      </c>
      <c r="AH64" s="77" t="b">
        <v>0</v>
      </c>
      <c r="AI64" s="77" t="s">
        <v>950</v>
      </c>
      <c r="AJ64" s="77"/>
      <c r="AK64" s="81" t="s">
        <v>916</v>
      </c>
      <c r="AL64" s="77" t="b">
        <v>0</v>
      </c>
      <c r="AM64" s="77">
        <v>10</v>
      </c>
      <c r="AN64" s="81" t="s">
        <v>790</v>
      </c>
      <c r="AO64" s="81" t="s">
        <v>959</v>
      </c>
      <c r="AP64" s="77" t="b">
        <v>0</v>
      </c>
      <c r="AQ64" s="81" t="s">
        <v>790</v>
      </c>
      <c r="AR64" s="77" t="s">
        <v>207</v>
      </c>
      <c r="AS64" s="77">
        <v>0</v>
      </c>
      <c r="AT64" s="77">
        <v>0</v>
      </c>
      <c r="AU64" s="77"/>
      <c r="AV64" s="77"/>
      <c r="AW64" s="77"/>
      <c r="AX64" s="77"/>
      <c r="AY64" s="77"/>
      <c r="AZ64" s="77"/>
      <c r="BA64" s="77"/>
      <c r="BB64" s="77"/>
      <c r="BC64">
        <v>1</v>
      </c>
      <c r="BD64" s="76" t="str">
        <f>REPLACE(INDEX(GroupVertices[Group],MATCH(Edges[[#This Row],[Vertex 1]],GroupVertices[Vertex],0)),1,1,"")</f>
        <v>2</v>
      </c>
      <c r="BE64" s="76" t="str">
        <f>REPLACE(INDEX(GroupVertices[Group],MATCH(Edges[[#This Row],[Vertex 2]],GroupVertices[Vertex],0)),1,1,"")</f>
        <v>2</v>
      </c>
      <c r="BF64" s="31"/>
      <c r="BG64" s="31"/>
      <c r="BH64" s="31"/>
      <c r="BI64" s="31"/>
      <c r="BJ64" s="31"/>
      <c r="BK64" s="31"/>
      <c r="BL64" s="31"/>
      <c r="BM64" s="31"/>
      <c r="BN64" s="31"/>
    </row>
    <row r="65" spans="1:66" ht="15">
      <c r="A65" s="61" t="s">
        <v>282</v>
      </c>
      <c r="B65" s="61" t="s">
        <v>386</v>
      </c>
      <c r="C65" s="62"/>
      <c r="D65" s="63"/>
      <c r="E65" s="64"/>
      <c r="F65" s="65"/>
      <c r="G65" s="62"/>
      <c r="H65" s="66"/>
      <c r="I65" s="67"/>
      <c r="J65" s="67"/>
      <c r="K65" s="31" t="s">
        <v>65</v>
      </c>
      <c r="L65" s="75">
        <v>65</v>
      </c>
      <c r="M65" s="75"/>
      <c r="N65" s="69"/>
      <c r="O65" s="77" t="s">
        <v>446</v>
      </c>
      <c r="P65" s="79">
        <v>44963.49190972222</v>
      </c>
      <c r="Q65" s="77" t="s">
        <v>467</v>
      </c>
      <c r="R65" s="77"/>
      <c r="S65" s="77"/>
      <c r="T65" s="77"/>
      <c r="U65" s="80" t="str">
        <f>HYPERLINK("https://pbs.twimg.com/media/Fn9ffRRaEAA6LuC.jpg")</f>
        <v>https://pbs.twimg.com/media/Fn9ffRRaEAA6LuC.jpg</v>
      </c>
      <c r="V65" s="80" t="str">
        <f>HYPERLINK("https://pbs.twimg.com/media/Fn9ffRRaEAA6LuC.jpg")</f>
        <v>https://pbs.twimg.com/media/Fn9ffRRaEAA6LuC.jpg</v>
      </c>
      <c r="W65" s="79">
        <v>44963.49190972222</v>
      </c>
      <c r="X65" s="84">
        <v>44963</v>
      </c>
      <c r="Y65" s="81" t="s">
        <v>614</v>
      </c>
      <c r="Z65" s="80" t="str">
        <f>HYPERLINK("https://twitter.com/cjtjgeol/status/1622562842041024513")</f>
        <v>https://twitter.com/cjtjgeol/status/1622562842041024513</v>
      </c>
      <c r="AA65" s="77"/>
      <c r="AB65" s="77"/>
      <c r="AC65" s="81" t="s">
        <v>770</v>
      </c>
      <c r="AD65" s="77"/>
      <c r="AE65" s="77" t="b">
        <v>0</v>
      </c>
      <c r="AF65" s="77">
        <v>0</v>
      </c>
      <c r="AG65" s="81" t="s">
        <v>916</v>
      </c>
      <c r="AH65" s="77" t="b">
        <v>0</v>
      </c>
      <c r="AI65" s="77" t="s">
        <v>950</v>
      </c>
      <c r="AJ65" s="77"/>
      <c r="AK65" s="81" t="s">
        <v>916</v>
      </c>
      <c r="AL65" s="77" t="b">
        <v>0</v>
      </c>
      <c r="AM65" s="77">
        <v>10</v>
      </c>
      <c r="AN65" s="81" t="s">
        <v>790</v>
      </c>
      <c r="AO65" s="81" t="s">
        <v>959</v>
      </c>
      <c r="AP65" s="77" t="b">
        <v>0</v>
      </c>
      <c r="AQ65" s="81" t="s">
        <v>790</v>
      </c>
      <c r="AR65" s="77" t="s">
        <v>207</v>
      </c>
      <c r="AS65" s="77">
        <v>0</v>
      </c>
      <c r="AT65" s="77">
        <v>0</v>
      </c>
      <c r="AU65" s="77"/>
      <c r="AV65" s="77"/>
      <c r="AW65" s="77"/>
      <c r="AX65" s="77"/>
      <c r="AY65" s="77"/>
      <c r="AZ65" s="77"/>
      <c r="BA65" s="77"/>
      <c r="BB65" s="77"/>
      <c r="BC65">
        <v>1</v>
      </c>
      <c r="BD65" s="76" t="str">
        <f>REPLACE(INDEX(GroupVertices[Group],MATCH(Edges[[#This Row],[Vertex 1]],GroupVertices[Vertex],0)),1,1,"")</f>
        <v>2</v>
      </c>
      <c r="BE65" s="76" t="str">
        <f>REPLACE(INDEX(GroupVertices[Group],MATCH(Edges[[#This Row],[Vertex 2]],GroupVertices[Vertex],0)),1,1,"")</f>
        <v>2</v>
      </c>
      <c r="BF65" s="31"/>
      <c r="BG65" s="31"/>
      <c r="BH65" s="31"/>
      <c r="BI65" s="31"/>
      <c r="BJ65" s="31"/>
      <c r="BK65" s="31"/>
      <c r="BL65" s="31"/>
      <c r="BM65" s="31"/>
      <c r="BN65" s="31"/>
    </row>
    <row r="66" spans="1:66" ht="15">
      <c r="A66" s="61" t="s">
        <v>283</v>
      </c>
      <c r="B66" s="61" t="s">
        <v>402</v>
      </c>
      <c r="C66" s="62"/>
      <c r="D66" s="63"/>
      <c r="E66" s="64"/>
      <c r="F66" s="65"/>
      <c r="G66" s="62"/>
      <c r="H66" s="66"/>
      <c r="I66" s="67"/>
      <c r="J66" s="67"/>
      <c r="K66" s="31" t="s">
        <v>65</v>
      </c>
      <c r="L66" s="75">
        <v>66</v>
      </c>
      <c r="M66" s="75"/>
      <c r="N66" s="69"/>
      <c r="O66" s="77" t="s">
        <v>448</v>
      </c>
      <c r="P66" s="79">
        <v>44963.41043981481</v>
      </c>
      <c r="Q66" s="77" t="s">
        <v>468</v>
      </c>
      <c r="R66" s="77"/>
      <c r="S66" s="77"/>
      <c r="T66" s="77"/>
      <c r="U66" s="80" t="str">
        <f>HYPERLINK("https://pbs.twimg.com/media/FoRlcZ1X0AEHNL1.png")</f>
        <v>https://pbs.twimg.com/media/FoRlcZ1X0AEHNL1.png</v>
      </c>
      <c r="V66" s="80" t="str">
        <f>HYPERLINK("https://pbs.twimg.com/media/FoRlcZ1X0AEHNL1.png")</f>
        <v>https://pbs.twimg.com/media/FoRlcZ1X0AEHNL1.png</v>
      </c>
      <c r="W66" s="79">
        <v>44963.41043981481</v>
      </c>
      <c r="X66" s="84">
        <v>44963</v>
      </c>
      <c r="Y66" s="81" t="s">
        <v>615</v>
      </c>
      <c r="Z66" s="80" t="str">
        <f>HYPERLINK("https://twitter.com/geofrec/status/1622533314807582721")</f>
        <v>https://twitter.com/geofrec/status/1622533314807582721</v>
      </c>
      <c r="AA66" s="77"/>
      <c r="AB66" s="77"/>
      <c r="AC66" s="81" t="s">
        <v>771</v>
      </c>
      <c r="AD66" s="81" t="s">
        <v>891</v>
      </c>
      <c r="AE66" s="77" t="b">
        <v>0</v>
      </c>
      <c r="AF66" s="77">
        <v>16</v>
      </c>
      <c r="AG66" s="81" t="s">
        <v>922</v>
      </c>
      <c r="AH66" s="77" t="b">
        <v>0</v>
      </c>
      <c r="AI66" s="77" t="s">
        <v>950</v>
      </c>
      <c r="AJ66" s="77"/>
      <c r="AK66" s="81" t="s">
        <v>916</v>
      </c>
      <c r="AL66" s="77" t="b">
        <v>0</v>
      </c>
      <c r="AM66" s="77">
        <v>1</v>
      </c>
      <c r="AN66" s="81" t="s">
        <v>916</v>
      </c>
      <c r="AO66" s="81" t="s">
        <v>958</v>
      </c>
      <c r="AP66" s="77" t="b">
        <v>0</v>
      </c>
      <c r="AQ66" s="81" t="s">
        <v>891</v>
      </c>
      <c r="AR66" s="77" t="s">
        <v>207</v>
      </c>
      <c r="AS66" s="77">
        <v>0</v>
      </c>
      <c r="AT66" s="77">
        <v>0</v>
      </c>
      <c r="AU66" s="77"/>
      <c r="AV66" s="77"/>
      <c r="AW66" s="77"/>
      <c r="AX66" s="77"/>
      <c r="AY66" s="77"/>
      <c r="AZ66" s="77"/>
      <c r="BA66" s="77"/>
      <c r="BB66" s="77"/>
      <c r="BC66">
        <v>1</v>
      </c>
      <c r="BD66" s="76" t="str">
        <f>REPLACE(INDEX(GroupVertices[Group],MATCH(Edges[[#This Row],[Vertex 1]],GroupVertices[Vertex],0)),1,1,"")</f>
        <v>4</v>
      </c>
      <c r="BE66" s="76" t="str">
        <f>REPLACE(INDEX(GroupVertices[Group],MATCH(Edges[[#This Row],[Vertex 2]],GroupVertices[Vertex],0)),1,1,"")</f>
        <v>4</v>
      </c>
      <c r="BF66" s="31"/>
      <c r="BG66" s="31"/>
      <c r="BH66" s="31"/>
      <c r="BI66" s="31"/>
      <c r="BJ66" s="31"/>
      <c r="BK66" s="31"/>
      <c r="BL66" s="31"/>
      <c r="BM66" s="31"/>
      <c r="BN66" s="31"/>
    </row>
    <row r="67" spans="1:66" ht="15">
      <c r="A67" s="61" t="s">
        <v>284</v>
      </c>
      <c r="B67" s="61" t="s">
        <v>402</v>
      </c>
      <c r="C67" s="62"/>
      <c r="D67" s="63"/>
      <c r="E67" s="64"/>
      <c r="F67" s="65"/>
      <c r="G67" s="62"/>
      <c r="H67" s="66"/>
      <c r="I67" s="67"/>
      <c r="J67" s="67"/>
      <c r="K67" s="31" t="s">
        <v>65</v>
      </c>
      <c r="L67" s="75">
        <v>67</v>
      </c>
      <c r="M67" s="75"/>
      <c r="N67" s="69"/>
      <c r="O67" s="77" t="s">
        <v>445</v>
      </c>
      <c r="P67" s="79">
        <v>44963.59987268518</v>
      </c>
      <c r="Q67" s="77" t="s">
        <v>468</v>
      </c>
      <c r="R67" s="77"/>
      <c r="S67" s="77"/>
      <c r="T67" s="77"/>
      <c r="U67" s="80" t="str">
        <f>HYPERLINK("https://pbs.twimg.com/media/FoRlcZ1X0AEHNL1.png")</f>
        <v>https://pbs.twimg.com/media/FoRlcZ1X0AEHNL1.png</v>
      </c>
      <c r="V67" s="80" t="str">
        <f>HYPERLINK("https://pbs.twimg.com/media/FoRlcZ1X0AEHNL1.png")</f>
        <v>https://pbs.twimg.com/media/FoRlcZ1X0AEHNL1.png</v>
      </c>
      <c r="W67" s="79">
        <v>44963.59987268518</v>
      </c>
      <c r="X67" s="84">
        <v>44963</v>
      </c>
      <c r="Y67" s="81" t="s">
        <v>616</v>
      </c>
      <c r="Z67" s="80" t="str">
        <f>HYPERLINK("https://twitter.com/synthicyde/status/1622601963832545282")</f>
        <v>https://twitter.com/synthicyde/status/1622601963832545282</v>
      </c>
      <c r="AA67" s="77"/>
      <c r="AB67" s="77"/>
      <c r="AC67" s="81" t="s">
        <v>772</v>
      </c>
      <c r="AD67" s="77"/>
      <c r="AE67" s="77" t="b">
        <v>0</v>
      </c>
      <c r="AF67" s="77">
        <v>0</v>
      </c>
      <c r="AG67" s="81" t="s">
        <v>916</v>
      </c>
      <c r="AH67" s="77" t="b">
        <v>0</v>
      </c>
      <c r="AI67" s="77" t="s">
        <v>950</v>
      </c>
      <c r="AJ67" s="77"/>
      <c r="AK67" s="81" t="s">
        <v>916</v>
      </c>
      <c r="AL67" s="77" t="b">
        <v>0</v>
      </c>
      <c r="AM67" s="77">
        <v>1</v>
      </c>
      <c r="AN67" s="81" t="s">
        <v>771</v>
      </c>
      <c r="AO67" s="81" t="s">
        <v>959</v>
      </c>
      <c r="AP67" s="77" t="b">
        <v>0</v>
      </c>
      <c r="AQ67" s="81" t="s">
        <v>771</v>
      </c>
      <c r="AR67" s="77" t="s">
        <v>207</v>
      </c>
      <c r="AS67" s="77">
        <v>0</v>
      </c>
      <c r="AT67" s="77">
        <v>0</v>
      </c>
      <c r="AU67" s="77"/>
      <c r="AV67" s="77"/>
      <c r="AW67" s="77"/>
      <c r="AX67" s="77"/>
      <c r="AY67" s="77"/>
      <c r="AZ67" s="77"/>
      <c r="BA67" s="77"/>
      <c r="BB67" s="77"/>
      <c r="BC67">
        <v>1</v>
      </c>
      <c r="BD67" s="76" t="str">
        <f>REPLACE(INDEX(GroupVertices[Group],MATCH(Edges[[#This Row],[Vertex 1]],GroupVertices[Vertex],0)),1,1,"")</f>
        <v>4</v>
      </c>
      <c r="BE67" s="76" t="str">
        <f>REPLACE(INDEX(GroupVertices[Group],MATCH(Edges[[#This Row],[Vertex 2]],GroupVertices[Vertex],0)),1,1,"")</f>
        <v>4</v>
      </c>
      <c r="BF67" s="31"/>
      <c r="BG67" s="31"/>
      <c r="BH67" s="31"/>
      <c r="BI67" s="31"/>
      <c r="BJ67" s="31"/>
      <c r="BK67" s="31"/>
      <c r="BL67" s="31"/>
      <c r="BM67" s="31"/>
      <c r="BN67" s="31"/>
    </row>
    <row r="68" spans="1:66" ht="15">
      <c r="A68" s="61" t="s">
        <v>283</v>
      </c>
      <c r="B68" s="61" t="s">
        <v>395</v>
      </c>
      <c r="C68" s="62"/>
      <c r="D68" s="63"/>
      <c r="E68" s="64"/>
      <c r="F68" s="65"/>
      <c r="G68" s="62"/>
      <c r="H68" s="66"/>
      <c r="I68" s="67"/>
      <c r="J68" s="67"/>
      <c r="K68" s="31" t="s">
        <v>65</v>
      </c>
      <c r="L68" s="75">
        <v>68</v>
      </c>
      <c r="M68" s="75"/>
      <c r="N68" s="69"/>
      <c r="O68" s="77" t="s">
        <v>446</v>
      </c>
      <c r="P68" s="79">
        <v>44963.41043981481</v>
      </c>
      <c r="Q68" s="77" t="s">
        <v>468</v>
      </c>
      <c r="R68" s="77"/>
      <c r="S68" s="77"/>
      <c r="T68" s="77"/>
      <c r="U68" s="80" t="str">
        <f>HYPERLINK("https://pbs.twimg.com/media/FoRlcZ1X0AEHNL1.png")</f>
        <v>https://pbs.twimg.com/media/FoRlcZ1X0AEHNL1.png</v>
      </c>
      <c r="V68" s="80" t="str">
        <f>HYPERLINK("https://pbs.twimg.com/media/FoRlcZ1X0AEHNL1.png")</f>
        <v>https://pbs.twimg.com/media/FoRlcZ1X0AEHNL1.png</v>
      </c>
      <c r="W68" s="79">
        <v>44963.41043981481</v>
      </c>
      <c r="X68" s="84">
        <v>44963</v>
      </c>
      <c r="Y68" s="81" t="s">
        <v>615</v>
      </c>
      <c r="Z68" s="80" t="str">
        <f>HYPERLINK("https://twitter.com/geofrec/status/1622533314807582721")</f>
        <v>https://twitter.com/geofrec/status/1622533314807582721</v>
      </c>
      <c r="AA68" s="77"/>
      <c r="AB68" s="77"/>
      <c r="AC68" s="81" t="s">
        <v>771</v>
      </c>
      <c r="AD68" s="81" t="s">
        <v>891</v>
      </c>
      <c r="AE68" s="77" t="b">
        <v>0</v>
      </c>
      <c r="AF68" s="77">
        <v>16</v>
      </c>
      <c r="AG68" s="81" t="s">
        <v>922</v>
      </c>
      <c r="AH68" s="77" t="b">
        <v>0</v>
      </c>
      <c r="AI68" s="77" t="s">
        <v>950</v>
      </c>
      <c r="AJ68" s="77"/>
      <c r="AK68" s="81" t="s">
        <v>916</v>
      </c>
      <c r="AL68" s="77" t="b">
        <v>0</v>
      </c>
      <c r="AM68" s="77">
        <v>1</v>
      </c>
      <c r="AN68" s="81" t="s">
        <v>916</v>
      </c>
      <c r="AO68" s="81" t="s">
        <v>958</v>
      </c>
      <c r="AP68" s="77" t="b">
        <v>0</v>
      </c>
      <c r="AQ68" s="81" t="s">
        <v>891</v>
      </c>
      <c r="AR68" s="77" t="s">
        <v>207</v>
      </c>
      <c r="AS68" s="77">
        <v>0</v>
      </c>
      <c r="AT68" s="77">
        <v>0</v>
      </c>
      <c r="AU68" s="77"/>
      <c r="AV68" s="77"/>
      <c r="AW68" s="77"/>
      <c r="AX68" s="77"/>
      <c r="AY68" s="77"/>
      <c r="AZ68" s="77"/>
      <c r="BA68" s="77"/>
      <c r="BB68" s="77"/>
      <c r="BC68">
        <v>1</v>
      </c>
      <c r="BD68" s="76" t="str">
        <f>REPLACE(INDEX(GroupVertices[Group],MATCH(Edges[[#This Row],[Vertex 1]],GroupVertices[Vertex],0)),1,1,"")</f>
        <v>4</v>
      </c>
      <c r="BE68" s="76" t="str">
        <f>REPLACE(INDEX(GroupVertices[Group],MATCH(Edges[[#This Row],[Vertex 2]],GroupVertices[Vertex],0)),1,1,"")</f>
        <v>4</v>
      </c>
      <c r="BF68" s="31"/>
      <c r="BG68" s="31"/>
      <c r="BH68" s="31"/>
      <c r="BI68" s="31"/>
      <c r="BJ68" s="31"/>
      <c r="BK68" s="31"/>
      <c r="BL68" s="31"/>
      <c r="BM68" s="31"/>
      <c r="BN68" s="31"/>
    </row>
    <row r="69" spans="1:66" ht="15">
      <c r="A69" s="61" t="s">
        <v>284</v>
      </c>
      <c r="B69" s="61" t="s">
        <v>283</v>
      </c>
      <c r="C69" s="62"/>
      <c r="D69" s="63"/>
      <c r="E69" s="64"/>
      <c r="F69" s="65"/>
      <c r="G69" s="62"/>
      <c r="H69" s="66"/>
      <c r="I69" s="67"/>
      <c r="J69" s="67"/>
      <c r="K69" s="31" t="s">
        <v>65</v>
      </c>
      <c r="L69" s="75">
        <v>69</v>
      </c>
      <c r="M69" s="75"/>
      <c r="N69" s="69"/>
      <c r="O69" s="77" t="s">
        <v>447</v>
      </c>
      <c r="P69" s="79">
        <v>44963.59987268518</v>
      </c>
      <c r="Q69" s="77" t="s">
        <v>468</v>
      </c>
      <c r="R69" s="77"/>
      <c r="S69" s="77"/>
      <c r="T69" s="77"/>
      <c r="U69" s="80" t="str">
        <f>HYPERLINK("https://pbs.twimg.com/media/FoRlcZ1X0AEHNL1.png")</f>
        <v>https://pbs.twimg.com/media/FoRlcZ1X0AEHNL1.png</v>
      </c>
      <c r="V69" s="80" t="str">
        <f>HYPERLINK("https://pbs.twimg.com/media/FoRlcZ1X0AEHNL1.png")</f>
        <v>https://pbs.twimg.com/media/FoRlcZ1X0AEHNL1.png</v>
      </c>
      <c r="W69" s="79">
        <v>44963.59987268518</v>
      </c>
      <c r="X69" s="84">
        <v>44963</v>
      </c>
      <c r="Y69" s="81" t="s">
        <v>616</v>
      </c>
      <c r="Z69" s="80" t="str">
        <f>HYPERLINK("https://twitter.com/synthicyde/status/1622601963832545282")</f>
        <v>https://twitter.com/synthicyde/status/1622601963832545282</v>
      </c>
      <c r="AA69" s="77"/>
      <c r="AB69" s="77"/>
      <c r="AC69" s="81" t="s">
        <v>772</v>
      </c>
      <c r="AD69" s="77"/>
      <c r="AE69" s="77" t="b">
        <v>0</v>
      </c>
      <c r="AF69" s="77">
        <v>0</v>
      </c>
      <c r="AG69" s="81" t="s">
        <v>916</v>
      </c>
      <c r="AH69" s="77" t="b">
        <v>0</v>
      </c>
      <c r="AI69" s="77" t="s">
        <v>950</v>
      </c>
      <c r="AJ69" s="77"/>
      <c r="AK69" s="81" t="s">
        <v>916</v>
      </c>
      <c r="AL69" s="77" t="b">
        <v>0</v>
      </c>
      <c r="AM69" s="77">
        <v>1</v>
      </c>
      <c r="AN69" s="81" t="s">
        <v>771</v>
      </c>
      <c r="AO69" s="81" t="s">
        <v>959</v>
      </c>
      <c r="AP69" s="77" t="b">
        <v>0</v>
      </c>
      <c r="AQ69" s="81" t="s">
        <v>771</v>
      </c>
      <c r="AR69" s="77" t="s">
        <v>207</v>
      </c>
      <c r="AS69" s="77">
        <v>0</v>
      </c>
      <c r="AT69" s="77">
        <v>0</v>
      </c>
      <c r="AU69" s="77"/>
      <c r="AV69" s="77"/>
      <c r="AW69" s="77"/>
      <c r="AX69" s="77"/>
      <c r="AY69" s="77"/>
      <c r="AZ69" s="77"/>
      <c r="BA69" s="77"/>
      <c r="BB69" s="77"/>
      <c r="BC69">
        <v>1</v>
      </c>
      <c r="BD69" s="76" t="str">
        <f>REPLACE(INDEX(GroupVertices[Group],MATCH(Edges[[#This Row],[Vertex 1]],GroupVertices[Vertex],0)),1,1,"")</f>
        <v>4</v>
      </c>
      <c r="BE69" s="76" t="str">
        <f>REPLACE(INDEX(GroupVertices[Group],MATCH(Edges[[#This Row],[Vertex 2]],GroupVertices[Vertex],0)),1,1,"")</f>
        <v>4</v>
      </c>
      <c r="BF69" s="31"/>
      <c r="BG69" s="31"/>
      <c r="BH69" s="31"/>
      <c r="BI69" s="31"/>
      <c r="BJ69" s="31"/>
      <c r="BK69" s="31"/>
      <c r="BL69" s="31"/>
      <c r="BM69" s="31"/>
      <c r="BN69" s="31"/>
    </row>
    <row r="70" spans="1:66" ht="15">
      <c r="A70" s="61" t="s">
        <v>284</v>
      </c>
      <c r="B70" s="61" t="s">
        <v>395</v>
      </c>
      <c r="C70" s="62"/>
      <c r="D70" s="63"/>
      <c r="E70" s="64"/>
      <c r="F70" s="65"/>
      <c r="G70" s="62"/>
      <c r="H70" s="66"/>
      <c r="I70" s="67"/>
      <c r="J70" s="67"/>
      <c r="K70" s="31" t="s">
        <v>65</v>
      </c>
      <c r="L70" s="75">
        <v>70</v>
      </c>
      <c r="M70" s="75"/>
      <c r="N70" s="69"/>
      <c r="O70" s="77" t="s">
        <v>446</v>
      </c>
      <c r="P70" s="79">
        <v>44963.59987268518</v>
      </c>
      <c r="Q70" s="77" t="s">
        <v>468</v>
      </c>
      <c r="R70" s="77"/>
      <c r="S70" s="77"/>
      <c r="T70" s="77"/>
      <c r="U70" s="80" t="str">
        <f>HYPERLINK("https://pbs.twimg.com/media/FoRlcZ1X0AEHNL1.png")</f>
        <v>https://pbs.twimg.com/media/FoRlcZ1X0AEHNL1.png</v>
      </c>
      <c r="V70" s="80" t="str">
        <f>HYPERLINK("https://pbs.twimg.com/media/FoRlcZ1X0AEHNL1.png")</f>
        <v>https://pbs.twimg.com/media/FoRlcZ1X0AEHNL1.png</v>
      </c>
      <c r="W70" s="79">
        <v>44963.59987268518</v>
      </c>
      <c r="X70" s="84">
        <v>44963</v>
      </c>
      <c r="Y70" s="81" t="s">
        <v>616</v>
      </c>
      <c r="Z70" s="80" t="str">
        <f>HYPERLINK("https://twitter.com/synthicyde/status/1622601963832545282")</f>
        <v>https://twitter.com/synthicyde/status/1622601963832545282</v>
      </c>
      <c r="AA70" s="77"/>
      <c r="AB70" s="77"/>
      <c r="AC70" s="81" t="s">
        <v>772</v>
      </c>
      <c r="AD70" s="77"/>
      <c r="AE70" s="77" t="b">
        <v>0</v>
      </c>
      <c r="AF70" s="77">
        <v>0</v>
      </c>
      <c r="AG70" s="81" t="s">
        <v>916</v>
      </c>
      <c r="AH70" s="77" t="b">
        <v>0</v>
      </c>
      <c r="AI70" s="77" t="s">
        <v>950</v>
      </c>
      <c r="AJ70" s="77"/>
      <c r="AK70" s="81" t="s">
        <v>916</v>
      </c>
      <c r="AL70" s="77" t="b">
        <v>0</v>
      </c>
      <c r="AM70" s="77">
        <v>1</v>
      </c>
      <c r="AN70" s="81" t="s">
        <v>771</v>
      </c>
      <c r="AO70" s="81" t="s">
        <v>959</v>
      </c>
      <c r="AP70" s="77" t="b">
        <v>0</v>
      </c>
      <c r="AQ70" s="81" t="s">
        <v>771</v>
      </c>
      <c r="AR70" s="77" t="s">
        <v>207</v>
      </c>
      <c r="AS70" s="77">
        <v>0</v>
      </c>
      <c r="AT70" s="77">
        <v>0</v>
      </c>
      <c r="AU70" s="77"/>
      <c r="AV70" s="77"/>
      <c r="AW70" s="77"/>
      <c r="AX70" s="77"/>
      <c r="AY70" s="77"/>
      <c r="AZ70" s="77"/>
      <c r="BA70" s="77"/>
      <c r="BB70" s="77"/>
      <c r="BC70">
        <v>1</v>
      </c>
      <c r="BD70" s="76" t="str">
        <f>REPLACE(INDEX(GroupVertices[Group],MATCH(Edges[[#This Row],[Vertex 1]],GroupVertices[Vertex],0)),1,1,"")</f>
        <v>4</v>
      </c>
      <c r="BE70" s="76" t="str">
        <f>REPLACE(INDEX(GroupVertices[Group],MATCH(Edges[[#This Row],[Vertex 2]],GroupVertices[Vertex],0)),1,1,"")</f>
        <v>4</v>
      </c>
      <c r="BF70" s="31"/>
      <c r="BG70" s="31"/>
      <c r="BH70" s="31"/>
      <c r="BI70" s="31"/>
      <c r="BJ70" s="31"/>
      <c r="BK70" s="31"/>
      <c r="BL70" s="31"/>
      <c r="BM70" s="31"/>
      <c r="BN70" s="31"/>
    </row>
    <row r="71" spans="1:66" ht="15">
      <c r="A71" s="61" t="s">
        <v>285</v>
      </c>
      <c r="B71" s="61" t="s">
        <v>299</v>
      </c>
      <c r="C71" s="62"/>
      <c r="D71" s="63"/>
      <c r="E71" s="64"/>
      <c r="F71" s="65"/>
      <c r="G71" s="62"/>
      <c r="H71" s="66"/>
      <c r="I71" s="67"/>
      <c r="J71" s="67"/>
      <c r="K71" s="31" t="s">
        <v>65</v>
      </c>
      <c r="L71" s="75">
        <v>71</v>
      </c>
      <c r="M71" s="75"/>
      <c r="N71" s="69"/>
      <c r="O71" s="77" t="s">
        <v>447</v>
      </c>
      <c r="P71" s="79">
        <v>44963.6753125</v>
      </c>
      <c r="Q71" s="77" t="s">
        <v>467</v>
      </c>
      <c r="R71" s="77"/>
      <c r="S71" s="77"/>
      <c r="T71" s="77"/>
      <c r="U71" s="80" t="str">
        <f>HYPERLINK("https://pbs.twimg.com/media/Fn9ffRRaEAA6LuC.jpg")</f>
        <v>https://pbs.twimg.com/media/Fn9ffRRaEAA6LuC.jpg</v>
      </c>
      <c r="V71" s="80" t="str">
        <f>HYPERLINK("https://pbs.twimg.com/media/Fn9ffRRaEAA6LuC.jpg")</f>
        <v>https://pbs.twimg.com/media/Fn9ffRRaEAA6LuC.jpg</v>
      </c>
      <c r="W71" s="79">
        <v>44963.6753125</v>
      </c>
      <c r="X71" s="84">
        <v>44963</v>
      </c>
      <c r="Y71" s="81" t="s">
        <v>617</v>
      </c>
      <c r="Z71" s="80" t="str">
        <f>HYPERLINK("https://twitter.com/michael71718318/status/1622629302264033281")</f>
        <v>https://twitter.com/michael71718318/status/1622629302264033281</v>
      </c>
      <c r="AA71" s="77"/>
      <c r="AB71" s="77"/>
      <c r="AC71" s="81" t="s">
        <v>773</v>
      </c>
      <c r="AD71" s="77"/>
      <c r="AE71" s="77" t="b">
        <v>0</v>
      </c>
      <c r="AF71" s="77">
        <v>0</v>
      </c>
      <c r="AG71" s="81" t="s">
        <v>916</v>
      </c>
      <c r="AH71" s="77" t="b">
        <v>0</v>
      </c>
      <c r="AI71" s="77" t="s">
        <v>950</v>
      </c>
      <c r="AJ71" s="77"/>
      <c r="AK71" s="81" t="s">
        <v>916</v>
      </c>
      <c r="AL71" s="77" t="b">
        <v>0</v>
      </c>
      <c r="AM71" s="77">
        <v>10</v>
      </c>
      <c r="AN71" s="81" t="s">
        <v>790</v>
      </c>
      <c r="AO71" s="81" t="s">
        <v>959</v>
      </c>
      <c r="AP71" s="77" t="b">
        <v>0</v>
      </c>
      <c r="AQ71" s="81" t="s">
        <v>790</v>
      </c>
      <c r="AR71" s="77" t="s">
        <v>207</v>
      </c>
      <c r="AS71" s="77">
        <v>0</v>
      </c>
      <c r="AT71" s="77">
        <v>0</v>
      </c>
      <c r="AU71" s="77"/>
      <c r="AV71" s="77"/>
      <c r="AW71" s="77"/>
      <c r="AX71" s="77"/>
      <c r="AY71" s="77"/>
      <c r="AZ71" s="77"/>
      <c r="BA71" s="77"/>
      <c r="BB71" s="77"/>
      <c r="BC71">
        <v>1</v>
      </c>
      <c r="BD71" s="76" t="str">
        <f>REPLACE(INDEX(GroupVertices[Group],MATCH(Edges[[#This Row],[Vertex 1]],GroupVertices[Vertex],0)),1,1,"")</f>
        <v>2</v>
      </c>
      <c r="BE71" s="76" t="str">
        <f>REPLACE(INDEX(GroupVertices[Group],MATCH(Edges[[#This Row],[Vertex 2]],GroupVertices[Vertex],0)),1,1,"")</f>
        <v>2</v>
      </c>
      <c r="BF71" s="31"/>
      <c r="BG71" s="31"/>
      <c r="BH71" s="31"/>
      <c r="BI71" s="31"/>
      <c r="BJ71" s="31"/>
      <c r="BK71" s="31"/>
      <c r="BL71" s="31"/>
      <c r="BM71" s="31"/>
      <c r="BN71" s="31"/>
    </row>
    <row r="72" spans="1:66" ht="15">
      <c r="A72" s="61" t="s">
        <v>285</v>
      </c>
      <c r="B72" s="61" t="s">
        <v>386</v>
      </c>
      <c r="C72" s="62"/>
      <c r="D72" s="63"/>
      <c r="E72" s="64"/>
      <c r="F72" s="65"/>
      <c r="G72" s="62"/>
      <c r="H72" s="66"/>
      <c r="I72" s="67"/>
      <c r="J72" s="67"/>
      <c r="K72" s="31" t="s">
        <v>65</v>
      </c>
      <c r="L72" s="75">
        <v>72</v>
      </c>
      <c r="M72" s="75"/>
      <c r="N72" s="69"/>
      <c r="O72" s="77" t="s">
        <v>446</v>
      </c>
      <c r="P72" s="79">
        <v>44963.6753125</v>
      </c>
      <c r="Q72" s="77" t="s">
        <v>467</v>
      </c>
      <c r="R72" s="77"/>
      <c r="S72" s="77"/>
      <c r="T72" s="77"/>
      <c r="U72" s="80" t="str">
        <f>HYPERLINK("https://pbs.twimg.com/media/Fn9ffRRaEAA6LuC.jpg")</f>
        <v>https://pbs.twimg.com/media/Fn9ffRRaEAA6LuC.jpg</v>
      </c>
      <c r="V72" s="80" t="str">
        <f>HYPERLINK("https://pbs.twimg.com/media/Fn9ffRRaEAA6LuC.jpg")</f>
        <v>https://pbs.twimg.com/media/Fn9ffRRaEAA6LuC.jpg</v>
      </c>
      <c r="W72" s="79">
        <v>44963.6753125</v>
      </c>
      <c r="X72" s="84">
        <v>44963</v>
      </c>
      <c r="Y72" s="81" t="s">
        <v>617</v>
      </c>
      <c r="Z72" s="80" t="str">
        <f>HYPERLINK("https://twitter.com/michael71718318/status/1622629302264033281")</f>
        <v>https://twitter.com/michael71718318/status/1622629302264033281</v>
      </c>
      <c r="AA72" s="77"/>
      <c r="AB72" s="77"/>
      <c r="AC72" s="81" t="s">
        <v>773</v>
      </c>
      <c r="AD72" s="77"/>
      <c r="AE72" s="77" t="b">
        <v>0</v>
      </c>
      <c r="AF72" s="77">
        <v>0</v>
      </c>
      <c r="AG72" s="81" t="s">
        <v>916</v>
      </c>
      <c r="AH72" s="77" t="b">
        <v>0</v>
      </c>
      <c r="AI72" s="77" t="s">
        <v>950</v>
      </c>
      <c r="AJ72" s="77"/>
      <c r="AK72" s="81" t="s">
        <v>916</v>
      </c>
      <c r="AL72" s="77" t="b">
        <v>0</v>
      </c>
      <c r="AM72" s="77">
        <v>10</v>
      </c>
      <c r="AN72" s="81" t="s">
        <v>790</v>
      </c>
      <c r="AO72" s="81" t="s">
        <v>959</v>
      </c>
      <c r="AP72" s="77" t="b">
        <v>0</v>
      </c>
      <c r="AQ72" s="81" t="s">
        <v>790</v>
      </c>
      <c r="AR72" s="77" t="s">
        <v>207</v>
      </c>
      <c r="AS72" s="77">
        <v>0</v>
      </c>
      <c r="AT72" s="77">
        <v>0</v>
      </c>
      <c r="AU72" s="77"/>
      <c r="AV72" s="77"/>
      <c r="AW72" s="77"/>
      <c r="AX72" s="77"/>
      <c r="AY72" s="77"/>
      <c r="AZ72" s="77"/>
      <c r="BA72" s="77"/>
      <c r="BB72" s="77"/>
      <c r="BC72">
        <v>1</v>
      </c>
      <c r="BD72" s="76" t="str">
        <f>REPLACE(INDEX(GroupVertices[Group],MATCH(Edges[[#This Row],[Vertex 1]],GroupVertices[Vertex],0)),1,1,"")</f>
        <v>2</v>
      </c>
      <c r="BE72" s="76" t="str">
        <f>REPLACE(INDEX(GroupVertices[Group],MATCH(Edges[[#This Row],[Vertex 2]],GroupVertices[Vertex],0)),1,1,"")</f>
        <v>2</v>
      </c>
      <c r="BF72" s="31"/>
      <c r="BG72" s="31"/>
      <c r="BH72" s="31"/>
      <c r="BI72" s="31"/>
      <c r="BJ72" s="31"/>
      <c r="BK72" s="31"/>
      <c r="BL72" s="31"/>
      <c r="BM72" s="31"/>
      <c r="BN72" s="31"/>
    </row>
    <row r="73" spans="1:66" ht="15">
      <c r="A73" s="61" t="s">
        <v>286</v>
      </c>
      <c r="B73" s="61" t="s">
        <v>286</v>
      </c>
      <c r="C73" s="62"/>
      <c r="D73" s="63"/>
      <c r="E73" s="64"/>
      <c r="F73" s="65"/>
      <c r="G73" s="62"/>
      <c r="H73" s="66"/>
      <c r="I73" s="67"/>
      <c r="J73" s="67"/>
      <c r="K73" s="31" t="s">
        <v>65</v>
      </c>
      <c r="L73" s="75">
        <v>73</v>
      </c>
      <c r="M73" s="75"/>
      <c r="N73" s="69"/>
      <c r="O73" s="77" t="s">
        <v>207</v>
      </c>
      <c r="P73" s="79">
        <v>44961.841770833336</v>
      </c>
      <c r="Q73" s="77" t="s">
        <v>453</v>
      </c>
      <c r="R73" s="77"/>
      <c r="S73" s="77"/>
      <c r="T73" s="77"/>
      <c r="U73" s="77"/>
      <c r="V73" s="80" t="str">
        <f>HYPERLINK("https://pbs.twimg.com/profile_images/1623113417891659776/IA4UsKAx_normal.jpg")</f>
        <v>https://pbs.twimg.com/profile_images/1623113417891659776/IA4UsKAx_normal.jpg</v>
      </c>
      <c r="W73" s="79">
        <v>44961.841770833336</v>
      </c>
      <c r="X73" s="84">
        <v>44961</v>
      </c>
      <c r="Y73" s="81" t="s">
        <v>618</v>
      </c>
      <c r="Z73" s="80" t="str">
        <f>HYPERLINK("https://twitter.com/ceptional/status/1621964847733960706")</f>
        <v>https://twitter.com/ceptional/status/1621964847733960706</v>
      </c>
      <c r="AA73" s="77"/>
      <c r="AB73" s="77"/>
      <c r="AC73" s="81" t="s">
        <v>774</v>
      </c>
      <c r="AD73" s="77"/>
      <c r="AE73" s="77" t="b">
        <v>0</v>
      </c>
      <c r="AF73" s="77">
        <v>62</v>
      </c>
      <c r="AG73" s="81" t="s">
        <v>916</v>
      </c>
      <c r="AH73" s="77" t="b">
        <v>0</v>
      </c>
      <c r="AI73" s="77" t="s">
        <v>950</v>
      </c>
      <c r="AJ73" s="77"/>
      <c r="AK73" s="81" t="s">
        <v>916</v>
      </c>
      <c r="AL73" s="77" t="b">
        <v>0</v>
      </c>
      <c r="AM73" s="77">
        <v>16</v>
      </c>
      <c r="AN73" s="81" t="s">
        <v>916</v>
      </c>
      <c r="AO73" s="81" t="s">
        <v>958</v>
      </c>
      <c r="AP73" s="77" t="b">
        <v>0</v>
      </c>
      <c r="AQ73" s="81" t="s">
        <v>774</v>
      </c>
      <c r="AR73" s="77" t="s">
        <v>207</v>
      </c>
      <c r="AS73" s="77">
        <v>0</v>
      </c>
      <c r="AT73" s="77">
        <v>0</v>
      </c>
      <c r="AU73" s="77"/>
      <c r="AV73" s="77"/>
      <c r="AW73" s="77"/>
      <c r="AX73" s="77"/>
      <c r="AY73" s="77"/>
      <c r="AZ73" s="77"/>
      <c r="BA73" s="77"/>
      <c r="BB73" s="77"/>
      <c r="BC73">
        <v>1</v>
      </c>
      <c r="BD73" s="76" t="str">
        <f>REPLACE(INDEX(GroupVertices[Group],MATCH(Edges[[#This Row],[Vertex 1]],GroupVertices[Vertex],0)),1,1,"")</f>
        <v>1</v>
      </c>
      <c r="BE73" s="76" t="str">
        <f>REPLACE(INDEX(GroupVertices[Group],MATCH(Edges[[#This Row],[Vertex 2]],GroupVertices[Vertex],0)),1,1,"")</f>
        <v>1</v>
      </c>
      <c r="BF73" s="31"/>
      <c r="BG73" s="31"/>
      <c r="BH73" s="31"/>
      <c r="BI73" s="31"/>
      <c r="BJ73" s="31"/>
      <c r="BK73" s="31"/>
      <c r="BL73" s="31"/>
      <c r="BM73" s="31"/>
      <c r="BN73" s="31"/>
    </row>
    <row r="74" spans="1:66" ht="15">
      <c r="A74" s="61" t="s">
        <v>287</v>
      </c>
      <c r="B74" s="61" t="s">
        <v>286</v>
      </c>
      <c r="C74" s="62"/>
      <c r="D74" s="63"/>
      <c r="E74" s="64"/>
      <c r="F74" s="65"/>
      <c r="G74" s="62"/>
      <c r="H74" s="66"/>
      <c r="I74" s="67"/>
      <c r="J74" s="67"/>
      <c r="K74" s="31" t="s">
        <v>65</v>
      </c>
      <c r="L74" s="75">
        <v>74</v>
      </c>
      <c r="M74" s="75"/>
      <c r="N74" s="69"/>
      <c r="O74" s="77" t="s">
        <v>447</v>
      </c>
      <c r="P74" s="79">
        <v>44963.698854166665</v>
      </c>
      <c r="Q74" s="77" t="s">
        <v>453</v>
      </c>
      <c r="R74" s="77"/>
      <c r="S74" s="77"/>
      <c r="T74" s="77"/>
      <c r="U74" s="77"/>
      <c r="V74" s="80" t="str">
        <f>HYPERLINK("https://pbs.twimg.com/profile_images/1164676837198503936/iUSH_uBA_normal.jpg")</f>
        <v>https://pbs.twimg.com/profile_images/1164676837198503936/iUSH_uBA_normal.jpg</v>
      </c>
      <c r="W74" s="79">
        <v>44963.698854166665</v>
      </c>
      <c r="X74" s="84">
        <v>44963</v>
      </c>
      <c r="Y74" s="81" t="s">
        <v>619</v>
      </c>
      <c r="Z74" s="80" t="str">
        <f>HYPERLINK("https://twitter.com/coles_nicholas_/status/1622637833063391232")</f>
        <v>https://twitter.com/coles_nicholas_/status/1622637833063391232</v>
      </c>
      <c r="AA74" s="77"/>
      <c r="AB74" s="77"/>
      <c r="AC74" s="81" t="s">
        <v>775</v>
      </c>
      <c r="AD74" s="77"/>
      <c r="AE74" s="77" t="b">
        <v>0</v>
      </c>
      <c r="AF74" s="77">
        <v>0</v>
      </c>
      <c r="AG74" s="81" t="s">
        <v>916</v>
      </c>
      <c r="AH74" s="77" t="b">
        <v>0</v>
      </c>
      <c r="AI74" s="77" t="s">
        <v>950</v>
      </c>
      <c r="AJ74" s="77"/>
      <c r="AK74" s="81" t="s">
        <v>916</v>
      </c>
      <c r="AL74" s="77" t="b">
        <v>0</v>
      </c>
      <c r="AM74" s="77">
        <v>16</v>
      </c>
      <c r="AN74" s="81" t="s">
        <v>774</v>
      </c>
      <c r="AO74" s="81" t="s">
        <v>958</v>
      </c>
      <c r="AP74" s="77" t="b">
        <v>0</v>
      </c>
      <c r="AQ74" s="81" t="s">
        <v>774</v>
      </c>
      <c r="AR74" s="77" t="s">
        <v>207</v>
      </c>
      <c r="AS74" s="77">
        <v>0</v>
      </c>
      <c r="AT74" s="77">
        <v>0</v>
      </c>
      <c r="AU74" s="77"/>
      <c r="AV74" s="77"/>
      <c r="AW74" s="77"/>
      <c r="AX74" s="77"/>
      <c r="AY74" s="77"/>
      <c r="AZ74" s="77"/>
      <c r="BA74" s="77"/>
      <c r="BB74" s="77"/>
      <c r="BC74">
        <v>1</v>
      </c>
      <c r="BD74" s="76" t="str">
        <f>REPLACE(INDEX(GroupVertices[Group],MATCH(Edges[[#This Row],[Vertex 1]],GroupVertices[Vertex],0)),1,1,"")</f>
        <v>1</v>
      </c>
      <c r="BE74" s="76" t="str">
        <f>REPLACE(INDEX(GroupVertices[Group],MATCH(Edges[[#This Row],[Vertex 2]],GroupVertices[Vertex],0)),1,1,"")</f>
        <v>1</v>
      </c>
      <c r="BF74" s="31"/>
      <c r="BG74" s="31"/>
      <c r="BH74" s="31"/>
      <c r="BI74" s="31"/>
      <c r="BJ74" s="31"/>
      <c r="BK74" s="31"/>
      <c r="BL74" s="31"/>
      <c r="BM74" s="31"/>
      <c r="BN74" s="31"/>
    </row>
    <row r="75" spans="1:66" ht="15">
      <c r="A75" s="61" t="s">
        <v>288</v>
      </c>
      <c r="B75" s="61" t="s">
        <v>349</v>
      </c>
      <c r="C75" s="62"/>
      <c r="D75" s="63"/>
      <c r="E75" s="64"/>
      <c r="F75" s="65"/>
      <c r="G75" s="62"/>
      <c r="H75" s="66"/>
      <c r="I75" s="67"/>
      <c r="J75" s="67"/>
      <c r="K75" s="31" t="s">
        <v>65</v>
      </c>
      <c r="L75" s="75">
        <v>75</v>
      </c>
      <c r="M75" s="75"/>
      <c r="N75" s="69"/>
      <c r="O75" s="77" t="s">
        <v>447</v>
      </c>
      <c r="P75" s="79">
        <v>44963.70501157407</v>
      </c>
      <c r="Q75" s="77" t="s">
        <v>469</v>
      </c>
      <c r="R75" s="80" t="str">
        <f>HYPERLINK("https://interestingengineering.com/innovation/chatgpt-ai-will-help-cure-diseases-and-solve-climate-change-chatbot-says")</f>
        <v>https://interestingengineering.com/innovation/chatgpt-ai-will-help-cure-diseases-and-solve-climate-change-chatbot-says</v>
      </c>
      <c r="S75" s="77" t="s">
        <v>550</v>
      </c>
      <c r="T75" s="81" t="s">
        <v>563</v>
      </c>
      <c r="U75" s="77"/>
      <c r="V75" s="80" t="str">
        <f>HYPERLINK("https://pbs.twimg.com/profile_images/1478390248350564353/Pm31FWJN_normal.jpg")</f>
        <v>https://pbs.twimg.com/profile_images/1478390248350564353/Pm31FWJN_normal.jpg</v>
      </c>
      <c r="W75" s="79">
        <v>44963.70501157407</v>
      </c>
      <c r="X75" s="84">
        <v>44963</v>
      </c>
      <c r="Y75" s="81" t="s">
        <v>620</v>
      </c>
      <c r="Z75" s="80" t="str">
        <f>HYPERLINK("https://twitter.com/bioscript21/status/1622640066186051585")</f>
        <v>https://twitter.com/bioscript21/status/1622640066186051585</v>
      </c>
      <c r="AA75" s="77"/>
      <c r="AB75" s="77"/>
      <c r="AC75" s="81" t="s">
        <v>776</v>
      </c>
      <c r="AD75" s="77"/>
      <c r="AE75" s="77" t="b">
        <v>0</v>
      </c>
      <c r="AF75" s="77">
        <v>0</v>
      </c>
      <c r="AG75" s="81" t="s">
        <v>916</v>
      </c>
      <c r="AH75" s="77" t="b">
        <v>0</v>
      </c>
      <c r="AI75" s="77" t="s">
        <v>950</v>
      </c>
      <c r="AJ75" s="77"/>
      <c r="AK75" s="81" t="s">
        <v>916</v>
      </c>
      <c r="AL75" s="77" t="b">
        <v>0</v>
      </c>
      <c r="AM75" s="77">
        <v>1</v>
      </c>
      <c r="AN75" s="81" t="s">
        <v>847</v>
      </c>
      <c r="AO75" s="81" t="s">
        <v>959</v>
      </c>
      <c r="AP75" s="77" t="b">
        <v>0</v>
      </c>
      <c r="AQ75" s="81" t="s">
        <v>847</v>
      </c>
      <c r="AR75" s="77" t="s">
        <v>207</v>
      </c>
      <c r="AS75" s="77">
        <v>0</v>
      </c>
      <c r="AT75" s="77">
        <v>0</v>
      </c>
      <c r="AU75" s="77"/>
      <c r="AV75" s="77"/>
      <c r="AW75" s="77"/>
      <c r="AX75" s="77"/>
      <c r="AY75" s="77"/>
      <c r="AZ75" s="77"/>
      <c r="BA75" s="77"/>
      <c r="BB75" s="77"/>
      <c r="BC75">
        <v>1</v>
      </c>
      <c r="BD75" s="76" t="str">
        <f>REPLACE(INDEX(GroupVertices[Group],MATCH(Edges[[#This Row],[Vertex 1]],GroupVertices[Vertex],0)),1,1,"")</f>
        <v>9</v>
      </c>
      <c r="BE75" s="76" t="str">
        <f>REPLACE(INDEX(GroupVertices[Group],MATCH(Edges[[#This Row],[Vertex 2]],GroupVertices[Vertex],0)),1,1,"")</f>
        <v>9</v>
      </c>
      <c r="BF75" s="31"/>
      <c r="BG75" s="31"/>
      <c r="BH75" s="31"/>
      <c r="BI75" s="31"/>
      <c r="BJ75" s="31"/>
      <c r="BK75" s="31"/>
      <c r="BL75" s="31"/>
      <c r="BM75" s="31"/>
      <c r="BN75" s="31"/>
    </row>
    <row r="76" spans="1:66" ht="15">
      <c r="A76" s="61" t="s">
        <v>289</v>
      </c>
      <c r="B76" s="61" t="s">
        <v>289</v>
      </c>
      <c r="C76" s="62"/>
      <c r="D76" s="63"/>
      <c r="E76" s="64"/>
      <c r="F76" s="65"/>
      <c r="G76" s="62"/>
      <c r="H76" s="66"/>
      <c r="I76" s="67"/>
      <c r="J76" s="67"/>
      <c r="K76" s="31" t="s">
        <v>65</v>
      </c>
      <c r="L76" s="75">
        <v>76</v>
      </c>
      <c r="M76" s="75"/>
      <c r="N76" s="69"/>
      <c r="O76" s="77" t="s">
        <v>207</v>
      </c>
      <c r="P76" s="79">
        <v>44961.73587962963</v>
      </c>
      <c r="Q76" s="77" t="s">
        <v>470</v>
      </c>
      <c r="R76" s="77"/>
      <c r="S76" s="77"/>
      <c r="T76" s="77"/>
      <c r="U76" s="77"/>
      <c r="V76" s="80" t="str">
        <f>HYPERLINK("https://pbs.twimg.com/profile_images/1586069551233392640/Po14gHto_normal.jpg")</f>
        <v>https://pbs.twimg.com/profile_images/1586069551233392640/Po14gHto_normal.jpg</v>
      </c>
      <c r="W76" s="79">
        <v>44961.73587962963</v>
      </c>
      <c r="X76" s="84">
        <v>44961</v>
      </c>
      <c r="Y76" s="81" t="s">
        <v>621</v>
      </c>
      <c r="Z76" s="80" t="str">
        <f>HYPERLINK("https://twitter.com/chriojoe/status/1621926476785537025")</f>
        <v>https://twitter.com/chriojoe/status/1621926476785537025</v>
      </c>
      <c r="AA76" s="77"/>
      <c r="AB76" s="77"/>
      <c r="AC76" s="81" t="s">
        <v>777</v>
      </c>
      <c r="AD76" s="77"/>
      <c r="AE76" s="77" t="b">
        <v>0</v>
      </c>
      <c r="AF76" s="77">
        <v>0</v>
      </c>
      <c r="AG76" s="81" t="s">
        <v>916</v>
      </c>
      <c r="AH76" s="77" t="b">
        <v>0</v>
      </c>
      <c r="AI76" s="77" t="s">
        <v>950</v>
      </c>
      <c r="AJ76" s="77"/>
      <c r="AK76" s="81" t="s">
        <v>916</v>
      </c>
      <c r="AL76" s="77" t="b">
        <v>0</v>
      </c>
      <c r="AM76" s="77">
        <v>0</v>
      </c>
      <c r="AN76" s="81" t="s">
        <v>916</v>
      </c>
      <c r="AO76" s="81" t="s">
        <v>958</v>
      </c>
      <c r="AP76" s="77" t="b">
        <v>0</v>
      </c>
      <c r="AQ76" s="81" t="s">
        <v>777</v>
      </c>
      <c r="AR76" s="77" t="s">
        <v>207</v>
      </c>
      <c r="AS76" s="77">
        <v>0</v>
      </c>
      <c r="AT76" s="77">
        <v>0</v>
      </c>
      <c r="AU76" s="77"/>
      <c r="AV76" s="77"/>
      <c r="AW76" s="77"/>
      <c r="AX76" s="77"/>
      <c r="AY76" s="77"/>
      <c r="AZ76" s="77"/>
      <c r="BA76" s="77"/>
      <c r="BB76" s="77"/>
      <c r="BC76">
        <v>1</v>
      </c>
      <c r="BD76" s="76" t="str">
        <f>REPLACE(INDEX(GroupVertices[Group],MATCH(Edges[[#This Row],[Vertex 1]],GroupVertices[Vertex],0)),1,1,"")</f>
        <v>11</v>
      </c>
      <c r="BE76" s="76" t="str">
        <f>REPLACE(INDEX(GroupVertices[Group],MATCH(Edges[[#This Row],[Vertex 2]],GroupVertices[Vertex],0)),1,1,"")</f>
        <v>11</v>
      </c>
      <c r="BF76" s="31"/>
      <c r="BG76" s="31"/>
      <c r="BH76" s="31"/>
      <c r="BI76" s="31"/>
      <c r="BJ76" s="31"/>
      <c r="BK76" s="31"/>
      <c r="BL76" s="31"/>
      <c r="BM76" s="31"/>
      <c r="BN76" s="31"/>
    </row>
    <row r="77" spans="1:66" ht="15">
      <c r="A77" s="61" t="s">
        <v>289</v>
      </c>
      <c r="B77" s="61" t="s">
        <v>403</v>
      </c>
      <c r="C77" s="62"/>
      <c r="D77" s="63"/>
      <c r="E77" s="64"/>
      <c r="F77" s="65"/>
      <c r="G77" s="62"/>
      <c r="H77" s="66"/>
      <c r="I77" s="67"/>
      <c r="J77" s="67"/>
      <c r="K77" s="31" t="s">
        <v>65</v>
      </c>
      <c r="L77" s="75">
        <v>77</v>
      </c>
      <c r="M77" s="75"/>
      <c r="N77" s="69"/>
      <c r="O77" s="77" t="s">
        <v>448</v>
      </c>
      <c r="P77" s="79">
        <v>44963.705659722225</v>
      </c>
      <c r="Q77" s="77" t="s">
        <v>471</v>
      </c>
      <c r="R77" s="77"/>
      <c r="S77" s="77"/>
      <c r="T77" s="77"/>
      <c r="U77" s="77"/>
      <c r="V77" s="80" t="str">
        <f>HYPERLINK("https://pbs.twimg.com/profile_images/1586069551233392640/Po14gHto_normal.jpg")</f>
        <v>https://pbs.twimg.com/profile_images/1586069551233392640/Po14gHto_normal.jpg</v>
      </c>
      <c r="W77" s="79">
        <v>44963.705659722225</v>
      </c>
      <c r="X77" s="84">
        <v>44963</v>
      </c>
      <c r="Y77" s="81" t="s">
        <v>622</v>
      </c>
      <c r="Z77" s="80" t="str">
        <f>HYPERLINK("https://twitter.com/chriojoe/status/1622640300740190213")</f>
        <v>https://twitter.com/chriojoe/status/1622640300740190213</v>
      </c>
      <c r="AA77" s="77"/>
      <c r="AB77" s="77"/>
      <c r="AC77" s="81" t="s">
        <v>778</v>
      </c>
      <c r="AD77" s="81" t="s">
        <v>895</v>
      </c>
      <c r="AE77" s="77" t="b">
        <v>0</v>
      </c>
      <c r="AF77" s="77">
        <v>0</v>
      </c>
      <c r="AG77" s="81" t="s">
        <v>926</v>
      </c>
      <c r="AH77" s="77" t="b">
        <v>0</v>
      </c>
      <c r="AI77" s="77" t="s">
        <v>950</v>
      </c>
      <c r="AJ77" s="77"/>
      <c r="AK77" s="81" t="s">
        <v>916</v>
      </c>
      <c r="AL77" s="77" t="b">
        <v>0</v>
      </c>
      <c r="AM77" s="77">
        <v>0</v>
      </c>
      <c r="AN77" s="81" t="s">
        <v>916</v>
      </c>
      <c r="AO77" s="81" t="s">
        <v>958</v>
      </c>
      <c r="AP77" s="77" t="b">
        <v>0</v>
      </c>
      <c r="AQ77" s="81" t="s">
        <v>895</v>
      </c>
      <c r="AR77" s="77" t="s">
        <v>207</v>
      </c>
      <c r="AS77" s="77">
        <v>0</v>
      </c>
      <c r="AT77" s="77">
        <v>0</v>
      </c>
      <c r="AU77" s="77"/>
      <c r="AV77" s="77"/>
      <c r="AW77" s="77"/>
      <c r="AX77" s="77"/>
      <c r="AY77" s="77"/>
      <c r="AZ77" s="77"/>
      <c r="BA77" s="77"/>
      <c r="BB77" s="77"/>
      <c r="BC77">
        <v>1</v>
      </c>
      <c r="BD77" s="76" t="str">
        <f>REPLACE(INDEX(GroupVertices[Group],MATCH(Edges[[#This Row],[Vertex 1]],GroupVertices[Vertex],0)),1,1,"")</f>
        <v>11</v>
      </c>
      <c r="BE77" s="76" t="str">
        <f>REPLACE(INDEX(GroupVertices[Group],MATCH(Edges[[#This Row],[Vertex 2]],GroupVertices[Vertex],0)),1,1,"")</f>
        <v>11</v>
      </c>
      <c r="BF77" s="31"/>
      <c r="BG77" s="31"/>
      <c r="BH77" s="31"/>
      <c r="BI77" s="31"/>
      <c r="BJ77" s="31"/>
      <c r="BK77" s="31"/>
      <c r="BL77" s="31"/>
      <c r="BM77" s="31"/>
      <c r="BN77" s="31"/>
    </row>
    <row r="78" spans="1:66" ht="15">
      <c r="A78" s="61" t="s">
        <v>289</v>
      </c>
      <c r="B78" s="61" t="s">
        <v>387</v>
      </c>
      <c r="C78" s="62"/>
      <c r="D78" s="63"/>
      <c r="E78" s="64"/>
      <c r="F78" s="65"/>
      <c r="G78" s="62"/>
      <c r="H78" s="66"/>
      <c r="I78" s="67"/>
      <c r="J78" s="67"/>
      <c r="K78" s="31" t="s">
        <v>65</v>
      </c>
      <c r="L78" s="75">
        <v>78</v>
      </c>
      <c r="M78" s="75"/>
      <c r="N78" s="69"/>
      <c r="O78" s="77" t="s">
        <v>446</v>
      </c>
      <c r="P78" s="79">
        <v>44963.705659722225</v>
      </c>
      <c r="Q78" s="77" t="s">
        <v>471</v>
      </c>
      <c r="R78" s="77"/>
      <c r="S78" s="77"/>
      <c r="T78" s="77"/>
      <c r="U78" s="77"/>
      <c r="V78" s="80" t="str">
        <f>HYPERLINK("https://pbs.twimg.com/profile_images/1586069551233392640/Po14gHto_normal.jpg")</f>
        <v>https://pbs.twimg.com/profile_images/1586069551233392640/Po14gHto_normal.jpg</v>
      </c>
      <c r="W78" s="79">
        <v>44963.705659722225</v>
      </c>
      <c r="X78" s="84">
        <v>44963</v>
      </c>
      <c r="Y78" s="81" t="s">
        <v>622</v>
      </c>
      <c r="Z78" s="80" t="str">
        <f>HYPERLINK("https://twitter.com/chriojoe/status/1622640300740190213")</f>
        <v>https://twitter.com/chriojoe/status/1622640300740190213</v>
      </c>
      <c r="AA78" s="77"/>
      <c r="AB78" s="77"/>
      <c r="AC78" s="81" t="s">
        <v>778</v>
      </c>
      <c r="AD78" s="81" t="s">
        <v>895</v>
      </c>
      <c r="AE78" s="77" t="b">
        <v>0</v>
      </c>
      <c r="AF78" s="77">
        <v>0</v>
      </c>
      <c r="AG78" s="81" t="s">
        <v>926</v>
      </c>
      <c r="AH78" s="77" t="b">
        <v>0</v>
      </c>
      <c r="AI78" s="77" t="s">
        <v>950</v>
      </c>
      <c r="AJ78" s="77"/>
      <c r="AK78" s="81" t="s">
        <v>916</v>
      </c>
      <c r="AL78" s="77" t="b">
        <v>0</v>
      </c>
      <c r="AM78" s="77">
        <v>0</v>
      </c>
      <c r="AN78" s="81" t="s">
        <v>916</v>
      </c>
      <c r="AO78" s="81" t="s">
        <v>958</v>
      </c>
      <c r="AP78" s="77" t="b">
        <v>0</v>
      </c>
      <c r="AQ78" s="81" t="s">
        <v>895</v>
      </c>
      <c r="AR78" s="77" t="s">
        <v>207</v>
      </c>
      <c r="AS78" s="77">
        <v>0</v>
      </c>
      <c r="AT78" s="77">
        <v>0</v>
      </c>
      <c r="AU78" s="77"/>
      <c r="AV78" s="77"/>
      <c r="AW78" s="77"/>
      <c r="AX78" s="77"/>
      <c r="AY78" s="77"/>
      <c r="AZ78" s="77"/>
      <c r="BA78" s="77"/>
      <c r="BB78" s="77"/>
      <c r="BC78">
        <v>1</v>
      </c>
      <c r="BD78" s="76" t="str">
        <f>REPLACE(INDEX(GroupVertices[Group],MATCH(Edges[[#This Row],[Vertex 1]],GroupVertices[Vertex],0)),1,1,"")</f>
        <v>11</v>
      </c>
      <c r="BE78" s="76" t="str">
        <f>REPLACE(INDEX(GroupVertices[Group],MATCH(Edges[[#This Row],[Vertex 2]],GroupVertices[Vertex],0)),1,1,"")</f>
        <v>2</v>
      </c>
      <c r="BF78" s="31"/>
      <c r="BG78" s="31"/>
      <c r="BH78" s="31"/>
      <c r="BI78" s="31"/>
      <c r="BJ78" s="31"/>
      <c r="BK78" s="31"/>
      <c r="BL78" s="31"/>
      <c r="BM78" s="31"/>
      <c r="BN78" s="31"/>
    </row>
    <row r="79" spans="1:66" ht="15">
      <c r="A79" s="61" t="s">
        <v>290</v>
      </c>
      <c r="B79" s="61" t="s">
        <v>404</v>
      </c>
      <c r="C79" s="62"/>
      <c r="D79" s="63"/>
      <c r="E79" s="64"/>
      <c r="F79" s="65"/>
      <c r="G79" s="62"/>
      <c r="H79" s="66"/>
      <c r="I79" s="67"/>
      <c r="J79" s="67"/>
      <c r="K79" s="31" t="s">
        <v>65</v>
      </c>
      <c r="L79" s="75">
        <v>79</v>
      </c>
      <c r="M79" s="75"/>
      <c r="N79" s="69"/>
      <c r="O79" s="77" t="s">
        <v>446</v>
      </c>
      <c r="P79" s="79">
        <v>44963.80081018519</v>
      </c>
      <c r="Q79" s="77" t="s">
        <v>472</v>
      </c>
      <c r="R79" s="77"/>
      <c r="S79" s="77"/>
      <c r="T79" s="77"/>
      <c r="U79" s="77"/>
      <c r="V79" s="80" t="str">
        <f>HYPERLINK("https://pbs.twimg.com/profile_images/1534682334682677248/2rUTIa79_normal.jpg")</f>
        <v>https://pbs.twimg.com/profile_images/1534682334682677248/2rUTIa79_normal.jpg</v>
      </c>
      <c r="W79" s="79">
        <v>44963.80081018519</v>
      </c>
      <c r="X79" s="84">
        <v>44963</v>
      </c>
      <c r="Y79" s="81" t="s">
        <v>623</v>
      </c>
      <c r="Z79" s="80" t="str">
        <f>HYPERLINK("https://twitter.com/eliseusnoir/status/1622674781945630720")</f>
        <v>https://twitter.com/eliseusnoir/status/1622674781945630720</v>
      </c>
      <c r="AA79" s="77"/>
      <c r="AB79" s="77"/>
      <c r="AC79" s="81" t="s">
        <v>779</v>
      </c>
      <c r="AD79" s="81" t="s">
        <v>896</v>
      </c>
      <c r="AE79" s="77" t="b">
        <v>0</v>
      </c>
      <c r="AF79" s="77">
        <v>0</v>
      </c>
      <c r="AG79" s="81" t="s">
        <v>927</v>
      </c>
      <c r="AH79" s="77" t="b">
        <v>0</v>
      </c>
      <c r="AI79" s="77" t="s">
        <v>950</v>
      </c>
      <c r="AJ79" s="77"/>
      <c r="AK79" s="81" t="s">
        <v>916</v>
      </c>
      <c r="AL79" s="77" t="b">
        <v>0</v>
      </c>
      <c r="AM79" s="77">
        <v>0</v>
      </c>
      <c r="AN79" s="81" t="s">
        <v>916</v>
      </c>
      <c r="AO79" s="81" t="s">
        <v>958</v>
      </c>
      <c r="AP79" s="77" t="b">
        <v>0</v>
      </c>
      <c r="AQ79" s="81" t="s">
        <v>896</v>
      </c>
      <c r="AR79" s="77" t="s">
        <v>207</v>
      </c>
      <c r="AS79" s="77">
        <v>0</v>
      </c>
      <c r="AT79" s="77">
        <v>0</v>
      </c>
      <c r="AU79" s="77"/>
      <c r="AV79" s="77"/>
      <c r="AW79" s="77"/>
      <c r="AX79" s="77"/>
      <c r="AY79" s="77"/>
      <c r="AZ79" s="77"/>
      <c r="BA79" s="77"/>
      <c r="BB79" s="77"/>
      <c r="BC79">
        <v>1</v>
      </c>
      <c r="BD79" s="76" t="str">
        <f>REPLACE(INDEX(GroupVertices[Group],MATCH(Edges[[#This Row],[Vertex 1]],GroupVertices[Vertex],0)),1,1,"")</f>
        <v>41</v>
      </c>
      <c r="BE79" s="76" t="str">
        <f>REPLACE(INDEX(GroupVertices[Group],MATCH(Edges[[#This Row],[Vertex 2]],GroupVertices[Vertex],0)),1,1,"")</f>
        <v>41</v>
      </c>
      <c r="BF79" s="31"/>
      <c r="BG79" s="31"/>
      <c r="BH79" s="31"/>
      <c r="BI79" s="31"/>
      <c r="BJ79" s="31"/>
      <c r="BK79" s="31"/>
      <c r="BL79" s="31"/>
      <c r="BM79" s="31"/>
      <c r="BN79" s="31"/>
    </row>
    <row r="80" spans="1:66" ht="15">
      <c r="A80" s="61" t="s">
        <v>291</v>
      </c>
      <c r="B80" s="61" t="s">
        <v>405</v>
      </c>
      <c r="C80" s="62"/>
      <c r="D80" s="63"/>
      <c r="E80" s="64"/>
      <c r="F80" s="65"/>
      <c r="G80" s="62"/>
      <c r="H80" s="66"/>
      <c r="I80" s="67"/>
      <c r="J80" s="67"/>
      <c r="K80" s="31" t="s">
        <v>65</v>
      </c>
      <c r="L80" s="75">
        <v>80</v>
      </c>
      <c r="M80" s="75"/>
      <c r="N80" s="69"/>
      <c r="O80" s="77" t="s">
        <v>446</v>
      </c>
      <c r="P80" s="79">
        <v>44963.85434027778</v>
      </c>
      <c r="Q80" s="77" t="s">
        <v>473</v>
      </c>
      <c r="R80" s="77"/>
      <c r="S80" s="77"/>
      <c r="T80" s="77"/>
      <c r="U80" s="77"/>
      <c r="V80" s="80" t="str">
        <f>HYPERLINK("https://pbs.twimg.com/profile_images/1588902670512840705/iBGfm085_normal.jpg")</f>
        <v>https://pbs.twimg.com/profile_images/1588902670512840705/iBGfm085_normal.jpg</v>
      </c>
      <c r="W80" s="79">
        <v>44963.85434027778</v>
      </c>
      <c r="X80" s="84">
        <v>44963</v>
      </c>
      <c r="Y80" s="81" t="s">
        <v>624</v>
      </c>
      <c r="Z80" s="80" t="str">
        <f>HYPERLINK("https://twitter.com/sharkadvisory/status/1622694181478219776")</f>
        <v>https://twitter.com/sharkadvisory/status/1622694181478219776</v>
      </c>
      <c r="AA80" s="77"/>
      <c r="AB80" s="77"/>
      <c r="AC80" s="81" t="s">
        <v>780</v>
      </c>
      <c r="AD80" s="81" t="s">
        <v>897</v>
      </c>
      <c r="AE80" s="77" t="b">
        <v>0</v>
      </c>
      <c r="AF80" s="77">
        <v>3</v>
      </c>
      <c r="AG80" s="81" t="s">
        <v>928</v>
      </c>
      <c r="AH80" s="77" t="b">
        <v>0</v>
      </c>
      <c r="AI80" s="77" t="s">
        <v>950</v>
      </c>
      <c r="AJ80" s="77"/>
      <c r="AK80" s="81" t="s">
        <v>916</v>
      </c>
      <c r="AL80" s="77" t="b">
        <v>0</v>
      </c>
      <c r="AM80" s="77">
        <v>0</v>
      </c>
      <c r="AN80" s="81" t="s">
        <v>916</v>
      </c>
      <c r="AO80" s="81" t="s">
        <v>958</v>
      </c>
      <c r="AP80" s="77" t="b">
        <v>0</v>
      </c>
      <c r="AQ80" s="81" t="s">
        <v>897</v>
      </c>
      <c r="AR80" s="77" t="s">
        <v>207</v>
      </c>
      <c r="AS80" s="77">
        <v>0</v>
      </c>
      <c r="AT80" s="77">
        <v>0</v>
      </c>
      <c r="AU80" s="77"/>
      <c r="AV80" s="77"/>
      <c r="AW80" s="77"/>
      <c r="AX80" s="77"/>
      <c r="AY80" s="77"/>
      <c r="AZ80" s="77"/>
      <c r="BA80" s="77"/>
      <c r="BB80" s="77"/>
      <c r="BC80">
        <v>1</v>
      </c>
      <c r="BD80" s="76" t="str">
        <f>REPLACE(INDEX(GroupVertices[Group],MATCH(Edges[[#This Row],[Vertex 1]],GroupVertices[Vertex],0)),1,1,"")</f>
        <v>40</v>
      </c>
      <c r="BE80" s="76" t="str">
        <f>REPLACE(INDEX(GroupVertices[Group],MATCH(Edges[[#This Row],[Vertex 2]],GroupVertices[Vertex],0)),1,1,"")</f>
        <v>40</v>
      </c>
      <c r="BF80" s="31"/>
      <c r="BG80" s="31"/>
      <c r="BH80" s="31"/>
      <c r="BI80" s="31"/>
      <c r="BJ80" s="31"/>
      <c r="BK80" s="31"/>
      <c r="BL80" s="31"/>
      <c r="BM80" s="31"/>
      <c r="BN80" s="31"/>
    </row>
    <row r="81" spans="1:66" ht="15">
      <c r="A81" s="61" t="s">
        <v>292</v>
      </c>
      <c r="B81" s="61" t="s">
        <v>292</v>
      </c>
      <c r="C81" s="62"/>
      <c r="D81" s="63"/>
      <c r="E81" s="64"/>
      <c r="F81" s="65"/>
      <c r="G81" s="62"/>
      <c r="H81" s="66"/>
      <c r="I81" s="67"/>
      <c r="J81" s="67"/>
      <c r="K81" s="31" t="s">
        <v>65</v>
      </c>
      <c r="L81" s="75">
        <v>81</v>
      </c>
      <c r="M81" s="75"/>
      <c r="N81" s="69"/>
      <c r="O81" s="77" t="s">
        <v>207</v>
      </c>
      <c r="P81" s="79">
        <v>44963.88417824074</v>
      </c>
      <c r="Q81" s="77" t="s">
        <v>474</v>
      </c>
      <c r="R81" s="77"/>
      <c r="S81" s="77"/>
      <c r="T81" s="81" t="s">
        <v>564</v>
      </c>
      <c r="U81" s="80" t="str">
        <f>HYPERLINK("https://pbs.twimg.com/media/FoUBYbxXgAgYE7K.jpg")</f>
        <v>https://pbs.twimg.com/media/FoUBYbxXgAgYE7K.jpg</v>
      </c>
      <c r="V81" s="80" t="str">
        <f>HYPERLINK("https://pbs.twimg.com/media/FoUBYbxXgAgYE7K.jpg")</f>
        <v>https://pbs.twimg.com/media/FoUBYbxXgAgYE7K.jpg</v>
      </c>
      <c r="W81" s="79">
        <v>44963.88417824074</v>
      </c>
      <c r="X81" s="84">
        <v>44963</v>
      </c>
      <c r="Y81" s="81" t="s">
        <v>625</v>
      </c>
      <c r="Z81" s="80" t="str">
        <f>HYPERLINK("https://twitter.com/sonssingularity/status/1622704994142093335")</f>
        <v>https://twitter.com/sonssingularity/status/1622704994142093335</v>
      </c>
      <c r="AA81" s="77"/>
      <c r="AB81" s="77"/>
      <c r="AC81" s="81" t="s">
        <v>781</v>
      </c>
      <c r="AD81" s="77"/>
      <c r="AE81" s="77" t="b">
        <v>0</v>
      </c>
      <c r="AF81" s="77">
        <v>0</v>
      </c>
      <c r="AG81" s="81" t="s">
        <v>916</v>
      </c>
      <c r="AH81" s="77" t="b">
        <v>0</v>
      </c>
      <c r="AI81" s="77" t="s">
        <v>950</v>
      </c>
      <c r="AJ81" s="77"/>
      <c r="AK81" s="81" t="s">
        <v>916</v>
      </c>
      <c r="AL81" s="77" t="b">
        <v>0</v>
      </c>
      <c r="AM81" s="77">
        <v>0</v>
      </c>
      <c r="AN81" s="81" t="s">
        <v>916</v>
      </c>
      <c r="AO81" s="81" t="s">
        <v>958</v>
      </c>
      <c r="AP81" s="77" t="b">
        <v>0</v>
      </c>
      <c r="AQ81" s="81" t="s">
        <v>781</v>
      </c>
      <c r="AR81" s="77" t="s">
        <v>207</v>
      </c>
      <c r="AS81" s="77">
        <v>0</v>
      </c>
      <c r="AT81" s="77">
        <v>0</v>
      </c>
      <c r="AU81" s="77"/>
      <c r="AV81" s="77"/>
      <c r="AW81" s="77"/>
      <c r="AX81" s="77"/>
      <c r="AY81" s="77"/>
      <c r="AZ81" s="77"/>
      <c r="BA81" s="77"/>
      <c r="BB81" s="77"/>
      <c r="BC81">
        <v>1</v>
      </c>
      <c r="BD81" s="76" t="str">
        <f>REPLACE(INDEX(GroupVertices[Group],MATCH(Edges[[#This Row],[Vertex 1]],GroupVertices[Vertex],0)),1,1,"")</f>
        <v>76</v>
      </c>
      <c r="BE81" s="76" t="str">
        <f>REPLACE(INDEX(GroupVertices[Group],MATCH(Edges[[#This Row],[Vertex 2]],GroupVertices[Vertex],0)),1,1,"")</f>
        <v>76</v>
      </c>
      <c r="BF81" s="31"/>
      <c r="BG81" s="31"/>
      <c r="BH81" s="31"/>
      <c r="BI81" s="31"/>
      <c r="BJ81" s="31"/>
      <c r="BK81" s="31"/>
      <c r="BL81" s="31"/>
      <c r="BM81" s="31"/>
      <c r="BN81" s="31"/>
    </row>
    <row r="82" spans="1:66" ht="15">
      <c r="A82" s="61" t="s">
        <v>293</v>
      </c>
      <c r="B82" s="61" t="s">
        <v>403</v>
      </c>
      <c r="C82" s="62"/>
      <c r="D82" s="63"/>
      <c r="E82" s="64"/>
      <c r="F82" s="65"/>
      <c r="G82" s="62"/>
      <c r="H82" s="66"/>
      <c r="I82" s="67"/>
      <c r="J82" s="67"/>
      <c r="K82" s="31" t="s">
        <v>65</v>
      </c>
      <c r="L82" s="75">
        <v>82</v>
      </c>
      <c r="M82" s="75"/>
      <c r="N82" s="69"/>
      <c r="O82" s="77" t="s">
        <v>446</v>
      </c>
      <c r="P82" s="79">
        <v>44963.669965277775</v>
      </c>
      <c r="Q82" s="77" t="s">
        <v>475</v>
      </c>
      <c r="R82" s="77"/>
      <c r="S82" s="77"/>
      <c r="T82" s="77"/>
      <c r="U82" s="77"/>
      <c r="V82" s="80" t="str">
        <f>HYPERLINK("https://pbs.twimg.com/profile_images/1391968607656202244/mNJ0KIMG_normal.jpg")</f>
        <v>https://pbs.twimg.com/profile_images/1391968607656202244/mNJ0KIMG_normal.jpg</v>
      </c>
      <c r="W82" s="79">
        <v>44963.669965277775</v>
      </c>
      <c r="X82" s="84">
        <v>44963</v>
      </c>
      <c r="Y82" s="81" t="s">
        <v>626</v>
      </c>
      <c r="Z82" s="80" t="str">
        <f>HYPERLINK("https://twitter.com/wall_finger/status/1622627366760579073")</f>
        <v>https://twitter.com/wall_finger/status/1622627366760579073</v>
      </c>
      <c r="AA82" s="77"/>
      <c r="AB82" s="77"/>
      <c r="AC82" s="81" t="s">
        <v>782</v>
      </c>
      <c r="AD82" s="81" t="s">
        <v>898</v>
      </c>
      <c r="AE82" s="77" t="b">
        <v>0</v>
      </c>
      <c r="AF82" s="77">
        <v>0</v>
      </c>
      <c r="AG82" s="81" t="s">
        <v>929</v>
      </c>
      <c r="AH82" s="77" t="b">
        <v>0</v>
      </c>
      <c r="AI82" s="77" t="s">
        <v>950</v>
      </c>
      <c r="AJ82" s="77"/>
      <c r="AK82" s="81" t="s">
        <v>916</v>
      </c>
      <c r="AL82" s="77" t="b">
        <v>0</v>
      </c>
      <c r="AM82" s="77">
        <v>0</v>
      </c>
      <c r="AN82" s="81" t="s">
        <v>916</v>
      </c>
      <c r="AO82" s="81" t="s">
        <v>957</v>
      </c>
      <c r="AP82" s="77" t="b">
        <v>0</v>
      </c>
      <c r="AQ82" s="81" t="s">
        <v>898</v>
      </c>
      <c r="AR82" s="77" t="s">
        <v>207</v>
      </c>
      <c r="AS82" s="77">
        <v>0</v>
      </c>
      <c r="AT82" s="77">
        <v>0</v>
      </c>
      <c r="AU82" s="77"/>
      <c r="AV82" s="77"/>
      <c r="AW82" s="77"/>
      <c r="AX82" s="77"/>
      <c r="AY82" s="77"/>
      <c r="AZ82" s="77"/>
      <c r="BA82" s="77"/>
      <c r="BB82" s="77"/>
      <c r="BC82">
        <v>1</v>
      </c>
      <c r="BD82" s="76" t="str">
        <f>REPLACE(INDEX(GroupVertices[Group],MATCH(Edges[[#This Row],[Vertex 1]],GroupVertices[Vertex],0)),1,1,"")</f>
        <v>11</v>
      </c>
      <c r="BE82" s="76" t="str">
        <f>REPLACE(INDEX(GroupVertices[Group],MATCH(Edges[[#This Row],[Vertex 2]],GroupVertices[Vertex],0)),1,1,"")</f>
        <v>11</v>
      </c>
      <c r="BF82" s="31"/>
      <c r="BG82" s="31"/>
      <c r="BH82" s="31"/>
      <c r="BI82" s="31"/>
      <c r="BJ82" s="31"/>
      <c r="BK82" s="31"/>
      <c r="BL82" s="31"/>
      <c r="BM82" s="31"/>
      <c r="BN82" s="31"/>
    </row>
    <row r="83" spans="1:66" ht="15">
      <c r="A83" s="61" t="s">
        <v>293</v>
      </c>
      <c r="B83" s="61" t="s">
        <v>406</v>
      </c>
      <c r="C83" s="62"/>
      <c r="D83" s="63"/>
      <c r="E83" s="64"/>
      <c r="F83" s="65"/>
      <c r="G83" s="62"/>
      <c r="H83" s="66"/>
      <c r="I83" s="67"/>
      <c r="J83" s="67"/>
      <c r="K83" s="31" t="s">
        <v>65</v>
      </c>
      <c r="L83" s="75">
        <v>83</v>
      </c>
      <c r="M83" s="75"/>
      <c r="N83" s="69"/>
      <c r="O83" s="77" t="s">
        <v>446</v>
      </c>
      <c r="P83" s="79">
        <v>44963.93513888889</v>
      </c>
      <c r="Q83" s="77" t="s">
        <v>476</v>
      </c>
      <c r="R83" s="77"/>
      <c r="S83" s="77"/>
      <c r="T83" s="77"/>
      <c r="U83" s="77"/>
      <c r="V83" s="80" t="str">
        <f>HYPERLINK("https://pbs.twimg.com/profile_images/1391968607656202244/mNJ0KIMG_normal.jpg")</f>
        <v>https://pbs.twimg.com/profile_images/1391968607656202244/mNJ0KIMG_normal.jpg</v>
      </c>
      <c r="W83" s="79">
        <v>44963.93513888889</v>
      </c>
      <c r="X83" s="84">
        <v>44963</v>
      </c>
      <c r="Y83" s="81" t="s">
        <v>627</v>
      </c>
      <c r="Z83" s="80" t="str">
        <f>HYPERLINK("https://twitter.com/wall_finger/status/1622723460681064448")</f>
        <v>https://twitter.com/wall_finger/status/1622723460681064448</v>
      </c>
      <c r="AA83" s="77"/>
      <c r="AB83" s="77"/>
      <c r="AC83" s="81" t="s">
        <v>783</v>
      </c>
      <c r="AD83" s="81" t="s">
        <v>899</v>
      </c>
      <c r="AE83" s="77" t="b">
        <v>0</v>
      </c>
      <c r="AF83" s="77">
        <v>0</v>
      </c>
      <c r="AG83" s="81" t="s">
        <v>930</v>
      </c>
      <c r="AH83" s="77" t="b">
        <v>0</v>
      </c>
      <c r="AI83" s="77" t="s">
        <v>950</v>
      </c>
      <c r="AJ83" s="77"/>
      <c r="AK83" s="81" t="s">
        <v>916</v>
      </c>
      <c r="AL83" s="77" t="b">
        <v>0</v>
      </c>
      <c r="AM83" s="77">
        <v>0</v>
      </c>
      <c r="AN83" s="81" t="s">
        <v>916</v>
      </c>
      <c r="AO83" s="81" t="s">
        <v>958</v>
      </c>
      <c r="AP83" s="77" t="b">
        <v>0</v>
      </c>
      <c r="AQ83" s="81" t="s">
        <v>899</v>
      </c>
      <c r="AR83" s="77" t="s">
        <v>207</v>
      </c>
      <c r="AS83" s="77">
        <v>0</v>
      </c>
      <c r="AT83" s="77">
        <v>0</v>
      </c>
      <c r="AU83" s="77"/>
      <c r="AV83" s="77"/>
      <c r="AW83" s="77"/>
      <c r="AX83" s="77"/>
      <c r="AY83" s="77"/>
      <c r="AZ83" s="77"/>
      <c r="BA83" s="77"/>
      <c r="BB83" s="77"/>
      <c r="BC83">
        <v>1</v>
      </c>
      <c r="BD83" s="76" t="str">
        <f>REPLACE(INDEX(GroupVertices[Group],MATCH(Edges[[#This Row],[Vertex 1]],GroupVertices[Vertex],0)),1,1,"")</f>
        <v>11</v>
      </c>
      <c r="BE83" s="76" t="str">
        <f>REPLACE(INDEX(GroupVertices[Group],MATCH(Edges[[#This Row],[Vertex 2]],GroupVertices[Vertex],0)),1,1,"")</f>
        <v>11</v>
      </c>
      <c r="BF83" s="31"/>
      <c r="BG83" s="31"/>
      <c r="BH83" s="31"/>
      <c r="BI83" s="31"/>
      <c r="BJ83" s="31"/>
      <c r="BK83" s="31"/>
      <c r="BL83" s="31"/>
      <c r="BM83" s="31"/>
      <c r="BN83" s="31"/>
    </row>
    <row r="84" spans="1:66" ht="15">
      <c r="A84" s="61" t="s">
        <v>294</v>
      </c>
      <c r="B84" s="61" t="s">
        <v>294</v>
      </c>
      <c r="C84" s="62"/>
      <c r="D84" s="63"/>
      <c r="E84" s="64"/>
      <c r="F84" s="65"/>
      <c r="G84" s="62"/>
      <c r="H84" s="66"/>
      <c r="I84" s="67"/>
      <c r="J84" s="67"/>
      <c r="K84" s="31" t="s">
        <v>65</v>
      </c>
      <c r="L84" s="75">
        <v>84</v>
      </c>
      <c r="M84" s="75"/>
      <c r="N84" s="69"/>
      <c r="O84" s="77" t="s">
        <v>207</v>
      </c>
      <c r="P84" s="79">
        <v>44964.103483796294</v>
      </c>
      <c r="Q84" s="77" t="s">
        <v>477</v>
      </c>
      <c r="R84" s="77"/>
      <c r="S84" s="77"/>
      <c r="T84" s="81" t="s">
        <v>428</v>
      </c>
      <c r="U84" s="77"/>
      <c r="V84" s="80" t="str">
        <f>HYPERLINK("https://pbs.twimg.com/profile_images/1591302115007549442/wErQJ5VH_normal.jpg")</f>
        <v>https://pbs.twimg.com/profile_images/1591302115007549442/wErQJ5VH_normal.jpg</v>
      </c>
      <c r="W84" s="79">
        <v>44964.103483796294</v>
      </c>
      <c r="X84" s="84">
        <v>44964</v>
      </c>
      <c r="Y84" s="81" t="s">
        <v>628</v>
      </c>
      <c r="Z84" s="80" t="str">
        <f>HYPERLINK("https://twitter.com/jon5309/status/1622784465528557568")</f>
        <v>https://twitter.com/jon5309/status/1622784465528557568</v>
      </c>
      <c r="AA84" s="77"/>
      <c r="AB84" s="77"/>
      <c r="AC84" s="81" t="s">
        <v>784</v>
      </c>
      <c r="AD84" s="77"/>
      <c r="AE84" s="77" t="b">
        <v>0</v>
      </c>
      <c r="AF84" s="77">
        <v>0</v>
      </c>
      <c r="AG84" s="81" t="s">
        <v>916</v>
      </c>
      <c r="AH84" s="77" t="b">
        <v>0</v>
      </c>
      <c r="AI84" s="77" t="s">
        <v>950</v>
      </c>
      <c r="AJ84" s="77"/>
      <c r="AK84" s="81" t="s">
        <v>916</v>
      </c>
      <c r="AL84" s="77" t="b">
        <v>0</v>
      </c>
      <c r="AM84" s="77">
        <v>0</v>
      </c>
      <c r="AN84" s="81" t="s">
        <v>916</v>
      </c>
      <c r="AO84" s="81" t="s">
        <v>958</v>
      </c>
      <c r="AP84" s="77" t="b">
        <v>0</v>
      </c>
      <c r="AQ84" s="81" t="s">
        <v>784</v>
      </c>
      <c r="AR84" s="77" t="s">
        <v>207</v>
      </c>
      <c r="AS84" s="77">
        <v>0</v>
      </c>
      <c r="AT84" s="77">
        <v>0</v>
      </c>
      <c r="AU84" s="77"/>
      <c r="AV84" s="77"/>
      <c r="AW84" s="77"/>
      <c r="AX84" s="77"/>
      <c r="AY84" s="77"/>
      <c r="AZ84" s="77"/>
      <c r="BA84" s="77"/>
      <c r="BB84" s="77"/>
      <c r="BC84">
        <v>1</v>
      </c>
      <c r="BD84" s="76" t="str">
        <f>REPLACE(INDEX(GroupVertices[Group],MATCH(Edges[[#This Row],[Vertex 1]],GroupVertices[Vertex],0)),1,1,"")</f>
        <v>75</v>
      </c>
      <c r="BE84" s="76" t="str">
        <f>REPLACE(INDEX(GroupVertices[Group],MATCH(Edges[[#This Row],[Vertex 2]],GroupVertices[Vertex],0)),1,1,"")</f>
        <v>75</v>
      </c>
      <c r="BF84" s="31"/>
      <c r="BG84" s="31"/>
      <c r="BH84" s="31"/>
      <c r="BI84" s="31"/>
      <c r="BJ84" s="31"/>
      <c r="BK84" s="31"/>
      <c r="BL84" s="31"/>
      <c r="BM84" s="31"/>
      <c r="BN84" s="31"/>
    </row>
    <row r="85" spans="1:66" ht="15">
      <c r="A85" s="61" t="s">
        <v>295</v>
      </c>
      <c r="B85" s="61" t="s">
        <v>304</v>
      </c>
      <c r="C85" s="62"/>
      <c r="D85" s="63"/>
      <c r="E85" s="64"/>
      <c r="F85" s="65"/>
      <c r="G85" s="62"/>
      <c r="H85" s="66"/>
      <c r="I85" s="67"/>
      <c r="J85" s="67"/>
      <c r="K85" s="31" t="s">
        <v>65</v>
      </c>
      <c r="L85" s="75">
        <v>85</v>
      </c>
      <c r="M85" s="75"/>
      <c r="N85" s="69"/>
      <c r="O85" s="77" t="s">
        <v>447</v>
      </c>
      <c r="P85" s="79">
        <v>44964.14944444445</v>
      </c>
      <c r="Q85" s="77" t="s">
        <v>478</v>
      </c>
      <c r="R85" s="80" t="str">
        <f>HYPERLINK("https://www.comedyfestival.com.au/2023/shows/is-climate-change-funny-yet")</f>
        <v>https://www.comedyfestival.com.au/2023/shows/is-climate-change-funny-yet</v>
      </c>
      <c r="S85" s="77" t="s">
        <v>552</v>
      </c>
      <c r="T85" s="77"/>
      <c r="U85" s="80" t="str">
        <f>HYPERLINK("https://pbs.twimg.com/ext_tw_video_thumb/1622770273799016448/pu/img/WiiQqBJNjv10uADh.jpg")</f>
        <v>https://pbs.twimg.com/ext_tw_video_thumb/1622770273799016448/pu/img/WiiQqBJNjv10uADh.jpg</v>
      </c>
      <c r="V85" s="80" t="str">
        <f>HYPERLINK("https://pbs.twimg.com/ext_tw_video_thumb/1622770273799016448/pu/img/WiiQqBJNjv10uADh.jpg")</f>
        <v>https://pbs.twimg.com/ext_tw_video_thumb/1622770273799016448/pu/img/WiiQqBJNjv10uADh.jpg</v>
      </c>
      <c r="W85" s="79">
        <v>44964.14944444445</v>
      </c>
      <c r="X85" s="84">
        <v>44964</v>
      </c>
      <c r="Y85" s="81" t="s">
        <v>629</v>
      </c>
      <c r="Z85" s="80" t="str">
        <f>HYPERLINK("https://twitter.com/tristanjmiller1/status/1622801123311775746")</f>
        <v>https://twitter.com/tristanjmiller1/status/1622801123311775746</v>
      </c>
      <c r="AA85" s="77"/>
      <c r="AB85" s="77"/>
      <c r="AC85" s="81" t="s">
        <v>785</v>
      </c>
      <c r="AD85" s="77"/>
      <c r="AE85" s="77" t="b">
        <v>0</v>
      </c>
      <c r="AF85" s="77">
        <v>0</v>
      </c>
      <c r="AG85" s="81" t="s">
        <v>916</v>
      </c>
      <c r="AH85" s="77" t="b">
        <v>0</v>
      </c>
      <c r="AI85" s="77" t="s">
        <v>950</v>
      </c>
      <c r="AJ85" s="77"/>
      <c r="AK85" s="81" t="s">
        <v>916</v>
      </c>
      <c r="AL85" s="77" t="b">
        <v>0</v>
      </c>
      <c r="AM85" s="77">
        <v>2</v>
      </c>
      <c r="AN85" s="81" t="s">
        <v>795</v>
      </c>
      <c r="AO85" s="81" t="s">
        <v>957</v>
      </c>
      <c r="AP85" s="77" t="b">
        <v>0</v>
      </c>
      <c r="AQ85" s="81" t="s">
        <v>795</v>
      </c>
      <c r="AR85" s="77" t="s">
        <v>207</v>
      </c>
      <c r="AS85" s="77">
        <v>0</v>
      </c>
      <c r="AT85" s="77">
        <v>0</v>
      </c>
      <c r="AU85" s="77"/>
      <c r="AV85" s="77"/>
      <c r="AW85" s="77"/>
      <c r="AX85" s="77"/>
      <c r="AY85" s="77"/>
      <c r="AZ85" s="77"/>
      <c r="BA85" s="77"/>
      <c r="BB85" s="77"/>
      <c r="BC85">
        <v>1</v>
      </c>
      <c r="BD85" s="76" t="str">
        <f>REPLACE(INDEX(GroupVertices[Group],MATCH(Edges[[#This Row],[Vertex 1]],GroupVertices[Vertex],0)),1,1,"")</f>
        <v>20</v>
      </c>
      <c r="BE85" s="76" t="str">
        <f>REPLACE(INDEX(GroupVertices[Group],MATCH(Edges[[#This Row],[Vertex 2]],GroupVertices[Vertex],0)),1,1,"")</f>
        <v>20</v>
      </c>
      <c r="BF85" s="31"/>
      <c r="BG85" s="31"/>
      <c r="BH85" s="31"/>
      <c r="BI85" s="31"/>
      <c r="BJ85" s="31"/>
      <c r="BK85" s="31"/>
      <c r="BL85" s="31"/>
      <c r="BM85" s="31"/>
      <c r="BN85" s="31"/>
    </row>
    <row r="86" spans="1:66" ht="15">
      <c r="A86" s="61" t="s">
        <v>296</v>
      </c>
      <c r="B86" s="61" t="s">
        <v>296</v>
      </c>
      <c r="C86" s="62"/>
      <c r="D86" s="63"/>
      <c r="E86" s="64"/>
      <c r="F86" s="65"/>
      <c r="G86" s="62"/>
      <c r="H86" s="66"/>
      <c r="I86" s="67"/>
      <c r="J86" s="67"/>
      <c r="K86" s="31" t="s">
        <v>65</v>
      </c>
      <c r="L86" s="75">
        <v>86</v>
      </c>
      <c r="M86" s="75"/>
      <c r="N86" s="69"/>
      <c r="O86" s="77" t="s">
        <v>207</v>
      </c>
      <c r="P86" s="79">
        <v>44964.04344907407</v>
      </c>
      <c r="Q86" s="77" t="s">
        <v>479</v>
      </c>
      <c r="R86" s="77"/>
      <c r="S86" s="77"/>
      <c r="T86" s="77"/>
      <c r="U86" s="77"/>
      <c r="V86" s="80" t="str">
        <f>HYPERLINK("https://pbs.twimg.com/profile_images/1530047904009687042/UJIMqhXV_normal.jpg")</f>
        <v>https://pbs.twimg.com/profile_images/1530047904009687042/UJIMqhXV_normal.jpg</v>
      </c>
      <c r="W86" s="79">
        <v>44964.04344907407</v>
      </c>
      <c r="X86" s="84">
        <v>44964</v>
      </c>
      <c r="Y86" s="81" t="s">
        <v>630</v>
      </c>
      <c r="Z86" s="80" t="str">
        <f>HYPERLINK("https://twitter.com/jflhere/status/1622762709879246848")</f>
        <v>https://twitter.com/jflhere/status/1622762709879246848</v>
      </c>
      <c r="AA86" s="77"/>
      <c r="AB86" s="77"/>
      <c r="AC86" s="81" t="s">
        <v>786</v>
      </c>
      <c r="AD86" s="77"/>
      <c r="AE86" s="77" t="b">
        <v>0</v>
      </c>
      <c r="AF86" s="77">
        <v>24</v>
      </c>
      <c r="AG86" s="81" t="s">
        <v>916</v>
      </c>
      <c r="AH86" s="77" t="b">
        <v>0</v>
      </c>
      <c r="AI86" s="77" t="s">
        <v>950</v>
      </c>
      <c r="AJ86" s="77"/>
      <c r="AK86" s="81" t="s">
        <v>916</v>
      </c>
      <c r="AL86" s="77" t="b">
        <v>0</v>
      </c>
      <c r="AM86" s="77">
        <v>1</v>
      </c>
      <c r="AN86" s="81" t="s">
        <v>916</v>
      </c>
      <c r="AO86" s="81" t="s">
        <v>958</v>
      </c>
      <c r="AP86" s="77" t="b">
        <v>0</v>
      </c>
      <c r="AQ86" s="81" t="s">
        <v>786</v>
      </c>
      <c r="AR86" s="77" t="s">
        <v>207</v>
      </c>
      <c r="AS86" s="77">
        <v>0</v>
      </c>
      <c r="AT86" s="77">
        <v>0</v>
      </c>
      <c r="AU86" s="77"/>
      <c r="AV86" s="77"/>
      <c r="AW86" s="77"/>
      <c r="AX86" s="77"/>
      <c r="AY86" s="77"/>
      <c r="AZ86" s="77"/>
      <c r="BA86" s="77"/>
      <c r="BB86" s="77"/>
      <c r="BC86">
        <v>1</v>
      </c>
      <c r="BD86" s="76" t="str">
        <f>REPLACE(INDEX(GroupVertices[Group],MATCH(Edges[[#This Row],[Vertex 1]],GroupVertices[Vertex],0)),1,1,"")</f>
        <v>39</v>
      </c>
      <c r="BE86" s="76" t="str">
        <f>REPLACE(INDEX(GroupVertices[Group],MATCH(Edges[[#This Row],[Vertex 2]],GroupVertices[Vertex],0)),1,1,"")</f>
        <v>39</v>
      </c>
      <c r="BF86" s="31"/>
      <c r="BG86" s="31"/>
      <c r="BH86" s="31"/>
      <c r="BI86" s="31"/>
      <c r="BJ86" s="31"/>
      <c r="BK86" s="31"/>
      <c r="BL86" s="31"/>
      <c r="BM86" s="31"/>
      <c r="BN86" s="31"/>
    </row>
    <row r="87" spans="1:66" ht="15">
      <c r="A87" s="61" t="s">
        <v>297</v>
      </c>
      <c r="B87" s="61" t="s">
        <v>296</v>
      </c>
      <c r="C87" s="62"/>
      <c r="D87" s="63"/>
      <c r="E87" s="64"/>
      <c r="F87" s="65"/>
      <c r="G87" s="62"/>
      <c r="H87" s="66"/>
      <c r="I87" s="67"/>
      <c r="J87" s="67"/>
      <c r="K87" s="31" t="s">
        <v>65</v>
      </c>
      <c r="L87" s="75">
        <v>87</v>
      </c>
      <c r="M87" s="75"/>
      <c r="N87" s="69"/>
      <c r="O87" s="77" t="s">
        <v>447</v>
      </c>
      <c r="P87" s="79">
        <v>44964.162210648145</v>
      </c>
      <c r="Q87" s="77" t="s">
        <v>479</v>
      </c>
      <c r="R87" s="77"/>
      <c r="S87" s="77"/>
      <c r="T87" s="77"/>
      <c r="U87" s="77"/>
      <c r="V87" s="80" t="str">
        <f>HYPERLINK("https://pbs.twimg.com/profile_images/1411441082265657346/ysWwulj3_normal.jpg")</f>
        <v>https://pbs.twimg.com/profile_images/1411441082265657346/ysWwulj3_normal.jpg</v>
      </c>
      <c r="W87" s="79">
        <v>44964.162210648145</v>
      </c>
      <c r="X87" s="84">
        <v>44964</v>
      </c>
      <c r="Y87" s="81" t="s">
        <v>631</v>
      </c>
      <c r="Z87" s="80" t="str">
        <f>HYPERLINK("https://twitter.com/lisekimhorton/status/1622805750887112704")</f>
        <v>https://twitter.com/lisekimhorton/status/1622805750887112704</v>
      </c>
      <c r="AA87" s="77"/>
      <c r="AB87" s="77"/>
      <c r="AC87" s="81" t="s">
        <v>787</v>
      </c>
      <c r="AD87" s="77"/>
      <c r="AE87" s="77" t="b">
        <v>0</v>
      </c>
      <c r="AF87" s="77">
        <v>0</v>
      </c>
      <c r="AG87" s="81" t="s">
        <v>916</v>
      </c>
      <c r="AH87" s="77" t="b">
        <v>0</v>
      </c>
      <c r="AI87" s="77" t="s">
        <v>950</v>
      </c>
      <c r="AJ87" s="77"/>
      <c r="AK87" s="81" t="s">
        <v>916</v>
      </c>
      <c r="AL87" s="77" t="b">
        <v>0</v>
      </c>
      <c r="AM87" s="77">
        <v>1</v>
      </c>
      <c r="AN87" s="81" t="s">
        <v>786</v>
      </c>
      <c r="AO87" s="81" t="s">
        <v>958</v>
      </c>
      <c r="AP87" s="77" t="b">
        <v>0</v>
      </c>
      <c r="AQ87" s="81" t="s">
        <v>786</v>
      </c>
      <c r="AR87" s="77" t="s">
        <v>207</v>
      </c>
      <c r="AS87" s="77">
        <v>0</v>
      </c>
      <c r="AT87" s="77">
        <v>0</v>
      </c>
      <c r="AU87" s="77"/>
      <c r="AV87" s="77"/>
      <c r="AW87" s="77"/>
      <c r="AX87" s="77"/>
      <c r="AY87" s="77"/>
      <c r="AZ87" s="77"/>
      <c r="BA87" s="77"/>
      <c r="BB87" s="77"/>
      <c r="BC87">
        <v>1</v>
      </c>
      <c r="BD87" s="76" t="str">
        <f>REPLACE(INDEX(GroupVertices[Group],MATCH(Edges[[#This Row],[Vertex 1]],GroupVertices[Vertex],0)),1,1,"")</f>
        <v>39</v>
      </c>
      <c r="BE87" s="76" t="str">
        <f>REPLACE(INDEX(GroupVertices[Group],MATCH(Edges[[#This Row],[Vertex 2]],GroupVertices[Vertex],0)),1,1,"")</f>
        <v>39</v>
      </c>
      <c r="BF87" s="31"/>
      <c r="BG87" s="31"/>
      <c r="BH87" s="31"/>
      <c r="BI87" s="31"/>
      <c r="BJ87" s="31"/>
      <c r="BK87" s="31"/>
      <c r="BL87" s="31"/>
      <c r="BM87" s="31"/>
      <c r="BN87" s="31"/>
    </row>
    <row r="88" spans="1:66" ht="15">
      <c r="A88" s="61" t="s">
        <v>298</v>
      </c>
      <c r="B88" s="61" t="s">
        <v>407</v>
      </c>
      <c r="C88" s="62"/>
      <c r="D88" s="63"/>
      <c r="E88" s="64"/>
      <c r="F88" s="65"/>
      <c r="G88" s="62"/>
      <c r="H88" s="66"/>
      <c r="I88" s="67"/>
      <c r="J88" s="67"/>
      <c r="K88" s="31" t="s">
        <v>65</v>
      </c>
      <c r="L88" s="75">
        <v>88</v>
      </c>
      <c r="M88" s="75"/>
      <c r="N88" s="69"/>
      <c r="O88" s="77" t="s">
        <v>448</v>
      </c>
      <c r="P88" s="79">
        <v>44964.21486111111</v>
      </c>
      <c r="Q88" s="77" t="s">
        <v>480</v>
      </c>
      <c r="R88" s="77"/>
      <c r="S88" s="77"/>
      <c r="T88" s="77"/>
      <c r="U88" s="80" t="str">
        <f>HYPERLINK("https://pbs.twimg.com/media/FoVuaebXoAATaFd.jpg")</f>
        <v>https://pbs.twimg.com/media/FoVuaebXoAATaFd.jpg</v>
      </c>
      <c r="V88" s="80" t="str">
        <f>HYPERLINK("https://pbs.twimg.com/media/FoVuaebXoAATaFd.jpg")</f>
        <v>https://pbs.twimg.com/media/FoVuaebXoAATaFd.jpg</v>
      </c>
      <c r="W88" s="79">
        <v>44964.21486111111</v>
      </c>
      <c r="X88" s="84">
        <v>44964</v>
      </c>
      <c r="Y88" s="81" t="s">
        <v>632</v>
      </c>
      <c r="Z88" s="80" t="str">
        <f>HYPERLINK("https://twitter.com/glen1macdonald/status/1622824827156406274")</f>
        <v>https://twitter.com/glen1macdonald/status/1622824827156406274</v>
      </c>
      <c r="AA88" s="77"/>
      <c r="AB88" s="77"/>
      <c r="AC88" s="81" t="s">
        <v>788</v>
      </c>
      <c r="AD88" s="77"/>
      <c r="AE88" s="77" t="b">
        <v>0</v>
      </c>
      <c r="AF88" s="77">
        <v>3</v>
      </c>
      <c r="AG88" s="81" t="s">
        <v>916</v>
      </c>
      <c r="AH88" s="77" t="b">
        <v>0</v>
      </c>
      <c r="AI88" s="77" t="s">
        <v>950</v>
      </c>
      <c r="AJ88" s="77"/>
      <c r="AK88" s="81" t="s">
        <v>916</v>
      </c>
      <c r="AL88" s="77" t="b">
        <v>0</v>
      </c>
      <c r="AM88" s="77">
        <v>0</v>
      </c>
      <c r="AN88" s="81" t="s">
        <v>916</v>
      </c>
      <c r="AO88" s="81" t="s">
        <v>958</v>
      </c>
      <c r="AP88" s="77" t="b">
        <v>0</v>
      </c>
      <c r="AQ88" s="81" t="s">
        <v>788</v>
      </c>
      <c r="AR88" s="77" t="s">
        <v>207</v>
      </c>
      <c r="AS88" s="77">
        <v>0</v>
      </c>
      <c r="AT88" s="77">
        <v>0</v>
      </c>
      <c r="AU88" s="77"/>
      <c r="AV88" s="77"/>
      <c r="AW88" s="77"/>
      <c r="AX88" s="77"/>
      <c r="AY88" s="77"/>
      <c r="AZ88" s="77"/>
      <c r="BA88" s="77"/>
      <c r="BB88" s="77"/>
      <c r="BC88">
        <v>1</v>
      </c>
      <c r="BD88" s="76" t="str">
        <f>REPLACE(INDEX(GroupVertices[Group],MATCH(Edges[[#This Row],[Vertex 1]],GroupVertices[Vertex],0)),1,1,"")</f>
        <v>38</v>
      </c>
      <c r="BE88" s="76" t="str">
        <f>REPLACE(INDEX(GroupVertices[Group],MATCH(Edges[[#This Row],[Vertex 2]],GroupVertices[Vertex],0)),1,1,"")</f>
        <v>38</v>
      </c>
      <c r="BF88" s="31"/>
      <c r="BG88" s="31"/>
      <c r="BH88" s="31"/>
      <c r="BI88" s="31"/>
      <c r="BJ88" s="31"/>
      <c r="BK88" s="31"/>
      <c r="BL88" s="31"/>
      <c r="BM88" s="31"/>
      <c r="BN88" s="31"/>
    </row>
    <row r="89" spans="1:66" ht="15">
      <c r="A89" s="61" t="s">
        <v>298</v>
      </c>
      <c r="B89" s="61" t="s">
        <v>298</v>
      </c>
      <c r="C89" s="62"/>
      <c r="D89" s="63"/>
      <c r="E89" s="64"/>
      <c r="F89" s="65"/>
      <c r="G89" s="62"/>
      <c r="H89" s="66"/>
      <c r="I89" s="67"/>
      <c r="J89" s="67"/>
      <c r="K89" s="31" t="s">
        <v>65</v>
      </c>
      <c r="L89" s="75">
        <v>89</v>
      </c>
      <c r="M89" s="75"/>
      <c r="N89" s="69"/>
      <c r="O89" s="77" t="s">
        <v>207</v>
      </c>
      <c r="P89" s="79">
        <v>44963.231944444444</v>
      </c>
      <c r="Q89" s="77" t="s">
        <v>481</v>
      </c>
      <c r="R89" s="77"/>
      <c r="S89" s="77"/>
      <c r="T89" s="77"/>
      <c r="U89" s="80" t="str">
        <f>HYPERLINK("https://pbs.twimg.com/media/FoQotsFWAAAdhoV.jpg")</f>
        <v>https://pbs.twimg.com/media/FoQotsFWAAAdhoV.jpg</v>
      </c>
      <c r="V89" s="80" t="str">
        <f>HYPERLINK("https://pbs.twimg.com/media/FoQotsFWAAAdhoV.jpg")</f>
        <v>https://pbs.twimg.com/media/FoQotsFWAAAdhoV.jpg</v>
      </c>
      <c r="W89" s="79">
        <v>44963.231944444444</v>
      </c>
      <c r="X89" s="84">
        <v>44963</v>
      </c>
      <c r="Y89" s="81" t="s">
        <v>633</v>
      </c>
      <c r="Z89" s="80" t="str">
        <f>HYPERLINK("https://twitter.com/glen1macdonald/status/1622468630133743616")</f>
        <v>https://twitter.com/glen1macdonald/status/1622468630133743616</v>
      </c>
      <c r="AA89" s="77"/>
      <c r="AB89" s="77"/>
      <c r="AC89" s="81" t="s">
        <v>789</v>
      </c>
      <c r="AD89" s="77"/>
      <c r="AE89" s="77" t="b">
        <v>0</v>
      </c>
      <c r="AF89" s="77">
        <v>1</v>
      </c>
      <c r="AG89" s="81" t="s">
        <v>916</v>
      </c>
      <c r="AH89" s="77" t="b">
        <v>0</v>
      </c>
      <c r="AI89" s="77" t="s">
        <v>950</v>
      </c>
      <c r="AJ89" s="77"/>
      <c r="AK89" s="81" t="s">
        <v>916</v>
      </c>
      <c r="AL89" s="77" t="b">
        <v>0</v>
      </c>
      <c r="AM89" s="77">
        <v>0</v>
      </c>
      <c r="AN89" s="81" t="s">
        <v>916</v>
      </c>
      <c r="AO89" s="81" t="s">
        <v>958</v>
      </c>
      <c r="AP89" s="77" t="b">
        <v>0</v>
      </c>
      <c r="AQ89" s="81" t="s">
        <v>789</v>
      </c>
      <c r="AR89" s="77" t="s">
        <v>207</v>
      </c>
      <c r="AS89" s="77">
        <v>0</v>
      </c>
      <c r="AT89" s="77">
        <v>0</v>
      </c>
      <c r="AU89" s="77"/>
      <c r="AV89" s="77"/>
      <c r="AW89" s="77"/>
      <c r="AX89" s="77"/>
      <c r="AY89" s="77"/>
      <c r="AZ89" s="77"/>
      <c r="BA89" s="77"/>
      <c r="BB89" s="77"/>
      <c r="BC89">
        <v>1</v>
      </c>
      <c r="BD89" s="76" t="str">
        <f>REPLACE(INDEX(GroupVertices[Group],MATCH(Edges[[#This Row],[Vertex 1]],GroupVertices[Vertex],0)),1,1,"")</f>
        <v>38</v>
      </c>
      <c r="BE89" s="76" t="str">
        <f>REPLACE(INDEX(GroupVertices[Group],MATCH(Edges[[#This Row],[Vertex 2]],GroupVertices[Vertex],0)),1,1,"")</f>
        <v>38</v>
      </c>
      <c r="BF89" s="31"/>
      <c r="BG89" s="31"/>
      <c r="BH89" s="31"/>
      <c r="BI89" s="31"/>
      <c r="BJ89" s="31"/>
      <c r="BK89" s="31"/>
      <c r="BL89" s="31"/>
      <c r="BM89" s="31"/>
      <c r="BN89" s="31"/>
    </row>
    <row r="90" spans="1:66" ht="15">
      <c r="A90" s="61" t="s">
        <v>299</v>
      </c>
      <c r="B90" s="61" t="s">
        <v>386</v>
      </c>
      <c r="C90" s="62"/>
      <c r="D90" s="63"/>
      <c r="E90" s="64"/>
      <c r="F90" s="65"/>
      <c r="G90" s="62"/>
      <c r="H90" s="66"/>
      <c r="I90" s="67"/>
      <c r="J90" s="67"/>
      <c r="K90" s="31" t="s">
        <v>65</v>
      </c>
      <c r="L90" s="75">
        <v>90</v>
      </c>
      <c r="M90" s="75"/>
      <c r="N90" s="69"/>
      <c r="O90" s="77" t="s">
        <v>446</v>
      </c>
      <c r="P90" s="79">
        <v>44959.508738425924</v>
      </c>
      <c r="Q90" s="77" t="s">
        <v>467</v>
      </c>
      <c r="R90" s="77"/>
      <c r="S90" s="77"/>
      <c r="T90" s="77"/>
      <c r="U90" s="80" t="str">
        <f>HYPERLINK("https://pbs.twimg.com/media/Fn9ffRRaEAA6LuC.jpg")</f>
        <v>https://pbs.twimg.com/media/Fn9ffRRaEAA6LuC.jpg</v>
      </c>
      <c r="V90" s="80" t="str">
        <f>HYPERLINK("https://pbs.twimg.com/media/Fn9ffRRaEAA6LuC.jpg")</f>
        <v>https://pbs.twimg.com/media/Fn9ffRRaEAA6LuC.jpg</v>
      </c>
      <c r="W90" s="79">
        <v>44959.508738425924</v>
      </c>
      <c r="X90" s="84">
        <v>44959</v>
      </c>
      <c r="Y90" s="81" t="s">
        <v>634</v>
      </c>
      <c r="Z90" s="80" t="str">
        <f>HYPERLINK("https://twitter.com/medbennett/status/1621119387997712386")</f>
        <v>https://twitter.com/medbennett/status/1621119387997712386</v>
      </c>
      <c r="AA90" s="77"/>
      <c r="AB90" s="77"/>
      <c r="AC90" s="81" t="s">
        <v>790</v>
      </c>
      <c r="AD90" s="81" t="s">
        <v>886</v>
      </c>
      <c r="AE90" s="77" t="b">
        <v>0</v>
      </c>
      <c r="AF90" s="77">
        <v>24</v>
      </c>
      <c r="AG90" s="81" t="s">
        <v>917</v>
      </c>
      <c r="AH90" s="77" t="b">
        <v>0</v>
      </c>
      <c r="AI90" s="77" t="s">
        <v>950</v>
      </c>
      <c r="AJ90" s="77"/>
      <c r="AK90" s="81" t="s">
        <v>916</v>
      </c>
      <c r="AL90" s="77" t="b">
        <v>0</v>
      </c>
      <c r="AM90" s="77">
        <v>10</v>
      </c>
      <c r="AN90" s="81" t="s">
        <v>916</v>
      </c>
      <c r="AO90" s="81" t="s">
        <v>957</v>
      </c>
      <c r="AP90" s="77" t="b">
        <v>0</v>
      </c>
      <c r="AQ90" s="81" t="s">
        <v>886</v>
      </c>
      <c r="AR90" s="77" t="s">
        <v>447</v>
      </c>
      <c r="AS90" s="77">
        <v>0</v>
      </c>
      <c r="AT90" s="77">
        <v>0</v>
      </c>
      <c r="AU90" s="77"/>
      <c r="AV90" s="77"/>
      <c r="AW90" s="77"/>
      <c r="AX90" s="77"/>
      <c r="AY90" s="77"/>
      <c r="AZ90" s="77"/>
      <c r="BA90" s="77"/>
      <c r="BB90" s="77"/>
      <c r="BC90">
        <v>1</v>
      </c>
      <c r="BD90" s="76" t="str">
        <f>REPLACE(INDEX(GroupVertices[Group],MATCH(Edges[[#This Row],[Vertex 1]],GroupVertices[Vertex],0)),1,1,"")</f>
        <v>2</v>
      </c>
      <c r="BE90" s="76" t="str">
        <f>REPLACE(INDEX(GroupVertices[Group],MATCH(Edges[[#This Row],[Vertex 2]],GroupVertices[Vertex],0)),1,1,"")</f>
        <v>2</v>
      </c>
      <c r="BF90" s="31"/>
      <c r="BG90" s="31"/>
      <c r="BH90" s="31"/>
      <c r="BI90" s="31"/>
      <c r="BJ90" s="31"/>
      <c r="BK90" s="31"/>
      <c r="BL90" s="31"/>
      <c r="BM90" s="31"/>
      <c r="BN90" s="31"/>
    </row>
    <row r="91" spans="1:66" ht="15">
      <c r="A91" s="61" t="s">
        <v>300</v>
      </c>
      <c r="B91" s="61" t="s">
        <v>300</v>
      </c>
      <c r="C91" s="62"/>
      <c r="D91" s="63"/>
      <c r="E91" s="64"/>
      <c r="F91" s="65"/>
      <c r="G91" s="62"/>
      <c r="H91" s="66"/>
      <c r="I91" s="67"/>
      <c r="J91" s="67"/>
      <c r="K91" s="31" t="s">
        <v>65</v>
      </c>
      <c r="L91" s="75">
        <v>91</v>
      </c>
      <c r="M91" s="75"/>
      <c r="N91" s="69"/>
      <c r="O91" s="77" t="s">
        <v>207</v>
      </c>
      <c r="P91" s="79">
        <v>44964.223599537036</v>
      </c>
      <c r="Q91" s="77" t="s">
        <v>482</v>
      </c>
      <c r="R91" s="80" t="str">
        <f>HYPERLINK("https://twitter.com/ronrule/status/1622768471376273408")</f>
        <v>https://twitter.com/ronrule/status/1622768471376273408</v>
      </c>
      <c r="S91" s="77" t="s">
        <v>551</v>
      </c>
      <c r="T91" s="77"/>
      <c r="U91" s="77"/>
      <c r="V91" s="80" t="str">
        <f>HYPERLINK("https://abs.twimg.com/sticky/default_profile_images/default_profile_normal.png")</f>
        <v>https://abs.twimg.com/sticky/default_profile_images/default_profile_normal.png</v>
      </c>
      <c r="W91" s="79">
        <v>44964.223599537036</v>
      </c>
      <c r="X91" s="84">
        <v>44964</v>
      </c>
      <c r="Y91" s="81" t="s">
        <v>635</v>
      </c>
      <c r="Z91" s="80" t="str">
        <f>HYPERLINK("https://twitter.com/rickhan/status/1622827996405981185")</f>
        <v>https://twitter.com/rickhan/status/1622827996405981185</v>
      </c>
      <c r="AA91" s="77"/>
      <c r="AB91" s="77"/>
      <c r="AC91" s="81" t="s">
        <v>791</v>
      </c>
      <c r="AD91" s="77"/>
      <c r="AE91" s="77" t="b">
        <v>0</v>
      </c>
      <c r="AF91" s="77">
        <v>0</v>
      </c>
      <c r="AG91" s="81" t="s">
        <v>916</v>
      </c>
      <c r="AH91" s="77" t="b">
        <v>1</v>
      </c>
      <c r="AI91" s="77" t="s">
        <v>950</v>
      </c>
      <c r="AJ91" s="77"/>
      <c r="AK91" s="81" t="s">
        <v>952</v>
      </c>
      <c r="AL91" s="77" t="b">
        <v>0</v>
      </c>
      <c r="AM91" s="77">
        <v>0</v>
      </c>
      <c r="AN91" s="81" t="s">
        <v>916</v>
      </c>
      <c r="AO91" s="81" t="s">
        <v>958</v>
      </c>
      <c r="AP91" s="77" t="b">
        <v>0</v>
      </c>
      <c r="AQ91" s="81" t="s">
        <v>791</v>
      </c>
      <c r="AR91" s="77" t="s">
        <v>207</v>
      </c>
      <c r="AS91" s="77">
        <v>0</v>
      </c>
      <c r="AT91" s="77">
        <v>0</v>
      </c>
      <c r="AU91" s="77"/>
      <c r="AV91" s="77"/>
      <c r="AW91" s="77"/>
      <c r="AX91" s="77"/>
      <c r="AY91" s="77"/>
      <c r="AZ91" s="77"/>
      <c r="BA91" s="77"/>
      <c r="BB91" s="77"/>
      <c r="BC91">
        <v>1</v>
      </c>
      <c r="BD91" s="76" t="str">
        <f>REPLACE(INDEX(GroupVertices[Group],MATCH(Edges[[#This Row],[Vertex 1]],GroupVertices[Vertex],0)),1,1,"")</f>
        <v>74</v>
      </c>
      <c r="BE91" s="76" t="str">
        <f>REPLACE(INDEX(GroupVertices[Group],MATCH(Edges[[#This Row],[Vertex 2]],GroupVertices[Vertex],0)),1,1,"")</f>
        <v>74</v>
      </c>
      <c r="BF91" s="31"/>
      <c r="BG91" s="31"/>
      <c r="BH91" s="31"/>
      <c r="BI91" s="31"/>
      <c r="BJ91" s="31"/>
      <c r="BK91" s="31"/>
      <c r="BL91" s="31"/>
      <c r="BM91" s="31"/>
      <c r="BN91" s="31"/>
    </row>
    <row r="92" spans="1:66" ht="15">
      <c r="A92" s="61" t="s">
        <v>301</v>
      </c>
      <c r="B92" s="61" t="s">
        <v>301</v>
      </c>
      <c r="C92" s="62"/>
      <c r="D92" s="63"/>
      <c r="E92" s="64"/>
      <c r="F92" s="65"/>
      <c r="G92" s="62"/>
      <c r="H92" s="66"/>
      <c r="I92" s="67"/>
      <c r="J92" s="67"/>
      <c r="K92" s="31" t="s">
        <v>65</v>
      </c>
      <c r="L92" s="75">
        <v>92</v>
      </c>
      <c r="M92" s="75"/>
      <c r="N92" s="69"/>
      <c r="O92" s="77" t="s">
        <v>207</v>
      </c>
      <c r="P92" s="79">
        <v>44960.926412037035</v>
      </c>
      <c r="Q92" s="77" t="s">
        <v>483</v>
      </c>
      <c r="R92" s="77"/>
      <c r="S92" s="77"/>
      <c r="T92" s="77"/>
      <c r="U92" s="77"/>
      <c r="V92" s="80" t="str">
        <f>HYPERLINK("https://pbs.twimg.com/profile_images/1592176988608937985/rKkkmrnk_normal.jpg")</f>
        <v>https://pbs.twimg.com/profile_images/1592176988608937985/rKkkmrnk_normal.jpg</v>
      </c>
      <c r="W92" s="79">
        <v>44960.926412037035</v>
      </c>
      <c r="X92" s="84">
        <v>44960</v>
      </c>
      <c r="Y92" s="81" t="s">
        <v>636</v>
      </c>
      <c r="Z92" s="80" t="str">
        <f>HYPERLINK("https://twitter.com/sababausa/status/1621633133316657158")</f>
        <v>https://twitter.com/sababausa/status/1621633133316657158</v>
      </c>
      <c r="AA92" s="77"/>
      <c r="AB92" s="77"/>
      <c r="AC92" s="81" t="s">
        <v>792</v>
      </c>
      <c r="AD92" s="81" t="s">
        <v>900</v>
      </c>
      <c r="AE92" s="77" t="b">
        <v>0</v>
      </c>
      <c r="AF92" s="77">
        <v>12</v>
      </c>
      <c r="AG92" s="81" t="s">
        <v>931</v>
      </c>
      <c r="AH92" s="77" t="b">
        <v>0</v>
      </c>
      <c r="AI92" s="77" t="s">
        <v>950</v>
      </c>
      <c r="AJ92" s="77"/>
      <c r="AK92" s="81" t="s">
        <v>916</v>
      </c>
      <c r="AL92" s="77" t="b">
        <v>0</v>
      </c>
      <c r="AM92" s="77">
        <v>1</v>
      </c>
      <c r="AN92" s="81" t="s">
        <v>916</v>
      </c>
      <c r="AO92" s="81" t="s">
        <v>958</v>
      </c>
      <c r="AP92" s="77" t="b">
        <v>0</v>
      </c>
      <c r="AQ92" s="81" t="s">
        <v>900</v>
      </c>
      <c r="AR92" s="77" t="s">
        <v>447</v>
      </c>
      <c r="AS92" s="77">
        <v>0</v>
      </c>
      <c r="AT92" s="77">
        <v>0</v>
      </c>
      <c r="AU92" s="77"/>
      <c r="AV92" s="77"/>
      <c r="AW92" s="77"/>
      <c r="AX92" s="77"/>
      <c r="AY92" s="77"/>
      <c r="AZ92" s="77"/>
      <c r="BA92" s="77"/>
      <c r="BB92" s="77"/>
      <c r="BC92">
        <v>1</v>
      </c>
      <c r="BD92" s="76" t="str">
        <f>REPLACE(INDEX(GroupVertices[Group],MATCH(Edges[[#This Row],[Vertex 1]],GroupVertices[Vertex],0)),1,1,"")</f>
        <v>37</v>
      </c>
      <c r="BE92" s="76" t="str">
        <f>REPLACE(INDEX(GroupVertices[Group],MATCH(Edges[[#This Row],[Vertex 2]],GroupVertices[Vertex],0)),1,1,"")</f>
        <v>37</v>
      </c>
      <c r="BF92" s="31"/>
      <c r="BG92" s="31"/>
      <c r="BH92" s="31"/>
      <c r="BI92" s="31"/>
      <c r="BJ92" s="31"/>
      <c r="BK92" s="31"/>
      <c r="BL92" s="31"/>
      <c r="BM92" s="31"/>
      <c r="BN92" s="31"/>
    </row>
    <row r="93" spans="1:66" ht="15">
      <c r="A93" s="61" t="s">
        <v>302</v>
      </c>
      <c r="B93" s="61" t="s">
        <v>301</v>
      </c>
      <c r="C93" s="62"/>
      <c r="D93" s="63"/>
      <c r="E93" s="64"/>
      <c r="F93" s="65"/>
      <c r="G93" s="62"/>
      <c r="H93" s="66"/>
      <c r="I93" s="67"/>
      <c r="J93" s="67"/>
      <c r="K93" s="31" t="s">
        <v>65</v>
      </c>
      <c r="L93" s="75">
        <v>93</v>
      </c>
      <c r="M93" s="75"/>
      <c r="N93" s="69"/>
      <c r="O93" s="77" t="s">
        <v>447</v>
      </c>
      <c r="P93" s="79">
        <v>44964.24016203704</v>
      </c>
      <c r="Q93" s="77" t="s">
        <v>483</v>
      </c>
      <c r="R93" s="77"/>
      <c r="S93" s="77"/>
      <c r="T93" s="77"/>
      <c r="U93" s="77"/>
      <c r="V93" s="80" t="str">
        <f>HYPERLINK("https://pbs.twimg.com/profile_images/1468114541196152835/F-ptyNrd_normal.png")</f>
        <v>https://pbs.twimg.com/profile_images/1468114541196152835/F-ptyNrd_normal.png</v>
      </c>
      <c r="W93" s="79">
        <v>44964.24016203704</v>
      </c>
      <c r="X93" s="84">
        <v>44964</v>
      </c>
      <c r="Y93" s="81" t="s">
        <v>637</v>
      </c>
      <c r="Z93" s="80" t="str">
        <f>HYPERLINK("https://twitter.com/jonatha04031958/status/1622833996479725568")</f>
        <v>https://twitter.com/jonatha04031958/status/1622833996479725568</v>
      </c>
      <c r="AA93" s="77"/>
      <c r="AB93" s="77"/>
      <c r="AC93" s="81" t="s">
        <v>793</v>
      </c>
      <c r="AD93" s="77"/>
      <c r="AE93" s="77" t="b">
        <v>0</v>
      </c>
      <c r="AF93" s="77">
        <v>0</v>
      </c>
      <c r="AG93" s="81" t="s">
        <v>916</v>
      </c>
      <c r="AH93" s="77" t="b">
        <v>0</v>
      </c>
      <c r="AI93" s="77" t="s">
        <v>950</v>
      </c>
      <c r="AJ93" s="77"/>
      <c r="AK93" s="81" t="s">
        <v>916</v>
      </c>
      <c r="AL93" s="77" t="b">
        <v>0</v>
      </c>
      <c r="AM93" s="77">
        <v>1</v>
      </c>
      <c r="AN93" s="81" t="s">
        <v>792</v>
      </c>
      <c r="AO93" s="81" t="s">
        <v>958</v>
      </c>
      <c r="AP93" s="77" t="b">
        <v>0</v>
      </c>
      <c r="AQ93" s="81" t="s">
        <v>792</v>
      </c>
      <c r="AR93" s="77" t="s">
        <v>207</v>
      </c>
      <c r="AS93" s="77">
        <v>0</v>
      </c>
      <c r="AT93" s="77">
        <v>0</v>
      </c>
      <c r="AU93" s="77"/>
      <c r="AV93" s="77"/>
      <c r="AW93" s="77"/>
      <c r="AX93" s="77"/>
      <c r="AY93" s="77"/>
      <c r="AZ93" s="77"/>
      <c r="BA93" s="77"/>
      <c r="BB93" s="77"/>
      <c r="BC93">
        <v>1</v>
      </c>
      <c r="BD93" s="76" t="str">
        <f>REPLACE(INDEX(GroupVertices[Group],MATCH(Edges[[#This Row],[Vertex 1]],GroupVertices[Vertex],0)),1,1,"")</f>
        <v>37</v>
      </c>
      <c r="BE93" s="76" t="str">
        <f>REPLACE(INDEX(GroupVertices[Group],MATCH(Edges[[#This Row],[Vertex 2]],GroupVertices[Vertex],0)),1,1,"")</f>
        <v>37</v>
      </c>
      <c r="BF93" s="31"/>
      <c r="BG93" s="31"/>
      <c r="BH93" s="31"/>
      <c r="BI93" s="31"/>
      <c r="BJ93" s="31"/>
      <c r="BK93" s="31"/>
      <c r="BL93" s="31"/>
      <c r="BM93" s="31"/>
      <c r="BN93" s="31"/>
    </row>
    <row r="94" spans="1:66" ht="15">
      <c r="A94" s="61" t="s">
        <v>303</v>
      </c>
      <c r="B94" s="61" t="s">
        <v>387</v>
      </c>
      <c r="C94" s="62"/>
      <c r="D94" s="63"/>
      <c r="E94" s="64"/>
      <c r="F94" s="65"/>
      <c r="G94" s="62"/>
      <c r="H94" s="66"/>
      <c r="I94" s="67"/>
      <c r="J94" s="67"/>
      <c r="K94" s="31" t="s">
        <v>65</v>
      </c>
      <c r="L94" s="75">
        <v>94</v>
      </c>
      <c r="M94" s="75"/>
      <c r="N94" s="69"/>
      <c r="O94" s="77" t="s">
        <v>445</v>
      </c>
      <c r="P94" s="79">
        <v>44964.26965277778</v>
      </c>
      <c r="Q94" s="77" t="s">
        <v>484</v>
      </c>
      <c r="R94" s="77"/>
      <c r="S94" s="77"/>
      <c r="T94" s="81" t="s">
        <v>565</v>
      </c>
      <c r="U94" s="80" t="str">
        <f>HYPERLINK("https://pbs.twimg.com/media/FoVxE1naAAA42qs.jpg")</f>
        <v>https://pbs.twimg.com/media/FoVxE1naAAA42qs.jpg</v>
      </c>
      <c r="V94" s="80" t="str">
        <f>HYPERLINK("https://pbs.twimg.com/media/FoVxE1naAAA42qs.jpg")</f>
        <v>https://pbs.twimg.com/media/FoVxE1naAAA42qs.jpg</v>
      </c>
      <c r="W94" s="79">
        <v>44964.26965277778</v>
      </c>
      <c r="X94" s="84">
        <v>44964</v>
      </c>
      <c r="Y94" s="81" t="s">
        <v>638</v>
      </c>
      <c r="Z94" s="80" t="str">
        <f>HYPERLINK("https://twitter.com/scott40162519/status/1622844685944336385")</f>
        <v>https://twitter.com/scott40162519/status/1622844685944336385</v>
      </c>
      <c r="AA94" s="77"/>
      <c r="AB94" s="77"/>
      <c r="AC94" s="81" t="s">
        <v>794</v>
      </c>
      <c r="AD94" s="77"/>
      <c r="AE94" s="77" t="b">
        <v>0</v>
      </c>
      <c r="AF94" s="77">
        <v>0</v>
      </c>
      <c r="AG94" s="81" t="s">
        <v>916</v>
      </c>
      <c r="AH94" s="77" t="b">
        <v>0</v>
      </c>
      <c r="AI94" s="77" t="s">
        <v>950</v>
      </c>
      <c r="AJ94" s="77"/>
      <c r="AK94" s="81" t="s">
        <v>916</v>
      </c>
      <c r="AL94" s="77" t="b">
        <v>0</v>
      </c>
      <c r="AM94" s="77">
        <v>4</v>
      </c>
      <c r="AN94" s="81" t="s">
        <v>806</v>
      </c>
      <c r="AO94" s="81" t="s">
        <v>959</v>
      </c>
      <c r="AP94" s="77" t="b">
        <v>0</v>
      </c>
      <c r="AQ94" s="81" t="s">
        <v>806</v>
      </c>
      <c r="AR94" s="77" t="s">
        <v>207</v>
      </c>
      <c r="AS94" s="77">
        <v>0</v>
      </c>
      <c r="AT94" s="77">
        <v>0</v>
      </c>
      <c r="AU94" s="77"/>
      <c r="AV94" s="77"/>
      <c r="AW94" s="77"/>
      <c r="AX94" s="77"/>
      <c r="AY94" s="77"/>
      <c r="AZ94" s="77"/>
      <c r="BA94" s="77"/>
      <c r="BB94" s="77"/>
      <c r="BC94">
        <v>1</v>
      </c>
      <c r="BD94" s="76" t="str">
        <f>REPLACE(INDEX(GroupVertices[Group],MATCH(Edges[[#This Row],[Vertex 1]],GroupVertices[Vertex],0)),1,1,"")</f>
        <v>2</v>
      </c>
      <c r="BE94" s="76" t="str">
        <f>REPLACE(INDEX(GroupVertices[Group],MATCH(Edges[[#This Row],[Vertex 2]],GroupVertices[Vertex],0)),1,1,"")</f>
        <v>2</v>
      </c>
      <c r="BF94" s="31"/>
      <c r="BG94" s="31"/>
      <c r="BH94" s="31"/>
      <c r="BI94" s="31"/>
      <c r="BJ94" s="31"/>
      <c r="BK94" s="31"/>
      <c r="BL94" s="31"/>
      <c r="BM94" s="31"/>
      <c r="BN94" s="31"/>
    </row>
    <row r="95" spans="1:66" ht="15">
      <c r="A95" s="61" t="s">
        <v>303</v>
      </c>
      <c r="B95" s="61" t="s">
        <v>299</v>
      </c>
      <c r="C95" s="62"/>
      <c r="D95" s="63"/>
      <c r="E95" s="64"/>
      <c r="F95" s="65"/>
      <c r="G95" s="62"/>
      <c r="H95" s="66"/>
      <c r="I95" s="67"/>
      <c r="J95" s="67"/>
      <c r="K95" s="31" t="s">
        <v>65</v>
      </c>
      <c r="L95" s="75">
        <v>95</v>
      </c>
      <c r="M95" s="75"/>
      <c r="N95" s="69"/>
      <c r="O95" s="77" t="s">
        <v>447</v>
      </c>
      <c r="P95" s="79">
        <v>44964.26965277778</v>
      </c>
      <c r="Q95" s="77" t="s">
        <v>484</v>
      </c>
      <c r="R95" s="77"/>
      <c r="S95" s="77"/>
      <c r="T95" s="81" t="s">
        <v>565</v>
      </c>
      <c r="U95" s="80" t="str">
        <f>HYPERLINK("https://pbs.twimg.com/media/FoVxE1naAAA42qs.jpg")</f>
        <v>https://pbs.twimg.com/media/FoVxE1naAAA42qs.jpg</v>
      </c>
      <c r="V95" s="80" t="str">
        <f>HYPERLINK("https://pbs.twimg.com/media/FoVxE1naAAA42qs.jpg")</f>
        <v>https://pbs.twimg.com/media/FoVxE1naAAA42qs.jpg</v>
      </c>
      <c r="W95" s="79">
        <v>44964.26965277778</v>
      </c>
      <c r="X95" s="84">
        <v>44964</v>
      </c>
      <c r="Y95" s="81" t="s">
        <v>638</v>
      </c>
      <c r="Z95" s="80" t="str">
        <f>HYPERLINK("https://twitter.com/scott40162519/status/1622844685944336385")</f>
        <v>https://twitter.com/scott40162519/status/1622844685944336385</v>
      </c>
      <c r="AA95" s="77"/>
      <c r="AB95" s="77"/>
      <c r="AC95" s="81" t="s">
        <v>794</v>
      </c>
      <c r="AD95" s="77"/>
      <c r="AE95" s="77" t="b">
        <v>0</v>
      </c>
      <c r="AF95" s="77">
        <v>0</v>
      </c>
      <c r="AG95" s="81" t="s">
        <v>916</v>
      </c>
      <c r="AH95" s="77" t="b">
        <v>0</v>
      </c>
      <c r="AI95" s="77" t="s">
        <v>950</v>
      </c>
      <c r="AJ95" s="77"/>
      <c r="AK95" s="81" t="s">
        <v>916</v>
      </c>
      <c r="AL95" s="77" t="b">
        <v>0</v>
      </c>
      <c r="AM95" s="77">
        <v>4</v>
      </c>
      <c r="AN95" s="81" t="s">
        <v>806</v>
      </c>
      <c r="AO95" s="81" t="s">
        <v>959</v>
      </c>
      <c r="AP95" s="77" t="b">
        <v>0</v>
      </c>
      <c r="AQ95" s="81" t="s">
        <v>806</v>
      </c>
      <c r="AR95" s="77" t="s">
        <v>207</v>
      </c>
      <c r="AS95" s="77">
        <v>0</v>
      </c>
      <c r="AT95" s="77">
        <v>0</v>
      </c>
      <c r="AU95" s="77"/>
      <c r="AV95" s="77"/>
      <c r="AW95" s="77"/>
      <c r="AX95" s="77"/>
      <c r="AY95" s="77"/>
      <c r="AZ95" s="77"/>
      <c r="BA95" s="77"/>
      <c r="BB95" s="77"/>
      <c r="BC95">
        <v>1</v>
      </c>
      <c r="BD95" s="76" t="str">
        <f>REPLACE(INDEX(GroupVertices[Group],MATCH(Edges[[#This Row],[Vertex 1]],GroupVertices[Vertex],0)),1,1,"")</f>
        <v>2</v>
      </c>
      <c r="BE95" s="76" t="str">
        <f>REPLACE(INDEX(GroupVertices[Group],MATCH(Edges[[#This Row],[Vertex 2]],GroupVertices[Vertex],0)),1,1,"")</f>
        <v>2</v>
      </c>
      <c r="BF95" s="31"/>
      <c r="BG95" s="31"/>
      <c r="BH95" s="31"/>
      <c r="BI95" s="31"/>
      <c r="BJ95" s="31"/>
      <c r="BK95" s="31"/>
      <c r="BL95" s="31"/>
      <c r="BM95" s="31"/>
      <c r="BN95" s="31"/>
    </row>
    <row r="96" spans="1:66" ht="15">
      <c r="A96" s="61" t="s">
        <v>303</v>
      </c>
      <c r="B96" s="61" t="s">
        <v>408</v>
      </c>
      <c r="C96" s="62"/>
      <c r="D96" s="63"/>
      <c r="E96" s="64"/>
      <c r="F96" s="65"/>
      <c r="G96" s="62"/>
      <c r="H96" s="66"/>
      <c r="I96" s="67"/>
      <c r="J96" s="67"/>
      <c r="K96" s="31" t="s">
        <v>65</v>
      </c>
      <c r="L96" s="75">
        <v>96</v>
      </c>
      <c r="M96" s="75"/>
      <c r="N96" s="69"/>
      <c r="O96" s="77" t="s">
        <v>446</v>
      </c>
      <c r="P96" s="79">
        <v>44964.26965277778</v>
      </c>
      <c r="Q96" s="77" t="s">
        <v>484</v>
      </c>
      <c r="R96" s="77"/>
      <c r="S96" s="77"/>
      <c r="T96" s="81" t="s">
        <v>565</v>
      </c>
      <c r="U96" s="80" t="str">
        <f>HYPERLINK("https://pbs.twimg.com/media/FoVxE1naAAA42qs.jpg")</f>
        <v>https://pbs.twimg.com/media/FoVxE1naAAA42qs.jpg</v>
      </c>
      <c r="V96" s="80" t="str">
        <f>HYPERLINK("https://pbs.twimg.com/media/FoVxE1naAAA42qs.jpg")</f>
        <v>https://pbs.twimg.com/media/FoVxE1naAAA42qs.jpg</v>
      </c>
      <c r="W96" s="79">
        <v>44964.26965277778</v>
      </c>
      <c r="X96" s="84">
        <v>44964</v>
      </c>
      <c r="Y96" s="81" t="s">
        <v>638</v>
      </c>
      <c r="Z96" s="80" t="str">
        <f>HYPERLINK("https://twitter.com/scott40162519/status/1622844685944336385")</f>
        <v>https://twitter.com/scott40162519/status/1622844685944336385</v>
      </c>
      <c r="AA96" s="77"/>
      <c r="AB96" s="77"/>
      <c r="AC96" s="81" t="s">
        <v>794</v>
      </c>
      <c r="AD96" s="77"/>
      <c r="AE96" s="77" t="b">
        <v>0</v>
      </c>
      <c r="AF96" s="77">
        <v>0</v>
      </c>
      <c r="AG96" s="81" t="s">
        <v>916</v>
      </c>
      <c r="AH96" s="77" t="b">
        <v>0</v>
      </c>
      <c r="AI96" s="77" t="s">
        <v>950</v>
      </c>
      <c r="AJ96" s="77"/>
      <c r="AK96" s="81" t="s">
        <v>916</v>
      </c>
      <c r="AL96" s="77" t="b">
        <v>0</v>
      </c>
      <c r="AM96" s="77">
        <v>4</v>
      </c>
      <c r="AN96" s="81" t="s">
        <v>806</v>
      </c>
      <c r="AO96" s="81" t="s">
        <v>959</v>
      </c>
      <c r="AP96" s="77" t="b">
        <v>0</v>
      </c>
      <c r="AQ96" s="81" t="s">
        <v>806</v>
      </c>
      <c r="AR96" s="77" t="s">
        <v>207</v>
      </c>
      <c r="AS96" s="77">
        <v>0</v>
      </c>
      <c r="AT96" s="77">
        <v>0</v>
      </c>
      <c r="AU96" s="77"/>
      <c r="AV96" s="77"/>
      <c r="AW96" s="77"/>
      <c r="AX96" s="77"/>
      <c r="AY96" s="77"/>
      <c r="AZ96" s="77"/>
      <c r="BA96" s="77"/>
      <c r="BB96" s="77"/>
      <c r="BC96">
        <v>1</v>
      </c>
      <c r="BD96" s="76" t="str">
        <f>REPLACE(INDEX(GroupVertices[Group],MATCH(Edges[[#This Row],[Vertex 1]],GroupVertices[Vertex],0)),1,1,"")</f>
        <v>2</v>
      </c>
      <c r="BE96" s="76" t="str">
        <f>REPLACE(INDEX(GroupVertices[Group],MATCH(Edges[[#This Row],[Vertex 2]],GroupVertices[Vertex],0)),1,1,"")</f>
        <v>2</v>
      </c>
      <c r="BF96" s="31"/>
      <c r="BG96" s="31"/>
      <c r="BH96" s="31"/>
      <c r="BI96" s="31"/>
      <c r="BJ96" s="31"/>
      <c r="BK96" s="31"/>
      <c r="BL96" s="31"/>
      <c r="BM96" s="31"/>
      <c r="BN96" s="31"/>
    </row>
    <row r="97" spans="1:66" ht="15">
      <c r="A97" s="61" t="s">
        <v>304</v>
      </c>
      <c r="B97" s="61" t="s">
        <v>304</v>
      </c>
      <c r="C97" s="62"/>
      <c r="D97" s="63"/>
      <c r="E97" s="64"/>
      <c r="F97" s="65"/>
      <c r="G97" s="62"/>
      <c r="H97" s="66"/>
      <c r="I97" s="67"/>
      <c r="J97" s="67"/>
      <c r="K97" s="31" t="s">
        <v>65</v>
      </c>
      <c r="L97" s="75">
        <v>97</v>
      </c>
      <c r="M97" s="75"/>
      <c r="N97" s="69"/>
      <c r="O97" s="77" t="s">
        <v>207</v>
      </c>
      <c r="P97" s="79">
        <v>44964.06445601852</v>
      </c>
      <c r="Q97" s="77" t="s">
        <v>478</v>
      </c>
      <c r="R97" s="80" t="str">
        <f>HYPERLINK("https://www.comedyfestival.com.au/2023/shows/is-climate-change-funny-yet")</f>
        <v>https://www.comedyfestival.com.au/2023/shows/is-climate-change-funny-yet</v>
      </c>
      <c r="S97" s="77" t="s">
        <v>552</v>
      </c>
      <c r="T97" s="77"/>
      <c r="U97" s="80" t="str">
        <f>HYPERLINK("https://pbs.twimg.com/ext_tw_video_thumb/1622770273799016448/pu/img/WiiQqBJNjv10uADh.jpg")</f>
        <v>https://pbs.twimg.com/ext_tw_video_thumb/1622770273799016448/pu/img/WiiQqBJNjv10uADh.jpg</v>
      </c>
      <c r="V97" s="80" t="str">
        <f>HYPERLINK("https://pbs.twimg.com/ext_tw_video_thumb/1622770273799016448/pu/img/WiiQqBJNjv10uADh.jpg")</f>
        <v>https://pbs.twimg.com/ext_tw_video_thumb/1622770273799016448/pu/img/WiiQqBJNjv10uADh.jpg</v>
      </c>
      <c r="W97" s="79">
        <v>44964.06445601852</v>
      </c>
      <c r="X97" s="84">
        <v>44964</v>
      </c>
      <c r="Y97" s="81" t="s">
        <v>639</v>
      </c>
      <c r="Z97" s="80" t="str">
        <f>HYPERLINK("https://twitter.com/tim_batt/status/1622770323157573632")</f>
        <v>https://twitter.com/tim_batt/status/1622770323157573632</v>
      </c>
      <c r="AA97" s="77"/>
      <c r="AB97" s="77"/>
      <c r="AC97" s="81" t="s">
        <v>795</v>
      </c>
      <c r="AD97" s="77"/>
      <c r="AE97" s="77" t="b">
        <v>0</v>
      </c>
      <c r="AF97" s="77">
        <v>24</v>
      </c>
      <c r="AG97" s="81" t="s">
        <v>916</v>
      </c>
      <c r="AH97" s="77" t="b">
        <v>0</v>
      </c>
      <c r="AI97" s="77" t="s">
        <v>950</v>
      </c>
      <c r="AJ97" s="77"/>
      <c r="AK97" s="81" t="s">
        <v>916</v>
      </c>
      <c r="AL97" s="77" t="b">
        <v>0</v>
      </c>
      <c r="AM97" s="77">
        <v>2</v>
      </c>
      <c r="AN97" s="81" t="s">
        <v>916</v>
      </c>
      <c r="AO97" s="81" t="s">
        <v>959</v>
      </c>
      <c r="AP97" s="77" t="b">
        <v>0</v>
      </c>
      <c r="AQ97" s="81" t="s">
        <v>795</v>
      </c>
      <c r="AR97" s="77" t="s">
        <v>207</v>
      </c>
      <c r="AS97" s="77">
        <v>0</v>
      </c>
      <c r="AT97" s="77">
        <v>0</v>
      </c>
      <c r="AU97" s="77"/>
      <c r="AV97" s="77"/>
      <c r="AW97" s="77"/>
      <c r="AX97" s="77"/>
      <c r="AY97" s="77"/>
      <c r="AZ97" s="77"/>
      <c r="BA97" s="77"/>
      <c r="BB97" s="77"/>
      <c r="BC97">
        <v>1</v>
      </c>
      <c r="BD97" s="76" t="str">
        <f>REPLACE(INDEX(GroupVertices[Group],MATCH(Edges[[#This Row],[Vertex 1]],GroupVertices[Vertex],0)),1,1,"")</f>
        <v>20</v>
      </c>
      <c r="BE97" s="76" t="str">
        <f>REPLACE(INDEX(GroupVertices[Group],MATCH(Edges[[#This Row],[Vertex 2]],GroupVertices[Vertex],0)),1,1,"")</f>
        <v>20</v>
      </c>
      <c r="BF97" s="31"/>
      <c r="BG97" s="31"/>
      <c r="BH97" s="31"/>
      <c r="BI97" s="31"/>
      <c r="BJ97" s="31"/>
      <c r="BK97" s="31"/>
      <c r="BL97" s="31"/>
      <c r="BM97" s="31"/>
      <c r="BN97" s="31"/>
    </row>
    <row r="98" spans="1:66" ht="15">
      <c r="A98" s="61" t="s">
        <v>305</v>
      </c>
      <c r="B98" s="61" t="s">
        <v>304</v>
      </c>
      <c r="C98" s="62"/>
      <c r="D98" s="63"/>
      <c r="E98" s="64"/>
      <c r="F98" s="65"/>
      <c r="G98" s="62"/>
      <c r="H98" s="66"/>
      <c r="I98" s="67"/>
      <c r="J98" s="67"/>
      <c r="K98" s="31" t="s">
        <v>65</v>
      </c>
      <c r="L98" s="75">
        <v>98</v>
      </c>
      <c r="M98" s="75"/>
      <c r="N98" s="69"/>
      <c r="O98" s="77" t="s">
        <v>447</v>
      </c>
      <c r="P98" s="79">
        <v>44964.28053240741</v>
      </c>
      <c r="Q98" s="77" t="s">
        <v>478</v>
      </c>
      <c r="R98" s="80" t="str">
        <f>HYPERLINK("https://www.comedyfestival.com.au/2023/shows/is-climate-change-funny-yet")</f>
        <v>https://www.comedyfestival.com.au/2023/shows/is-climate-change-funny-yet</v>
      </c>
      <c r="S98" s="77" t="s">
        <v>552</v>
      </c>
      <c r="T98" s="77"/>
      <c r="U98" s="80" t="str">
        <f>HYPERLINK("https://pbs.twimg.com/ext_tw_video_thumb/1622770273799016448/pu/img/WiiQqBJNjv10uADh.jpg")</f>
        <v>https://pbs.twimg.com/ext_tw_video_thumb/1622770273799016448/pu/img/WiiQqBJNjv10uADh.jpg</v>
      </c>
      <c r="V98" s="80" t="str">
        <f>HYPERLINK("https://pbs.twimg.com/ext_tw_video_thumb/1622770273799016448/pu/img/WiiQqBJNjv10uADh.jpg")</f>
        <v>https://pbs.twimg.com/ext_tw_video_thumb/1622770273799016448/pu/img/WiiQqBJNjv10uADh.jpg</v>
      </c>
      <c r="W98" s="79">
        <v>44964.28053240741</v>
      </c>
      <c r="X98" s="84">
        <v>44964</v>
      </c>
      <c r="Y98" s="81" t="s">
        <v>640</v>
      </c>
      <c r="Z98" s="80" t="str">
        <f>HYPERLINK("https://twitter.com/teradar/status/1622848626933334019")</f>
        <v>https://twitter.com/teradar/status/1622848626933334019</v>
      </c>
      <c r="AA98" s="77"/>
      <c r="AB98" s="77"/>
      <c r="AC98" s="81" t="s">
        <v>796</v>
      </c>
      <c r="AD98" s="77"/>
      <c r="AE98" s="77" t="b">
        <v>0</v>
      </c>
      <c r="AF98" s="77">
        <v>0</v>
      </c>
      <c r="AG98" s="81" t="s">
        <v>916</v>
      </c>
      <c r="AH98" s="77" t="b">
        <v>0</v>
      </c>
      <c r="AI98" s="77" t="s">
        <v>950</v>
      </c>
      <c r="AJ98" s="77"/>
      <c r="AK98" s="81" t="s">
        <v>916</v>
      </c>
      <c r="AL98" s="77" t="b">
        <v>0</v>
      </c>
      <c r="AM98" s="77">
        <v>2</v>
      </c>
      <c r="AN98" s="81" t="s">
        <v>795</v>
      </c>
      <c r="AO98" s="81" t="s">
        <v>957</v>
      </c>
      <c r="AP98" s="77" t="b">
        <v>0</v>
      </c>
      <c r="AQ98" s="81" t="s">
        <v>795</v>
      </c>
      <c r="AR98" s="77" t="s">
        <v>207</v>
      </c>
      <c r="AS98" s="77">
        <v>0</v>
      </c>
      <c r="AT98" s="77">
        <v>0</v>
      </c>
      <c r="AU98" s="77"/>
      <c r="AV98" s="77"/>
      <c r="AW98" s="77"/>
      <c r="AX98" s="77"/>
      <c r="AY98" s="77"/>
      <c r="AZ98" s="77"/>
      <c r="BA98" s="77"/>
      <c r="BB98" s="77"/>
      <c r="BC98">
        <v>1</v>
      </c>
      <c r="BD98" s="76" t="str">
        <f>REPLACE(INDEX(GroupVertices[Group],MATCH(Edges[[#This Row],[Vertex 1]],GroupVertices[Vertex],0)),1,1,"")</f>
        <v>20</v>
      </c>
      <c r="BE98" s="76" t="str">
        <f>REPLACE(INDEX(GroupVertices[Group],MATCH(Edges[[#This Row],[Vertex 2]],GroupVertices[Vertex],0)),1,1,"")</f>
        <v>20</v>
      </c>
      <c r="BF98" s="31"/>
      <c r="BG98" s="31"/>
      <c r="BH98" s="31"/>
      <c r="BI98" s="31"/>
      <c r="BJ98" s="31"/>
      <c r="BK98" s="31"/>
      <c r="BL98" s="31"/>
      <c r="BM98" s="31"/>
      <c r="BN98" s="31"/>
    </row>
    <row r="99" spans="1:66" ht="15">
      <c r="A99" s="61" t="s">
        <v>306</v>
      </c>
      <c r="B99" s="61" t="s">
        <v>409</v>
      </c>
      <c r="C99" s="62"/>
      <c r="D99" s="63"/>
      <c r="E99" s="64"/>
      <c r="F99" s="65"/>
      <c r="G99" s="62"/>
      <c r="H99" s="66"/>
      <c r="I99" s="67"/>
      <c r="J99" s="67"/>
      <c r="K99" s="31" t="s">
        <v>65</v>
      </c>
      <c r="L99" s="75">
        <v>99</v>
      </c>
      <c r="M99" s="75"/>
      <c r="N99" s="69"/>
      <c r="O99" s="77" t="s">
        <v>445</v>
      </c>
      <c r="P99" s="79">
        <v>44964.30267361111</v>
      </c>
      <c r="Q99" s="77" t="s">
        <v>485</v>
      </c>
      <c r="R99" s="77"/>
      <c r="S99" s="77"/>
      <c r="T99" s="81" t="s">
        <v>428</v>
      </c>
      <c r="U99" s="80" t="str">
        <f>HYPERLINK("https://pbs.twimg.com/ext_tw_video_thumb/1622340666909925377/pu/img/sV4yap2ySTftwPo5.jpg")</f>
        <v>https://pbs.twimg.com/ext_tw_video_thumb/1622340666909925377/pu/img/sV4yap2ySTftwPo5.jpg</v>
      </c>
      <c r="V99" s="80" t="str">
        <f>HYPERLINK("https://pbs.twimg.com/ext_tw_video_thumb/1622340666909925377/pu/img/sV4yap2ySTftwPo5.jpg")</f>
        <v>https://pbs.twimg.com/ext_tw_video_thumb/1622340666909925377/pu/img/sV4yap2ySTftwPo5.jpg</v>
      </c>
      <c r="W99" s="79">
        <v>44964.30267361111</v>
      </c>
      <c r="X99" s="84">
        <v>44964</v>
      </c>
      <c r="Y99" s="81" t="s">
        <v>641</v>
      </c>
      <c r="Z99" s="80" t="str">
        <f>HYPERLINK("https://twitter.com/kashelford/status/1622856649286500353")</f>
        <v>https://twitter.com/kashelford/status/1622856649286500353</v>
      </c>
      <c r="AA99" s="77"/>
      <c r="AB99" s="77"/>
      <c r="AC99" s="81" t="s">
        <v>797</v>
      </c>
      <c r="AD99" s="77"/>
      <c r="AE99" s="77" t="b">
        <v>0</v>
      </c>
      <c r="AF99" s="77">
        <v>0</v>
      </c>
      <c r="AG99" s="81" t="s">
        <v>916</v>
      </c>
      <c r="AH99" s="77" t="b">
        <v>0</v>
      </c>
      <c r="AI99" s="77" t="s">
        <v>950</v>
      </c>
      <c r="AJ99" s="77"/>
      <c r="AK99" s="81" t="s">
        <v>916</v>
      </c>
      <c r="AL99" s="77" t="b">
        <v>0</v>
      </c>
      <c r="AM99" s="77">
        <v>1</v>
      </c>
      <c r="AN99" s="81" t="s">
        <v>818</v>
      </c>
      <c r="AO99" s="81" t="s">
        <v>957</v>
      </c>
      <c r="AP99" s="77" t="b">
        <v>0</v>
      </c>
      <c r="AQ99" s="81" t="s">
        <v>818</v>
      </c>
      <c r="AR99" s="77" t="s">
        <v>207</v>
      </c>
      <c r="AS99" s="77">
        <v>0</v>
      </c>
      <c r="AT99" s="77">
        <v>0</v>
      </c>
      <c r="AU99" s="77"/>
      <c r="AV99" s="77"/>
      <c r="AW99" s="77"/>
      <c r="AX99" s="77"/>
      <c r="AY99" s="77"/>
      <c r="AZ99" s="77"/>
      <c r="BA99" s="77"/>
      <c r="BB99" s="77"/>
      <c r="BC99">
        <v>1</v>
      </c>
      <c r="BD99" s="76" t="str">
        <f>REPLACE(INDEX(GroupVertices[Group],MATCH(Edges[[#This Row],[Vertex 1]],GroupVertices[Vertex],0)),1,1,"")</f>
        <v>3</v>
      </c>
      <c r="BE99" s="76" t="str">
        <f>REPLACE(INDEX(GroupVertices[Group],MATCH(Edges[[#This Row],[Vertex 2]],GroupVertices[Vertex],0)),1,1,"")</f>
        <v>3</v>
      </c>
      <c r="BF99" s="31"/>
      <c r="BG99" s="31"/>
      <c r="BH99" s="31"/>
      <c r="BI99" s="31"/>
      <c r="BJ99" s="31"/>
      <c r="BK99" s="31"/>
      <c r="BL99" s="31"/>
      <c r="BM99" s="31"/>
      <c r="BN99" s="31"/>
    </row>
    <row r="100" spans="1:66" ht="15">
      <c r="A100" s="61" t="s">
        <v>306</v>
      </c>
      <c r="B100" s="61" t="s">
        <v>410</v>
      </c>
      <c r="C100" s="62"/>
      <c r="D100" s="63"/>
      <c r="E100" s="64"/>
      <c r="F100" s="65"/>
      <c r="G100" s="62"/>
      <c r="H100" s="66"/>
      <c r="I100" s="67"/>
      <c r="J100" s="67"/>
      <c r="K100" s="31" t="s">
        <v>65</v>
      </c>
      <c r="L100" s="75">
        <v>100</v>
      </c>
      <c r="M100" s="75"/>
      <c r="N100" s="69"/>
      <c r="O100" s="77" t="s">
        <v>445</v>
      </c>
      <c r="P100" s="79">
        <v>44964.30267361111</v>
      </c>
      <c r="Q100" s="77" t="s">
        <v>485</v>
      </c>
      <c r="R100" s="77"/>
      <c r="S100" s="77"/>
      <c r="T100" s="81" t="s">
        <v>428</v>
      </c>
      <c r="U100" s="80" t="str">
        <f>HYPERLINK("https://pbs.twimg.com/ext_tw_video_thumb/1622340666909925377/pu/img/sV4yap2ySTftwPo5.jpg")</f>
        <v>https://pbs.twimg.com/ext_tw_video_thumb/1622340666909925377/pu/img/sV4yap2ySTftwPo5.jpg</v>
      </c>
      <c r="V100" s="80" t="str">
        <f>HYPERLINK("https://pbs.twimg.com/ext_tw_video_thumb/1622340666909925377/pu/img/sV4yap2ySTftwPo5.jpg")</f>
        <v>https://pbs.twimg.com/ext_tw_video_thumb/1622340666909925377/pu/img/sV4yap2ySTftwPo5.jpg</v>
      </c>
      <c r="W100" s="79">
        <v>44964.30267361111</v>
      </c>
      <c r="X100" s="84">
        <v>44964</v>
      </c>
      <c r="Y100" s="81" t="s">
        <v>641</v>
      </c>
      <c r="Z100" s="80" t="str">
        <f>HYPERLINK("https://twitter.com/kashelford/status/1622856649286500353")</f>
        <v>https://twitter.com/kashelford/status/1622856649286500353</v>
      </c>
      <c r="AA100" s="77"/>
      <c r="AB100" s="77"/>
      <c r="AC100" s="81" t="s">
        <v>797</v>
      </c>
      <c r="AD100" s="77"/>
      <c r="AE100" s="77" t="b">
        <v>0</v>
      </c>
      <c r="AF100" s="77">
        <v>0</v>
      </c>
      <c r="AG100" s="81" t="s">
        <v>916</v>
      </c>
      <c r="AH100" s="77" t="b">
        <v>0</v>
      </c>
      <c r="AI100" s="77" t="s">
        <v>950</v>
      </c>
      <c r="AJ100" s="77"/>
      <c r="AK100" s="81" t="s">
        <v>916</v>
      </c>
      <c r="AL100" s="77" t="b">
        <v>0</v>
      </c>
      <c r="AM100" s="77">
        <v>1</v>
      </c>
      <c r="AN100" s="81" t="s">
        <v>818</v>
      </c>
      <c r="AO100" s="81" t="s">
        <v>957</v>
      </c>
      <c r="AP100" s="77" t="b">
        <v>0</v>
      </c>
      <c r="AQ100" s="81" t="s">
        <v>818</v>
      </c>
      <c r="AR100" s="77" t="s">
        <v>207</v>
      </c>
      <c r="AS100" s="77">
        <v>0</v>
      </c>
      <c r="AT100" s="77">
        <v>0</v>
      </c>
      <c r="AU100" s="77"/>
      <c r="AV100" s="77"/>
      <c r="AW100" s="77"/>
      <c r="AX100" s="77"/>
      <c r="AY100" s="77"/>
      <c r="AZ100" s="77"/>
      <c r="BA100" s="77"/>
      <c r="BB100" s="77"/>
      <c r="BC100">
        <v>1</v>
      </c>
      <c r="BD100" s="76" t="str">
        <f>REPLACE(INDEX(GroupVertices[Group],MATCH(Edges[[#This Row],[Vertex 1]],GroupVertices[Vertex],0)),1,1,"")</f>
        <v>3</v>
      </c>
      <c r="BE100" s="76" t="str">
        <f>REPLACE(INDEX(GroupVertices[Group],MATCH(Edges[[#This Row],[Vertex 2]],GroupVertices[Vertex],0)),1,1,"")</f>
        <v>3</v>
      </c>
      <c r="BF100" s="31"/>
      <c r="BG100" s="31"/>
      <c r="BH100" s="31"/>
      <c r="BI100" s="31"/>
      <c r="BJ100" s="31"/>
      <c r="BK100" s="31"/>
      <c r="BL100" s="31"/>
      <c r="BM100" s="31"/>
      <c r="BN100" s="31"/>
    </row>
    <row r="101" spans="1:66" ht="15">
      <c r="A101" s="61" t="s">
        <v>306</v>
      </c>
      <c r="B101" s="61" t="s">
        <v>323</v>
      </c>
      <c r="C101" s="62"/>
      <c r="D101" s="63"/>
      <c r="E101" s="64"/>
      <c r="F101" s="65"/>
      <c r="G101" s="62"/>
      <c r="H101" s="66"/>
      <c r="I101" s="67"/>
      <c r="J101" s="67"/>
      <c r="K101" s="31" t="s">
        <v>65</v>
      </c>
      <c r="L101" s="75">
        <v>101</v>
      </c>
      <c r="M101" s="75"/>
      <c r="N101" s="69"/>
      <c r="O101" s="77" t="s">
        <v>447</v>
      </c>
      <c r="P101" s="79">
        <v>44964.30267361111</v>
      </c>
      <c r="Q101" s="77" t="s">
        <v>485</v>
      </c>
      <c r="R101" s="77"/>
      <c r="S101" s="77"/>
      <c r="T101" s="81" t="s">
        <v>428</v>
      </c>
      <c r="U101" s="80" t="str">
        <f>HYPERLINK("https://pbs.twimg.com/ext_tw_video_thumb/1622340666909925377/pu/img/sV4yap2ySTftwPo5.jpg")</f>
        <v>https://pbs.twimg.com/ext_tw_video_thumb/1622340666909925377/pu/img/sV4yap2ySTftwPo5.jpg</v>
      </c>
      <c r="V101" s="80" t="str">
        <f>HYPERLINK("https://pbs.twimg.com/ext_tw_video_thumb/1622340666909925377/pu/img/sV4yap2ySTftwPo5.jpg")</f>
        <v>https://pbs.twimg.com/ext_tw_video_thumb/1622340666909925377/pu/img/sV4yap2ySTftwPo5.jpg</v>
      </c>
      <c r="W101" s="79">
        <v>44964.30267361111</v>
      </c>
      <c r="X101" s="84">
        <v>44964</v>
      </c>
      <c r="Y101" s="81" t="s">
        <v>641</v>
      </c>
      <c r="Z101" s="80" t="str">
        <f>HYPERLINK("https://twitter.com/kashelford/status/1622856649286500353")</f>
        <v>https://twitter.com/kashelford/status/1622856649286500353</v>
      </c>
      <c r="AA101" s="77"/>
      <c r="AB101" s="77"/>
      <c r="AC101" s="81" t="s">
        <v>797</v>
      </c>
      <c r="AD101" s="77"/>
      <c r="AE101" s="77" t="b">
        <v>0</v>
      </c>
      <c r="AF101" s="77">
        <v>0</v>
      </c>
      <c r="AG101" s="81" t="s">
        <v>916</v>
      </c>
      <c r="AH101" s="77" t="b">
        <v>0</v>
      </c>
      <c r="AI101" s="77" t="s">
        <v>950</v>
      </c>
      <c r="AJ101" s="77"/>
      <c r="AK101" s="81" t="s">
        <v>916</v>
      </c>
      <c r="AL101" s="77" t="b">
        <v>0</v>
      </c>
      <c r="AM101" s="77">
        <v>1</v>
      </c>
      <c r="AN101" s="81" t="s">
        <v>818</v>
      </c>
      <c r="AO101" s="81" t="s">
        <v>957</v>
      </c>
      <c r="AP101" s="77" t="b">
        <v>0</v>
      </c>
      <c r="AQ101" s="81" t="s">
        <v>818</v>
      </c>
      <c r="AR101" s="77" t="s">
        <v>207</v>
      </c>
      <c r="AS101" s="77">
        <v>0</v>
      </c>
      <c r="AT101" s="77">
        <v>0</v>
      </c>
      <c r="AU101" s="77"/>
      <c r="AV101" s="77"/>
      <c r="AW101" s="77"/>
      <c r="AX101" s="77"/>
      <c r="AY101" s="77"/>
      <c r="AZ101" s="77"/>
      <c r="BA101" s="77"/>
      <c r="BB101" s="77"/>
      <c r="BC101">
        <v>1</v>
      </c>
      <c r="BD101" s="76" t="str">
        <f>REPLACE(INDEX(GroupVertices[Group],MATCH(Edges[[#This Row],[Vertex 1]],GroupVertices[Vertex],0)),1,1,"")</f>
        <v>3</v>
      </c>
      <c r="BE101" s="76" t="str">
        <f>REPLACE(INDEX(GroupVertices[Group],MATCH(Edges[[#This Row],[Vertex 2]],GroupVertices[Vertex],0)),1,1,"")</f>
        <v>3</v>
      </c>
      <c r="BF101" s="31"/>
      <c r="BG101" s="31"/>
      <c r="BH101" s="31"/>
      <c r="BI101" s="31"/>
      <c r="BJ101" s="31"/>
      <c r="BK101" s="31"/>
      <c r="BL101" s="31"/>
      <c r="BM101" s="31"/>
      <c r="BN101" s="31"/>
    </row>
    <row r="102" spans="1:66" ht="15">
      <c r="A102" s="61" t="s">
        <v>307</v>
      </c>
      <c r="B102" s="61" t="s">
        <v>307</v>
      </c>
      <c r="C102" s="62"/>
      <c r="D102" s="63"/>
      <c r="E102" s="64"/>
      <c r="F102" s="65"/>
      <c r="G102" s="62"/>
      <c r="H102" s="66"/>
      <c r="I102" s="67"/>
      <c r="J102" s="67"/>
      <c r="K102" s="31" t="s">
        <v>65</v>
      </c>
      <c r="L102" s="75">
        <v>102</v>
      </c>
      <c r="M102" s="75"/>
      <c r="N102" s="69"/>
      <c r="O102" s="77" t="s">
        <v>207</v>
      </c>
      <c r="P102" s="79">
        <v>44962.92325231482</v>
      </c>
      <c r="Q102" s="77" t="s">
        <v>486</v>
      </c>
      <c r="R102" s="80" t="str">
        <f>HYPERLINK("https://www.reallibertymedia.com/2023/02/behind-the-woodshed-blogcaster-2023-02-05/")</f>
        <v>https://www.reallibertymedia.com/2023/02/behind-the-woodshed-blogcaster-2023-02-05/</v>
      </c>
      <c r="S102" s="77" t="s">
        <v>553</v>
      </c>
      <c r="T102" s="81" t="s">
        <v>566</v>
      </c>
      <c r="U102" s="77"/>
      <c r="V102" s="80" t="str">
        <f>HYPERLINK("https://pbs.twimg.com/profile_images/2423398760/54wvhtvzjk76cjr3cgbb_normal.jpeg")</f>
        <v>https://pbs.twimg.com/profile_images/2423398760/54wvhtvzjk76cjr3cgbb_normal.jpeg</v>
      </c>
      <c r="W102" s="79">
        <v>44962.92325231482</v>
      </c>
      <c r="X102" s="84">
        <v>44962</v>
      </c>
      <c r="Y102" s="81" t="s">
        <v>642</v>
      </c>
      <c r="Z102" s="80" t="str">
        <f>HYPERLINK("https://twitter.com/behindawoodshed/status/1622356767303942144")</f>
        <v>https://twitter.com/behindawoodshed/status/1622356767303942144</v>
      </c>
      <c r="AA102" s="77"/>
      <c r="AB102" s="77"/>
      <c r="AC102" s="81" t="s">
        <v>798</v>
      </c>
      <c r="AD102" s="77"/>
      <c r="AE102" s="77" t="b">
        <v>0</v>
      </c>
      <c r="AF102" s="77">
        <v>2</v>
      </c>
      <c r="AG102" s="81" t="s">
        <v>916</v>
      </c>
      <c r="AH102" s="77" t="b">
        <v>0</v>
      </c>
      <c r="AI102" s="77" t="s">
        <v>950</v>
      </c>
      <c r="AJ102" s="77"/>
      <c r="AK102" s="81" t="s">
        <v>916</v>
      </c>
      <c r="AL102" s="77" t="b">
        <v>0</v>
      </c>
      <c r="AM102" s="77">
        <v>1</v>
      </c>
      <c r="AN102" s="81" t="s">
        <v>916</v>
      </c>
      <c r="AO102" s="81" t="s">
        <v>958</v>
      </c>
      <c r="AP102" s="77" t="b">
        <v>0</v>
      </c>
      <c r="AQ102" s="81" t="s">
        <v>798</v>
      </c>
      <c r="AR102" s="77" t="s">
        <v>207</v>
      </c>
      <c r="AS102" s="77">
        <v>0</v>
      </c>
      <c r="AT102" s="77">
        <v>0</v>
      </c>
      <c r="AU102" s="77"/>
      <c r="AV102" s="77"/>
      <c r="AW102" s="77"/>
      <c r="AX102" s="77"/>
      <c r="AY102" s="77"/>
      <c r="AZ102" s="77"/>
      <c r="BA102" s="77"/>
      <c r="BB102" s="77"/>
      <c r="BC102">
        <v>1</v>
      </c>
      <c r="BD102" s="76" t="str">
        <f>REPLACE(INDEX(GroupVertices[Group],MATCH(Edges[[#This Row],[Vertex 1]],GroupVertices[Vertex],0)),1,1,"")</f>
        <v>36</v>
      </c>
      <c r="BE102" s="76" t="str">
        <f>REPLACE(INDEX(GroupVertices[Group],MATCH(Edges[[#This Row],[Vertex 2]],GroupVertices[Vertex],0)),1,1,"")</f>
        <v>36</v>
      </c>
      <c r="BF102" s="31"/>
      <c r="BG102" s="31"/>
      <c r="BH102" s="31"/>
      <c r="BI102" s="31"/>
      <c r="BJ102" s="31"/>
      <c r="BK102" s="31"/>
      <c r="BL102" s="31"/>
      <c r="BM102" s="31"/>
      <c r="BN102" s="31"/>
    </row>
    <row r="103" spans="1:66" ht="15">
      <c r="A103" s="61" t="s">
        <v>308</v>
      </c>
      <c r="B103" s="61" t="s">
        <v>307</v>
      </c>
      <c r="C103" s="62"/>
      <c r="D103" s="63"/>
      <c r="E103" s="64"/>
      <c r="F103" s="65"/>
      <c r="G103" s="62"/>
      <c r="H103" s="66"/>
      <c r="I103" s="67"/>
      <c r="J103" s="67"/>
      <c r="K103" s="31" t="s">
        <v>65</v>
      </c>
      <c r="L103" s="75">
        <v>103</v>
      </c>
      <c r="M103" s="75"/>
      <c r="N103" s="69"/>
      <c r="O103" s="77" t="s">
        <v>447</v>
      </c>
      <c r="P103" s="79">
        <v>44964.325150462966</v>
      </c>
      <c r="Q103" s="77" t="s">
        <v>486</v>
      </c>
      <c r="R103" s="80" t="str">
        <f>HYPERLINK("https://www.reallibertymedia.com/2023/02/behind-the-woodshed-blogcaster-2023-02-05/")</f>
        <v>https://www.reallibertymedia.com/2023/02/behind-the-woodshed-blogcaster-2023-02-05/</v>
      </c>
      <c r="S103" s="77" t="s">
        <v>553</v>
      </c>
      <c r="T103" s="81" t="s">
        <v>566</v>
      </c>
      <c r="U103" s="77"/>
      <c r="V103" s="80" t="str">
        <f>HYPERLINK("https://pbs.twimg.com/profile_images/1565835913837568000/pJpbkVi4_normal.jpg")</f>
        <v>https://pbs.twimg.com/profile_images/1565835913837568000/pJpbkVi4_normal.jpg</v>
      </c>
      <c r="W103" s="79">
        <v>44964.325150462966</v>
      </c>
      <c r="X103" s="84">
        <v>44964</v>
      </c>
      <c r="Y103" s="81" t="s">
        <v>643</v>
      </c>
      <c r="Z103" s="80" t="str">
        <f>HYPERLINK("https://twitter.com/barman_rlm/status/1622864795019124737")</f>
        <v>https://twitter.com/barman_rlm/status/1622864795019124737</v>
      </c>
      <c r="AA103" s="77"/>
      <c r="AB103" s="77"/>
      <c r="AC103" s="81" t="s">
        <v>799</v>
      </c>
      <c r="AD103" s="77"/>
      <c r="AE103" s="77" t="b">
        <v>0</v>
      </c>
      <c r="AF103" s="77">
        <v>0</v>
      </c>
      <c r="AG103" s="81" t="s">
        <v>916</v>
      </c>
      <c r="AH103" s="77" t="b">
        <v>0</v>
      </c>
      <c r="AI103" s="77" t="s">
        <v>950</v>
      </c>
      <c r="AJ103" s="77"/>
      <c r="AK103" s="81" t="s">
        <v>916</v>
      </c>
      <c r="AL103" s="77" t="b">
        <v>0</v>
      </c>
      <c r="AM103" s="77">
        <v>1</v>
      </c>
      <c r="AN103" s="81" t="s">
        <v>798</v>
      </c>
      <c r="AO103" s="81" t="s">
        <v>958</v>
      </c>
      <c r="AP103" s="77" t="b">
        <v>0</v>
      </c>
      <c r="AQ103" s="81" t="s">
        <v>798</v>
      </c>
      <c r="AR103" s="77" t="s">
        <v>207</v>
      </c>
      <c r="AS103" s="77">
        <v>0</v>
      </c>
      <c r="AT103" s="77">
        <v>0</v>
      </c>
      <c r="AU103" s="77"/>
      <c r="AV103" s="77"/>
      <c r="AW103" s="77"/>
      <c r="AX103" s="77"/>
      <c r="AY103" s="77"/>
      <c r="AZ103" s="77"/>
      <c r="BA103" s="77"/>
      <c r="BB103" s="77"/>
      <c r="BC103">
        <v>1</v>
      </c>
      <c r="BD103" s="76" t="str">
        <f>REPLACE(INDEX(GroupVertices[Group],MATCH(Edges[[#This Row],[Vertex 1]],GroupVertices[Vertex],0)),1,1,"")</f>
        <v>36</v>
      </c>
      <c r="BE103" s="76" t="str">
        <f>REPLACE(INDEX(GroupVertices[Group],MATCH(Edges[[#This Row],[Vertex 2]],GroupVertices[Vertex],0)),1,1,"")</f>
        <v>36</v>
      </c>
      <c r="BF103" s="31"/>
      <c r="BG103" s="31"/>
      <c r="BH103" s="31"/>
      <c r="BI103" s="31"/>
      <c r="BJ103" s="31"/>
      <c r="BK103" s="31"/>
      <c r="BL103" s="31"/>
      <c r="BM103" s="31"/>
      <c r="BN103" s="31"/>
    </row>
    <row r="104" spans="1:66" ht="15">
      <c r="A104" s="61" t="s">
        <v>309</v>
      </c>
      <c r="B104" s="61" t="s">
        <v>309</v>
      </c>
      <c r="C104" s="62"/>
      <c r="D104" s="63"/>
      <c r="E104" s="64"/>
      <c r="F104" s="65"/>
      <c r="G104" s="62"/>
      <c r="H104" s="66"/>
      <c r="I104" s="67"/>
      <c r="J104" s="67"/>
      <c r="K104" s="31" t="s">
        <v>65</v>
      </c>
      <c r="L104" s="75">
        <v>104</v>
      </c>
      <c r="M104" s="75"/>
      <c r="N104" s="69"/>
      <c r="O104" s="77" t="s">
        <v>207</v>
      </c>
      <c r="P104" s="79">
        <v>44964.443402777775</v>
      </c>
      <c r="Q104" s="77" t="s">
        <v>487</v>
      </c>
      <c r="R104" s="77"/>
      <c r="S104" s="77"/>
      <c r="T104" s="77"/>
      <c r="U104" s="80" t="str">
        <f>HYPERLINK("https://pbs.twimg.com/media/FoW5515XoAEEvhE.jpg")</f>
        <v>https://pbs.twimg.com/media/FoW5515XoAEEvhE.jpg</v>
      </c>
      <c r="V104" s="80" t="str">
        <f>HYPERLINK("https://pbs.twimg.com/media/FoW5515XoAEEvhE.jpg")</f>
        <v>https://pbs.twimg.com/media/FoW5515XoAEEvhE.jpg</v>
      </c>
      <c r="W104" s="79">
        <v>44964.443402777775</v>
      </c>
      <c r="X104" s="84">
        <v>44964</v>
      </c>
      <c r="Y104" s="81" t="s">
        <v>644</v>
      </c>
      <c r="Z104" s="80" t="str">
        <f>HYPERLINK("https://twitter.com/craigtravissimo/status/1622907648692654083")</f>
        <v>https://twitter.com/craigtravissimo/status/1622907648692654083</v>
      </c>
      <c r="AA104" s="77"/>
      <c r="AB104" s="77"/>
      <c r="AC104" s="81" t="s">
        <v>800</v>
      </c>
      <c r="AD104" s="77"/>
      <c r="AE104" s="77" t="b">
        <v>0</v>
      </c>
      <c r="AF104" s="77">
        <v>2</v>
      </c>
      <c r="AG104" s="81" t="s">
        <v>916</v>
      </c>
      <c r="AH104" s="77" t="b">
        <v>0</v>
      </c>
      <c r="AI104" s="77" t="s">
        <v>950</v>
      </c>
      <c r="AJ104" s="77"/>
      <c r="AK104" s="81" t="s">
        <v>916</v>
      </c>
      <c r="AL104" s="77" t="b">
        <v>0</v>
      </c>
      <c r="AM104" s="77">
        <v>0</v>
      </c>
      <c r="AN104" s="81" t="s">
        <v>916</v>
      </c>
      <c r="AO104" s="81" t="s">
        <v>957</v>
      </c>
      <c r="AP104" s="77" t="b">
        <v>0</v>
      </c>
      <c r="AQ104" s="81" t="s">
        <v>800</v>
      </c>
      <c r="AR104" s="77" t="s">
        <v>207</v>
      </c>
      <c r="AS104" s="77">
        <v>0</v>
      </c>
      <c r="AT104" s="77">
        <v>0</v>
      </c>
      <c r="AU104" s="77"/>
      <c r="AV104" s="77"/>
      <c r="AW104" s="77"/>
      <c r="AX104" s="77"/>
      <c r="AY104" s="77"/>
      <c r="AZ104" s="77"/>
      <c r="BA104" s="77"/>
      <c r="BB104" s="77"/>
      <c r="BC104">
        <v>1</v>
      </c>
      <c r="BD104" s="76" t="str">
        <f>REPLACE(INDEX(GroupVertices[Group],MATCH(Edges[[#This Row],[Vertex 1]],GroupVertices[Vertex],0)),1,1,"")</f>
        <v>73</v>
      </c>
      <c r="BE104" s="76" t="str">
        <f>REPLACE(INDEX(GroupVertices[Group],MATCH(Edges[[#This Row],[Vertex 2]],GroupVertices[Vertex],0)),1,1,"")</f>
        <v>73</v>
      </c>
      <c r="BF104" s="31"/>
      <c r="BG104" s="31"/>
      <c r="BH104" s="31"/>
      <c r="BI104" s="31"/>
      <c r="BJ104" s="31"/>
      <c r="BK104" s="31"/>
      <c r="BL104" s="31"/>
      <c r="BM104" s="31"/>
      <c r="BN104" s="31"/>
    </row>
    <row r="105" spans="1:66" ht="15">
      <c r="A105" s="61" t="s">
        <v>310</v>
      </c>
      <c r="B105" s="61" t="s">
        <v>411</v>
      </c>
      <c r="C105" s="62"/>
      <c r="D105" s="63"/>
      <c r="E105" s="64"/>
      <c r="F105" s="65"/>
      <c r="G105" s="62"/>
      <c r="H105" s="66"/>
      <c r="I105" s="67"/>
      <c r="J105" s="67"/>
      <c r="K105" s="31" t="s">
        <v>65</v>
      </c>
      <c r="L105" s="75">
        <v>105</v>
      </c>
      <c r="M105" s="75"/>
      <c r="N105" s="69"/>
      <c r="O105" s="77" t="s">
        <v>446</v>
      </c>
      <c r="P105" s="79">
        <v>44964.44458333333</v>
      </c>
      <c r="Q105" s="77" t="s">
        <v>488</v>
      </c>
      <c r="R105" s="77"/>
      <c r="S105" s="77"/>
      <c r="T105" s="77"/>
      <c r="U105" s="77"/>
      <c r="V105" s="80" t="str">
        <f>HYPERLINK("https://pbs.twimg.com/profile_images/1285595337885921281/Af8Dsbev_normal.jpg")</f>
        <v>https://pbs.twimg.com/profile_images/1285595337885921281/Af8Dsbev_normal.jpg</v>
      </c>
      <c r="W105" s="79">
        <v>44964.44458333333</v>
      </c>
      <c r="X105" s="84">
        <v>44964</v>
      </c>
      <c r="Y105" s="81" t="s">
        <v>645</v>
      </c>
      <c r="Z105" s="80" t="str">
        <f>HYPERLINK("https://twitter.com/wernervanwyk2/status/1622908079229612036")</f>
        <v>https://twitter.com/wernervanwyk2/status/1622908079229612036</v>
      </c>
      <c r="AA105" s="77"/>
      <c r="AB105" s="77"/>
      <c r="AC105" s="81" t="s">
        <v>801</v>
      </c>
      <c r="AD105" s="81" t="s">
        <v>901</v>
      </c>
      <c r="AE105" s="77" t="b">
        <v>0</v>
      </c>
      <c r="AF105" s="77">
        <v>0</v>
      </c>
      <c r="AG105" s="81" t="s">
        <v>932</v>
      </c>
      <c r="AH105" s="77" t="b">
        <v>0</v>
      </c>
      <c r="AI105" s="77" t="s">
        <v>950</v>
      </c>
      <c r="AJ105" s="77"/>
      <c r="AK105" s="81" t="s">
        <v>916</v>
      </c>
      <c r="AL105" s="77" t="b">
        <v>0</v>
      </c>
      <c r="AM105" s="77">
        <v>0</v>
      </c>
      <c r="AN105" s="81" t="s">
        <v>916</v>
      </c>
      <c r="AO105" s="81" t="s">
        <v>958</v>
      </c>
      <c r="AP105" s="77" t="b">
        <v>0</v>
      </c>
      <c r="AQ105" s="81" t="s">
        <v>901</v>
      </c>
      <c r="AR105" s="77" t="s">
        <v>207</v>
      </c>
      <c r="AS105" s="77">
        <v>0</v>
      </c>
      <c r="AT105" s="77">
        <v>0</v>
      </c>
      <c r="AU105" s="77"/>
      <c r="AV105" s="77"/>
      <c r="AW105" s="77"/>
      <c r="AX105" s="77"/>
      <c r="AY105" s="77"/>
      <c r="AZ105" s="77"/>
      <c r="BA105" s="77"/>
      <c r="BB105" s="77"/>
      <c r="BC105">
        <v>1</v>
      </c>
      <c r="BD105" s="76" t="str">
        <f>REPLACE(INDEX(GroupVertices[Group],MATCH(Edges[[#This Row],[Vertex 1]],GroupVertices[Vertex],0)),1,1,"")</f>
        <v>35</v>
      </c>
      <c r="BE105" s="76" t="str">
        <f>REPLACE(INDEX(GroupVertices[Group],MATCH(Edges[[#This Row],[Vertex 2]],GroupVertices[Vertex],0)),1,1,"")</f>
        <v>35</v>
      </c>
      <c r="BF105" s="31"/>
      <c r="BG105" s="31"/>
      <c r="BH105" s="31"/>
      <c r="BI105" s="31"/>
      <c r="BJ105" s="31"/>
      <c r="BK105" s="31"/>
      <c r="BL105" s="31"/>
      <c r="BM105" s="31"/>
      <c r="BN105" s="31"/>
    </row>
    <row r="106" spans="1:66" ht="15">
      <c r="A106" s="61" t="s">
        <v>311</v>
      </c>
      <c r="B106" s="61" t="s">
        <v>311</v>
      </c>
      <c r="C106" s="62"/>
      <c r="D106" s="63"/>
      <c r="E106" s="64"/>
      <c r="F106" s="65"/>
      <c r="G106" s="62"/>
      <c r="H106" s="66"/>
      <c r="I106" s="67"/>
      <c r="J106" s="67"/>
      <c r="K106" s="31" t="s">
        <v>65</v>
      </c>
      <c r="L106" s="75">
        <v>106</v>
      </c>
      <c r="M106" s="75"/>
      <c r="N106" s="69"/>
      <c r="O106" s="77" t="s">
        <v>207</v>
      </c>
      <c r="P106" s="79">
        <v>44964.51127314815</v>
      </c>
      <c r="Q106" s="77" t="s">
        <v>489</v>
      </c>
      <c r="R106" s="80" t="str">
        <f>HYPERLINK("https://twitter.com/jlishawa/status/1622928244402974721")</f>
        <v>https://twitter.com/jlishawa/status/1622928244402974721</v>
      </c>
      <c r="S106" s="77" t="s">
        <v>551</v>
      </c>
      <c r="T106" s="77"/>
      <c r="U106" s="77"/>
      <c r="V106" s="80" t="str">
        <f>HYPERLINK("https://pbs.twimg.com/profile_images/1545713616107839491/ky4I3iEN_normal.jpg")</f>
        <v>https://pbs.twimg.com/profile_images/1545713616107839491/ky4I3iEN_normal.jpg</v>
      </c>
      <c r="W106" s="79">
        <v>44964.51127314815</v>
      </c>
      <c r="X106" s="84">
        <v>44964</v>
      </c>
      <c r="Y106" s="81" t="s">
        <v>646</v>
      </c>
      <c r="Z106" s="80" t="str">
        <f>HYPERLINK("https://twitter.com/strangelisalisa/status/1622932245072822273")</f>
        <v>https://twitter.com/strangelisalisa/status/1622932245072822273</v>
      </c>
      <c r="AA106" s="77"/>
      <c r="AB106" s="77"/>
      <c r="AC106" s="81" t="s">
        <v>802</v>
      </c>
      <c r="AD106" s="77"/>
      <c r="AE106" s="77" t="b">
        <v>0</v>
      </c>
      <c r="AF106" s="77">
        <v>0</v>
      </c>
      <c r="AG106" s="81" t="s">
        <v>916</v>
      </c>
      <c r="AH106" s="77" t="b">
        <v>1</v>
      </c>
      <c r="AI106" s="77" t="s">
        <v>950</v>
      </c>
      <c r="AJ106" s="77"/>
      <c r="AK106" s="81" t="s">
        <v>953</v>
      </c>
      <c r="AL106" s="77" t="b">
        <v>0</v>
      </c>
      <c r="AM106" s="77">
        <v>0</v>
      </c>
      <c r="AN106" s="81" t="s">
        <v>916</v>
      </c>
      <c r="AO106" s="81" t="s">
        <v>958</v>
      </c>
      <c r="AP106" s="77" t="b">
        <v>0</v>
      </c>
      <c r="AQ106" s="81" t="s">
        <v>802</v>
      </c>
      <c r="AR106" s="77" t="s">
        <v>207</v>
      </c>
      <c r="AS106" s="77">
        <v>0</v>
      </c>
      <c r="AT106" s="77">
        <v>0</v>
      </c>
      <c r="AU106" s="77"/>
      <c r="AV106" s="77"/>
      <c r="AW106" s="77"/>
      <c r="AX106" s="77"/>
      <c r="AY106" s="77"/>
      <c r="AZ106" s="77"/>
      <c r="BA106" s="77"/>
      <c r="BB106" s="77"/>
      <c r="BC106">
        <v>1</v>
      </c>
      <c r="BD106" s="76" t="str">
        <f>REPLACE(INDEX(GroupVertices[Group],MATCH(Edges[[#This Row],[Vertex 1]],GroupVertices[Vertex],0)),1,1,"")</f>
        <v>72</v>
      </c>
      <c r="BE106" s="76" t="str">
        <f>REPLACE(INDEX(GroupVertices[Group],MATCH(Edges[[#This Row],[Vertex 2]],GroupVertices[Vertex],0)),1,1,"")</f>
        <v>72</v>
      </c>
      <c r="BF106" s="31"/>
      <c r="BG106" s="31"/>
      <c r="BH106" s="31"/>
      <c r="BI106" s="31"/>
      <c r="BJ106" s="31"/>
      <c r="BK106" s="31"/>
      <c r="BL106" s="31"/>
      <c r="BM106" s="31"/>
      <c r="BN106" s="31"/>
    </row>
    <row r="107" spans="1:66" ht="15">
      <c r="A107" s="61" t="s">
        <v>312</v>
      </c>
      <c r="B107" s="61" t="s">
        <v>312</v>
      </c>
      <c r="C107" s="62"/>
      <c r="D107" s="63"/>
      <c r="E107" s="64"/>
      <c r="F107" s="65"/>
      <c r="G107" s="62"/>
      <c r="H107" s="66"/>
      <c r="I107" s="67"/>
      <c r="J107" s="67"/>
      <c r="K107" s="31" t="s">
        <v>65</v>
      </c>
      <c r="L107" s="75">
        <v>107</v>
      </c>
      <c r="M107" s="75"/>
      <c r="N107" s="69"/>
      <c r="O107" s="77" t="s">
        <v>207</v>
      </c>
      <c r="P107" s="79">
        <v>44964.54615740741</v>
      </c>
      <c r="Q107" s="77" t="s">
        <v>490</v>
      </c>
      <c r="R107" s="77"/>
      <c r="S107" s="77"/>
      <c r="T107" s="81" t="s">
        <v>428</v>
      </c>
      <c r="U107" s="77"/>
      <c r="V107" s="80" t="str">
        <f>HYPERLINK("https://pbs.twimg.com/profile_images/1321169942352400384/iKg478ck_normal.jpg")</f>
        <v>https://pbs.twimg.com/profile_images/1321169942352400384/iKg478ck_normal.jpg</v>
      </c>
      <c r="W107" s="79">
        <v>44964.54615740741</v>
      </c>
      <c r="X107" s="84">
        <v>44964</v>
      </c>
      <c r="Y107" s="81" t="s">
        <v>647</v>
      </c>
      <c r="Z107" s="80" t="str">
        <f>HYPERLINK("https://twitter.com/scaliaclarence/status/1622944886075932673")</f>
        <v>https://twitter.com/scaliaclarence/status/1622944886075932673</v>
      </c>
      <c r="AA107" s="77"/>
      <c r="AB107" s="77"/>
      <c r="AC107" s="81" t="s">
        <v>803</v>
      </c>
      <c r="AD107" s="77"/>
      <c r="AE107" s="77" t="b">
        <v>0</v>
      </c>
      <c r="AF107" s="77">
        <v>0</v>
      </c>
      <c r="AG107" s="81" t="s">
        <v>916</v>
      </c>
      <c r="AH107" s="77" t="b">
        <v>0</v>
      </c>
      <c r="AI107" s="77" t="s">
        <v>950</v>
      </c>
      <c r="AJ107" s="77"/>
      <c r="AK107" s="81" t="s">
        <v>916</v>
      </c>
      <c r="AL107" s="77" t="b">
        <v>0</v>
      </c>
      <c r="AM107" s="77">
        <v>0</v>
      </c>
      <c r="AN107" s="81" t="s">
        <v>916</v>
      </c>
      <c r="AO107" s="81" t="s">
        <v>957</v>
      </c>
      <c r="AP107" s="77" t="b">
        <v>0</v>
      </c>
      <c r="AQ107" s="81" t="s">
        <v>803</v>
      </c>
      <c r="AR107" s="77" t="s">
        <v>207</v>
      </c>
      <c r="AS107" s="77">
        <v>0</v>
      </c>
      <c r="AT107" s="77">
        <v>0</v>
      </c>
      <c r="AU107" s="77"/>
      <c r="AV107" s="77"/>
      <c r="AW107" s="77"/>
      <c r="AX107" s="77"/>
      <c r="AY107" s="77"/>
      <c r="AZ107" s="77"/>
      <c r="BA107" s="77"/>
      <c r="BB107" s="77"/>
      <c r="BC107">
        <v>1</v>
      </c>
      <c r="BD107" s="76" t="str">
        <f>REPLACE(INDEX(GroupVertices[Group],MATCH(Edges[[#This Row],[Vertex 1]],GroupVertices[Vertex],0)),1,1,"")</f>
        <v>71</v>
      </c>
      <c r="BE107" s="76" t="str">
        <f>REPLACE(INDEX(GroupVertices[Group],MATCH(Edges[[#This Row],[Vertex 2]],GroupVertices[Vertex],0)),1,1,"")</f>
        <v>71</v>
      </c>
      <c r="BF107" s="31"/>
      <c r="BG107" s="31"/>
      <c r="BH107" s="31"/>
      <c r="BI107" s="31"/>
      <c r="BJ107" s="31"/>
      <c r="BK107" s="31"/>
      <c r="BL107" s="31"/>
      <c r="BM107" s="31"/>
      <c r="BN107" s="31"/>
    </row>
    <row r="108" spans="1:66" ht="15">
      <c r="A108" s="61" t="s">
        <v>313</v>
      </c>
      <c r="B108" s="61" t="s">
        <v>387</v>
      </c>
      <c r="C108" s="62"/>
      <c r="D108" s="63"/>
      <c r="E108" s="64"/>
      <c r="F108" s="65"/>
      <c r="G108" s="62"/>
      <c r="H108" s="66"/>
      <c r="I108" s="67"/>
      <c r="J108" s="67"/>
      <c r="K108" s="31" t="s">
        <v>65</v>
      </c>
      <c r="L108" s="75">
        <v>108</v>
      </c>
      <c r="M108" s="75"/>
      <c r="N108" s="69"/>
      <c r="O108" s="77" t="s">
        <v>445</v>
      </c>
      <c r="P108" s="79">
        <v>44964.56513888889</v>
      </c>
      <c r="Q108" s="77" t="s">
        <v>484</v>
      </c>
      <c r="R108" s="77"/>
      <c r="S108" s="77"/>
      <c r="T108" s="81" t="s">
        <v>565</v>
      </c>
      <c r="U108" s="80" t="str">
        <f>HYPERLINK("https://pbs.twimg.com/media/FoVxE1naAAA42qs.jpg")</f>
        <v>https://pbs.twimg.com/media/FoVxE1naAAA42qs.jpg</v>
      </c>
      <c r="V108" s="80" t="str">
        <f>HYPERLINK("https://pbs.twimg.com/media/FoVxE1naAAA42qs.jpg")</f>
        <v>https://pbs.twimg.com/media/FoVxE1naAAA42qs.jpg</v>
      </c>
      <c r="W108" s="79">
        <v>44964.56513888889</v>
      </c>
      <c r="X108" s="84">
        <v>44964</v>
      </c>
      <c r="Y108" s="81" t="s">
        <v>648</v>
      </c>
      <c r="Z108" s="80" t="str">
        <f>HYPERLINK("https://twitter.com/sodagrrl/status/1622951766945046530")</f>
        <v>https://twitter.com/sodagrrl/status/1622951766945046530</v>
      </c>
      <c r="AA108" s="77"/>
      <c r="AB108" s="77"/>
      <c r="AC108" s="81" t="s">
        <v>804</v>
      </c>
      <c r="AD108" s="77"/>
      <c r="AE108" s="77" t="b">
        <v>0</v>
      </c>
      <c r="AF108" s="77">
        <v>0</v>
      </c>
      <c r="AG108" s="81" t="s">
        <v>916</v>
      </c>
      <c r="AH108" s="77" t="b">
        <v>0</v>
      </c>
      <c r="AI108" s="77" t="s">
        <v>950</v>
      </c>
      <c r="AJ108" s="77"/>
      <c r="AK108" s="81" t="s">
        <v>916</v>
      </c>
      <c r="AL108" s="77" t="b">
        <v>0</v>
      </c>
      <c r="AM108" s="77">
        <v>4</v>
      </c>
      <c r="AN108" s="81" t="s">
        <v>806</v>
      </c>
      <c r="AO108" s="81" t="s">
        <v>959</v>
      </c>
      <c r="AP108" s="77" t="b">
        <v>0</v>
      </c>
      <c r="AQ108" s="81" t="s">
        <v>806</v>
      </c>
      <c r="AR108" s="77" t="s">
        <v>207</v>
      </c>
      <c r="AS108" s="77">
        <v>0</v>
      </c>
      <c r="AT108" s="77">
        <v>0</v>
      </c>
      <c r="AU108" s="77"/>
      <c r="AV108" s="77"/>
      <c r="AW108" s="77"/>
      <c r="AX108" s="77"/>
      <c r="AY108" s="77"/>
      <c r="AZ108" s="77"/>
      <c r="BA108" s="77"/>
      <c r="BB108" s="77"/>
      <c r="BC108">
        <v>1</v>
      </c>
      <c r="BD108" s="76" t="str">
        <f>REPLACE(INDEX(GroupVertices[Group],MATCH(Edges[[#This Row],[Vertex 1]],GroupVertices[Vertex],0)),1,1,"")</f>
        <v>2</v>
      </c>
      <c r="BE108" s="76" t="str">
        <f>REPLACE(INDEX(GroupVertices[Group],MATCH(Edges[[#This Row],[Vertex 2]],GroupVertices[Vertex],0)),1,1,"")</f>
        <v>2</v>
      </c>
      <c r="BF108" s="31"/>
      <c r="BG108" s="31"/>
      <c r="BH108" s="31"/>
      <c r="BI108" s="31"/>
      <c r="BJ108" s="31"/>
      <c r="BK108" s="31"/>
      <c r="BL108" s="31"/>
      <c r="BM108" s="31"/>
      <c r="BN108" s="31"/>
    </row>
    <row r="109" spans="1:66" ht="15">
      <c r="A109" s="61" t="s">
        <v>313</v>
      </c>
      <c r="B109" s="61" t="s">
        <v>299</v>
      </c>
      <c r="C109" s="62"/>
      <c r="D109" s="63"/>
      <c r="E109" s="64"/>
      <c r="F109" s="65"/>
      <c r="G109" s="62"/>
      <c r="H109" s="66"/>
      <c r="I109" s="67"/>
      <c r="J109" s="67"/>
      <c r="K109" s="31" t="s">
        <v>65</v>
      </c>
      <c r="L109" s="75">
        <v>109</v>
      </c>
      <c r="M109" s="75"/>
      <c r="N109" s="69"/>
      <c r="O109" s="77" t="s">
        <v>447</v>
      </c>
      <c r="P109" s="79">
        <v>44964.56513888889</v>
      </c>
      <c r="Q109" s="77" t="s">
        <v>484</v>
      </c>
      <c r="R109" s="77"/>
      <c r="S109" s="77"/>
      <c r="T109" s="81" t="s">
        <v>565</v>
      </c>
      <c r="U109" s="80" t="str">
        <f>HYPERLINK("https://pbs.twimg.com/media/FoVxE1naAAA42qs.jpg")</f>
        <v>https://pbs.twimg.com/media/FoVxE1naAAA42qs.jpg</v>
      </c>
      <c r="V109" s="80" t="str">
        <f>HYPERLINK("https://pbs.twimg.com/media/FoVxE1naAAA42qs.jpg")</f>
        <v>https://pbs.twimg.com/media/FoVxE1naAAA42qs.jpg</v>
      </c>
      <c r="W109" s="79">
        <v>44964.56513888889</v>
      </c>
      <c r="X109" s="84">
        <v>44964</v>
      </c>
      <c r="Y109" s="81" t="s">
        <v>648</v>
      </c>
      <c r="Z109" s="80" t="str">
        <f>HYPERLINK("https://twitter.com/sodagrrl/status/1622951766945046530")</f>
        <v>https://twitter.com/sodagrrl/status/1622951766945046530</v>
      </c>
      <c r="AA109" s="77"/>
      <c r="AB109" s="77"/>
      <c r="AC109" s="81" t="s">
        <v>804</v>
      </c>
      <c r="AD109" s="77"/>
      <c r="AE109" s="77" t="b">
        <v>0</v>
      </c>
      <c r="AF109" s="77">
        <v>0</v>
      </c>
      <c r="AG109" s="81" t="s">
        <v>916</v>
      </c>
      <c r="AH109" s="77" t="b">
        <v>0</v>
      </c>
      <c r="AI109" s="77" t="s">
        <v>950</v>
      </c>
      <c r="AJ109" s="77"/>
      <c r="AK109" s="81" t="s">
        <v>916</v>
      </c>
      <c r="AL109" s="77" t="b">
        <v>0</v>
      </c>
      <c r="AM109" s="77">
        <v>4</v>
      </c>
      <c r="AN109" s="81" t="s">
        <v>806</v>
      </c>
      <c r="AO109" s="81" t="s">
        <v>959</v>
      </c>
      <c r="AP109" s="77" t="b">
        <v>0</v>
      </c>
      <c r="AQ109" s="81" t="s">
        <v>806</v>
      </c>
      <c r="AR109" s="77" t="s">
        <v>207</v>
      </c>
      <c r="AS109" s="77">
        <v>0</v>
      </c>
      <c r="AT109" s="77">
        <v>0</v>
      </c>
      <c r="AU109" s="77"/>
      <c r="AV109" s="77"/>
      <c r="AW109" s="77"/>
      <c r="AX109" s="77"/>
      <c r="AY109" s="77"/>
      <c r="AZ109" s="77"/>
      <c r="BA109" s="77"/>
      <c r="BB109" s="77"/>
      <c r="BC109">
        <v>1</v>
      </c>
      <c r="BD109" s="76" t="str">
        <f>REPLACE(INDEX(GroupVertices[Group],MATCH(Edges[[#This Row],[Vertex 1]],GroupVertices[Vertex],0)),1,1,"")</f>
        <v>2</v>
      </c>
      <c r="BE109" s="76" t="str">
        <f>REPLACE(INDEX(GroupVertices[Group],MATCH(Edges[[#This Row],[Vertex 2]],GroupVertices[Vertex],0)),1,1,"")</f>
        <v>2</v>
      </c>
      <c r="BF109" s="31"/>
      <c r="BG109" s="31"/>
      <c r="BH109" s="31"/>
      <c r="BI109" s="31"/>
      <c r="BJ109" s="31"/>
      <c r="BK109" s="31"/>
      <c r="BL109" s="31"/>
      <c r="BM109" s="31"/>
      <c r="BN109" s="31"/>
    </row>
    <row r="110" spans="1:66" ht="15">
      <c r="A110" s="61" t="s">
        <v>313</v>
      </c>
      <c r="B110" s="61" t="s">
        <v>408</v>
      </c>
      <c r="C110" s="62"/>
      <c r="D110" s="63"/>
      <c r="E110" s="64"/>
      <c r="F110" s="65"/>
      <c r="G110" s="62"/>
      <c r="H110" s="66"/>
      <c r="I110" s="67"/>
      <c r="J110" s="67"/>
      <c r="K110" s="31" t="s">
        <v>65</v>
      </c>
      <c r="L110" s="75">
        <v>110</v>
      </c>
      <c r="M110" s="75"/>
      <c r="N110" s="69"/>
      <c r="O110" s="77" t="s">
        <v>446</v>
      </c>
      <c r="P110" s="79">
        <v>44964.56513888889</v>
      </c>
      <c r="Q110" s="77" t="s">
        <v>484</v>
      </c>
      <c r="R110" s="77"/>
      <c r="S110" s="77"/>
      <c r="T110" s="81" t="s">
        <v>565</v>
      </c>
      <c r="U110" s="80" t="str">
        <f>HYPERLINK("https://pbs.twimg.com/media/FoVxE1naAAA42qs.jpg")</f>
        <v>https://pbs.twimg.com/media/FoVxE1naAAA42qs.jpg</v>
      </c>
      <c r="V110" s="80" t="str">
        <f>HYPERLINK("https://pbs.twimg.com/media/FoVxE1naAAA42qs.jpg")</f>
        <v>https://pbs.twimg.com/media/FoVxE1naAAA42qs.jpg</v>
      </c>
      <c r="W110" s="79">
        <v>44964.56513888889</v>
      </c>
      <c r="X110" s="84">
        <v>44964</v>
      </c>
      <c r="Y110" s="81" t="s">
        <v>648</v>
      </c>
      <c r="Z110" s="80" t="str">
        <f>HYPERLINK("https://twitter.com/sodagrrl/status/1622951766945046530")</f>
        <v>https://twitter.com/sodagrrl/status/1622951766945046530</v>
      </c>
      <c r="AA110" s="77"/>
      <c r="AB110" s="77"/>
      <c r="AC110" s="81" t="s">
        <v>804</v>
      </c>
      <c r="AD110" s="77"/>
      <c r="AE110" s="77" t="b">
        <v>0</v>
      </c>
      <c r="AF110" s="77">
        <v>0</v>
      </c>
      <c r="AG110" s="81" t="s">
        <v>916</v>
      </c>
      <c r="AH110" s="77" t="b">
        <v>0</v>
      </c>
      <c r="AI110" s="77" t="s">
        <v>950</v>
      </c>
      <c r="AJ110" s="77"/>
      <c r="AK110" s="81" t="s">
        <v>916</v>
      </c>
      <c r="AL110" s="77" t="b">
        <v>0</v>
      </c>
      <c r="AM110" s="77">
        <v>4</v>
      </c>
      <c r="AN110" s="81" t="s">
        <v>806</v>
      </c>
      <c r="AO110" s="81" t="s">
        <v>959</v>
      </c>
      <c r="AP110" s="77" t="b">
        <v>0</v>
      </c>
      <c r="AQ110" s="81" t="s">
        <v>806</v>
      </c>
      <c r="AR110" s="77" t="s">
        <v>207</v>
      </c>
      <c r="AS110" s="77">
        <v>0</v>
      </c>
      <c r="AT110" s="77">
        <v>0</v>
      </c>
      <c r="AU110" s="77"/>
      <c r="AV110" s="77"/>
      <c r="AW110" s="77"/>
      <c r="AX110" s="77"/>
      <c r="AY110" s="77"/>
      <c r="AZ110" s="77"/>
      <c r="BA110" s="77"/>
      <c r="BB110" s="77"/>
      <c r="BC110">
        <v>1</v>
      </c>
      <c r="BD110" s="76" t="str">
        <f>REPLACE(INDEX(GroupVertices[Group],MATCH(Edges[[#This Row],[Vertex 1]],GroupVertices[Vertex],0)),1,1,"")</f>
        <v>2</v>
      </c>
      <c r="BE110" s="76" t="str">
        <f>REPLACE(INDEX(GroupVertices[Group],MATCH(Edges[[#This Row],[Vertex 2]],GroupVertices[Vertex],0)),1,1,"")</f>
        <v>2</v>
      </c>
      <c r="BF110" s="31"/>
      <c r="BG110" s="31"/>
      <c r="BH110" s="31"/>
      <c r="BI110" s="31"/>
      <c r="BJ110" s="31"/>
      <c r="BK110" s="31"/>
      <c r="BL110" s="31"/>
      <c r="BM110" s="31"/>
      <c r="BN110" s="31"/>
    </row>
    <row r="111" spans="1:66" ht="15">
      <c r="A111" s="61" t="s">
        <v>314</v>
      </c>
      <c r="B111" s="61" t="s">
        <v>387</v>
      </c>
      <c r="C111" s="62"/>
      <c r="D111" s="63"/>
      <c r="E111" s="64"/>
      <c r="F111" s="65"/>
      <c r="G111" s="62"/>
      <c r="H111" s="66"/>
      <c r="I111" s="67"/>
      <c r="J111" s="67"/>
      <c r="K111" s="31" t="s">
        <v>65</v>
      </c>
      <c r="L111" s="75">
        <v>111</v>
      </c>
      <c r="M111" s="75"/>
      <c r="N111" s="69"/>
      <c r="O111" s="77" t="s">
        <v>445</v>
      </c>
      <c r="P111" s="79">
        <v>44964.569768518515</v>
      </c>
      <c r="Q111" s="77" t="s">
        <v>484</v>
      </c>
      <c r="R111" s="77"/>
      <c r="S111" s="77"/>
      <c r="T111" s="81" t="s">
        <v>565</v>
      </c>
      <c r="U111" s="80" t="str">
        <f>HYPERLINK("https://pbs.twimg.com/media/FoVxE1naAAA42qs.jpg")</f>
        <v>https://pbs.twimg.com/media/FoVxE1naAAA42qs.jpg</v>
      </c>
      <c r="V111" s="80" t="str">
        <f>HYPERLINK("https://pbs.twimg.com/media/FoVxE1naAAA42qs.jpg")</f>
        <v>https://pbs.twimg.com/media/FoVxE1naAAA42qs.jpg</v>
      </c>
      <c r="W111" s="79">
        <v>44964.569768518515</v>
      </c>
      <c r="X111" s="84">
        <v>44964</v>
      </c>
      <c r="Y111" s="81" t="s">
        <v>649</v>
      </c>
      <c r="Z111" s="80" t="str">
        <f>HYPERLINK("https://twitter.com/brianhund/status/1622953441520943104")</f>
        <v>https://twitter.com/brianhund/status/1622953441520943104</v>
      </c>
      <c r="AA111" s="77"/>
      <c r="AB111" s="77"/>
      <c r="AC111" s="81" t="s">
        <v>805</v>
      </c>
      <c r="AD111" s="77"/>
      <c r="AE111" s="77" t="b">
        <v>0</v>
      </c>
      <c r="AF111" s="77">
        <v>0</v>
      </c>
      <c r="AG111" s="81" t="s">
        <v>916</v>
      </c>
      <c r="AH111" s="77" t="b">
        <v>0</v>
      </c>
      <c r="AI111" s="77" t="s">
        <v>950</v>
      </c>
      <c r="AJ111" s="77"/>
      <c r="AK111" s="81" t="s">
        <v>916</v>
      </c>
      <c r="AL111" s="77" t="b">
        <v>0</v>
      </c>
      <c r="AM111" s="77">
        <v>4</v>
      </c>
      <c r="AN111" s="81" t="s">
        <v>806</v>
      </c>
      <c r="AO111" s="81" t="s">
        <v>960</v>
      </c>
      <c r="AP111" s="77" t="b">
        <v>0</v>
      </c>
      <c r="AQ111" s="81" t="s">
        <v>806</v>
      </c>
      <c r="AR111" s="77" t="s">
        <v>207</v>
      </c>
      <c r="AS111" s="77">
        <v>0</v>
      </c>
      <c r="AT111" s="77">
        <v>0</v>
      </c>
      <c r="AU111" s="77"/>
      <c r="AV111" s="77"/>
      <c r="AW111" s="77"/>
      <c r="AX111" s="77"/>
      <c r="AY111" s="77"/>
      <c r="AZ111" s="77"/>
      <c r="BA111" s="77"/>
      <c r="BB111" s="77"/>
      <c r="BC111">
        <v>1</v>
      </c>
      <c r="BD111" s="76" t="str">
        <f>REPLACE(INDEX(GroupVertices[Group],MATCH(Edges[[#This Row],[Vertex 1]],GroupVertices[Vertex],0)),1,1,"")</f>
        <v>2</v>
      </c>
      <c r="BE111" s="76" t="str">
        <f>REPLACE(INDEX(GroupVertices[Group],MATCH(Edges[[#This Row],[Vertex 2]],GroupVertices[Vertex],0)),1,1,"")</f>
        <v>2</v>
      </c>
      <c r="BF111" s="31"/>
      <c r="BG111" s="31"/>
      <c r="BH111" s="31"/>
      <c r="BI111" s="31"/>
      <c r="BJ111" s="31"/>
      <c r="BK111" s="31"/>
      <c r="BL111" s="31"/>
      <c r="BM111" s="31"/>
      <c r="BN111" s="31"/>
    </row>
    <row r="112" spans="1:66" ht="15">
      <c r="A112" s="61" t="s">
        <v>314</v>
      </c>
      <c r="B112" s="61" t="s">
        <v>299</v>
      </c>
      <c r="C112" s="62"/>
      <c r="D112" s="63"/>
      <c r="E112" s="64"/>
      <c r="F112" s="65"/>
      <c r="G112" s="62"/>
      <c r="H112" s="66"/>
      <c r="I112" s="67"/>
      <c r="J112" s="67"/>
      <c r="K112" s="31" t="s">
        <v>65</v>
      </c>
      <c r="L112" s="75">
        <v>112</v>
      </c>
      <c r="M112" s="75"/>
      <c r="N112" s="69"/>
      <c r="O112" s="77" t="s">
        <v>447</v>
      </c>
      <c r="P112" s="79">
        <v>44964.569768518515</v>
      </c>
      <c r="Q112" s="77" t="s">
        <v>484</v>
      </c>
      <c r="R112" s="77"/>
      <c r="S112" s="77"/>
      <c r="T112" s="81" t="s">
        <v>565</v>
      </c>
      <c r="U112" s="80" t="str">
        <f>HYPERLINK("https://pbs.twimg.com/media/FoVxE1naAAA42qs.jpg")</f>
        <v>https://pbs.twimg.com/media/FoVxE1naAAA42qs.jpg</v>
      </c>
      <c r="V112" s="80" t="str">
        <f>HYPERLINK("https://pbs.twimg.com/media/FoVxE1naAAA42qs.jpg")</f>
        <v>https://pbs.twimg.com/media/FoVxE1naAAA42qs.jpg</v>
      </c>
      <c r="W112" s="79">
        <v>44964.569768518515</v>
      </c>
      <c r="X112" s="84">
        <v>44964</v>
      </c>
      <c r="Y112" s="81" t="s">
        <v>649</v>
      </c>
      <c r="Z112" s="80" t="str">
        <f>HYPERLINK("https://twitter.com/brianhund/status/1622953441520943104")</f>
        <v>https://twitter.com/brianhund/status/1622953441520943104</v>
      </c>
      <c r="AA112" s="77"/>
      <c r="AB112" s="77"/>
      <c r="AC112" s="81" t="s">
        <v>805</v>
      </c>
      <c r="AD112" s="77"/>
      <c r="AE112" s="77" t="b">
        <v>0</v>
      </c>
      <c r="AF112" s="77">
        <v>0</v>
      </c>
      <c r="AG112" s="81" t="s">
        <v>916</v>
      </c>
      <c r="AH112" s="77" t="b">
        <v>0</v>
      </c>
      <c r="AI112" s="77" t="s">
        <v>950</v>
      </c>
      <c r="AJ112" s="77"/>
      <c r="AK112" s="81" t="s">
        <v>916</v>
      </c>
      <c r="AL112" s="77" t="b">
        <v>0</v>
      </c>
      <c r="AM112" s="77">
        <v>4</v>
      </c>
      <c r="AN112" s="81" t="s">
        <v>806</v>
      </c>
      <c r="AO112" s="81" t="s">
        <v>960</v>
      </c>
      <c r="AP112" s="77" t="b">
        <v>0</v>
      </c>
      <c r="AQ112" s="81" t="s">
        <v>806</v>
      </c>
      <c r="AR112" s="77" t="s">
        <v>207</v>
      </c>
      <c r="AS112" s="77">
        <v>0</v>
      </c>
      <c r="AT112" s="77">
        <v>0</v>
      </c>
      <c r="AU112" s="77"/>
      <c r="AV112" s="77"/>
      <c r="AW112" s="77"/>
      <c r="AX112" s="77"/>
      <c r="AY112" s="77"/>
      <c r="AZ112" s="77"/>
      <c r="BA112" s="77"/>
      <c r="BB112" s="77"/>
      <c r="BC112">
        <v>1</v>
      </c>
      <c r="BD112" s="76" t="str">
        <f>REPLACE(INDEX(GroupVertices[Group],MATCH(Edges[[#This Row],[Vertex 1]],GroupVertices[Vertex],0)),1,1,"")</f>
        <v>2</v>
      </c>
      <c r="BE112" s="76" t="str">
        <f>REPLACE(INDEX(GroupVertices[Group],MATCH(Edges[[#This Row],[Vertex 2]],GroupVertices[Vertex],0)),1,1,"")</f>
        <v>2</v>
      </c>
      <c r="BF112" s="31"/>
      <c r="BG112" s="31"/>
      <c r="BH112" s="31"/>
      <c r="BI112" s="31"/>
      <c r="BJ112" s="31"/>
      <c r="BK112" s="31"/>
      <c r="BL112" s="31"/>
      <c r="BM112" s="31"/>
      <c r="BN112" s="31"/>
    </row>
    <row r="113" spans="1:66" ht="15">
      <c r="A113" s="61" t="s">
        <v>314</v>
      </c>
      <c r="B113" s="61" t="s">
        <v>408</v>
      </c>
      <c r="C113" s="62"/>
      <c r="D113" s="63"/>
      <c r="E113" s="64"/>
      <c r="F113" s="65"/>
      <c r="G113" s="62"/>
      <c r="H113" s="66"/>
      <c r="I113" s="67"/>
      <c r="J113" s="67"/>
      <c r="K113" s="31" t="s">
        <v>65</v>
      </c>
      <c r="L113" s="75">
        <v>113</v>
      </c>
      <c r="M113" s="75"/>
      <c r="N113" s="69"/>
      <c r="O113" s="77" t="s">
        <v>446</v>
      </c>
      <c r="P113" s="79">
        <v>44964.569768518515</v>
      </c>
      <c r="Q113" s="77" t="s">
        <v>484</v>
      </c>
      <c r="R113" s="77"/>
      <c r="S113" s="77"/>
      <c r="T113" s="81" t="s">
        <v>565</v>
      </c>
      <c r="U113" s="80" t="str">
        <f>HYPERLINK("https://pbs.twimg.com/media/FoVxE1naAAA42qs.jpg")</f>
        <v>https://pbs.twimg.com/media/FoVxE1naAAA42qs.jpg</v>
      </c>
      <c r="V113" s="80" t="str">
        <f>HYPERLINK("https://pbs.twimg.com/media/FoVxE1naAAA42qs.jpg")</f>
        <v>https://pbs.twimg.com/media/FoVxE1naAAA42qs.jpg</v>
      </c>
      <c r="W113" s="79">
        <v>44964.569768518515</v>
      </c>
      <c r="X113" s="84">
        <v>44964</v>
      </c>
      <c r="Y113" s="81" t="s">
        <v>649</v>
      </c>
      <c r="Z113" s="80" t="str">
        <f>HYPERLINK("https://twitter.com/brianhund/status/1622953441520943104")</f>
        <v>https://twitter.com/brianhund/status/1622953441520943104</v>
      </c>
      <c r="AA113" s="77"/>
      <c r="AB113" s="77"/>
      <c r="AC113" s="81" t="s">
        <v>805</v>
      </c>
      <c r="AD113" s="77"/>
      <c r="AE113" s="77" t="b">
        <v>0</v>
      </c>
      <c r="AF113" s="77">
        <v>0</v>
      </c>
      <c r="AG113" s="81" t="s">
        <v>916</v>
      </c>
      <c r="AH113" s="77" t="b">
        <v>0</v>
      </c>
      <c r="AI113" s="77" t="s">
        <v>950</v>
      </c>
      <c r="AJ113" s="77"/>
      <c r="AK113" s="81" t="s">
        <v>916</v>
      </c>
      <c r="AL113" s="77" t="b">
        <v>0</v>
      </c>
      <c r="AM113" s="77">
        <v>4</v>
      </c>
      <c r="AN113" s="81" t="s">
        <v>806</v>
      </c>
      <c r="AO113" s="81" t="s">
        <v>960</v>
      </c>
      <c r="AP113" s="77" t="b">
        <v>0</v>
      </c>
      <c r="AQ113" s="81" t="s">
        <v>806</v>
      </c>
      <c r="AR113" s="77" t="s">
        <v>207</v>
      </c>
      <c r="AS113" s="77">
        <v>0</v>
      </c>
      <c r="AT113" s="77">
        <v>0</v>
      </c>
      <c r="AU113" s="77"/>
      <c r="AV113" s="77"/>
      <c r="AW113" s="77"/>
      <c r="AX113" s="77"/>
      <c r="AY113" s="77"/>
      <c r="AZ113" s="77"/>
      <c r="BA113" s="77"/>
      <c r="BB113" s="77"/>
      <c r="BC113">
        <v>1</v>
      </c>
      <c r="BD113" s="76" t="str">
        <f>REPLACE(INDEX(GroupVertices[Group],MATCH(Edges[[#This Row],[Vertex 1]],GroupVertices[Vertex],0)),1,1,"")</f>
        <v>2</v>
      </c>
      <c r="BE113" s="76" t="str">
        <f>REPLACE(INDEX(GroupVertices[Group],MATCH(Edges[[#This Row],[Vertex 2]],GroupVertices[Vertex],0)),1,1,"")</f>
        <v>2</v>
      </c>
      <c r="BF113" s="31"/>
      <c r="BG113" s="31"/>
      <c r="BH113" s="31"/>
      <c r="BI113" s="31"/>
      <c r="BJ113" s="31"/>
      <c r="BK113" s="31"/>
      <c r="BL113" s="31"/>
      <c r="BM113" s="31"/>
      <c r="BN113" s="31"/>
    </row>
    <row r="114" spans="1:66" ht="15">
      <c r="A114" s="61" t="s">
        <v>299</v>
      </c>
      <c r="B114" s="61" t="s">
        <v>387</v>
      </c>
      <c r="C114" s="62"/>
      <c r="D114" s="63"/>
      <c r="E114" s="64"/>
      <c r="F114" s="65"/>
      <c r="G114" s="62"/>
      <c r="H114" s="66"/>
      <c r="I114" s="67"/>
      <c r="J114" s="67"/>
      <c r="K114" s="31" t="s">
        <v>65</v>
      </c>
      <c r="L114" s="75">
        <v>114</v>
      </c>
      <c r="M114" s="75"/>
      <c r="N114" s="69"/>
      <c r="O114" s="77" t="s">
        <v>448</v>
      </c>
      <c r="P114" s="79">
        <v>44964.22244212963</v>
      </c>
      <c r="Q114" s="77" t="s">
        <v>484</v>
      </c>
      <c r="R114" s="77"/>
      <c r="S114" s="77"/>
      <c r="T114" s="81" t="s">
        <v>565</v>
      </c>
      <c r="U114" s="80" t="str">
        <f>HYPERLINK("https://pbs.twimg.com/media/FoVxE1naAAA42qs.jpg")</f>
        <v>https://pbs.twimg.com/media/FoVxE1naAAA42qs.jpg</v>
      </c>
      <c r="V114" s="80" t="str">
        <f>HYPERLINK("https://pbs.twimg.com/media/FoVxE1naAAA42qs.jpg")</f>
        <v>https://pbs.twimg.com/media/FoVxE1naAAA42qs.jpg</v>
      </c>
      <c r="W114" s="79">
        <v>44964.22244212963</v>
      </c>
      <c r="X114" s="84">
        <v>44964</v>
      </c>
      <c r="Y114" s="81" t="s">
        <v>650</v>
      </c>
      <c r="Z114" s="80" t="str">
        <f>HYPERLINK("https://twitter.com/medbennett/status/1622827575142936577")</f>
        <v>https://twitter.com/medbennett/status/1622827575142936577</v>
      </c>
      <c r="AA114" s="77"/>
      <c r="AB114" s="77"/>
      <c r="AC114" s="81" t="s">
        <v>806</v>
      </c>
      <c r="AD114" s="81" t="s">
        <v>902</v>
      </c>
      <c r="AE114" s="77" t="b">
        <v>0</v>
      </c>
      <c r="AF114" s="77">
        <v>50</v>
      </c>
      <c r="AG114" s="81" t="s">
        <v>933</v>
      </c>
      <c r="AH114" s="77" t="b">
        <v>0</v>
      </c>
      <c r="AI114" s="77" t="s">
        <v>950</v>
      </c>
      <c r="AJ114" s="77"/>
      <c r="AK114" s="81" t="s">
        <v>916</v>
      </c>
      <c r="AL114" s="77" t="b">
        <v>0</v>
      </c>
      <c r="AM114" s="77">
        <v>4</v>
      </c>
      <c r="AN114" s="81" t="s">
        <v>916</v>
      </c>
      <c r="AO114" s="81" t="s">
        <v>957</v>
      </c>
      <c r="AP114" s="77" t="b">
        <v>0</v>
      </c>
      <c r="AQ114" s="81" t="s">
        <v>902</v>
      </c>
      <c r="AR114" s="77" t="s">
        <v>207</v>
      </c>
      <c r="AS114" s="77">
        <v>0</v>
      </c>
      <c r="AT114" s="77">
        <v>0</v>
      </c>
      <c r="AU114" s="77"/>
      <c r="AV114" s="77"/>
      <c r="AW114" s="77"/>
      <c r="AX114" s="77"/>
      <c r="AY114" s="77"/>
      <c r="AZ114" s="77"/>
      <c r="BA114" s="77"/>
      <c r="BB114" s="77"/>
      <c r="BC114">
        <v>1</v>
      </c>
      <c r="BD114" s="76" t="str">
        <f>REPLACE(INDEX(GroupVertices[Group],MATCH(Edges[[#This Row],[Vertex 1]],GroupVertices[Vertex],0)),1,1,"")</f>
        <v>2</v>
      </c>
      <c r="BE114" s="76" t="str">
        <f>REPLACE(INDEX(GroupVertices[Group],MATCH(Edges[[#This Row],[Vertex 2]],GroupVertices[Vertex],0)),1,1,"")</f>
        <v>2</v>
      </c>
      <c r="BF114" s="31"/>
      <c r="BG114" s="31"/>
      <c r="BH114" s="31"/>
      <c r="BI114" s="31"/>
      <c r="BJ114" s="31"/>
      <c r="BK114" s="31"/>
      <c r="BL114" s="31"/>
      <c r="BM114" s="31"/>
      <c r="BN114" s="31"/>
    </row>
    <row r="115" spans="1:66" ht="15">
      <c r="A115" s="61" t="s">
        <v>299</v>
      </c>
      <c r="B115" s="61" t="s">
        <v>408</v>
      </c>
      <c r="C115" s="62"/>
      <c r="D115" s="63"/>
      <c r="E115" s="64"/>
      <c r="F115" s="65"/>
      <c r="G115" s="62"/>
      <c r="H115" s="66"/>
      <c r="I115" s="67"/>
      <c r="J115" s="67"/>
      <c r="K115" s="31" t="s">
        <v>65</v>
      </c>
      <c r="L115" s="75">
        <v>115</v>
      </c>
      <c r="M115" s="75"/>
      <c r="N115" s="69"/>
      <c r="O115" s="77" t="s">
        <v>446</v>
      </c>
      <c r="P115" s="79">
        <v>44964.22244212963</v>
      </c>
      <c r="Q115" s="77" t="s">
        <v>484</v>
      </c>
      <c r="R115" s="77"/>
      <c r="S115" s="77"/>
      <c r="T115" s="81" t="s">
        <v>565</v>
      </c>
      <c r="U115" s="80" t="str">
        <f>HYPERLINK("https://pbs.twimg.com/media/FoVxE1naAAA42qs.jpg")</f>
        <v>https://pbs.twimg.com/media/FoVxE1naAAA42qs.jpg</v>
      </c>
      <c r="V115" s="80" t="str">
        <f>HYPERLINK("https://pbs.twimg.com/media/FoVxE1naAAA42qs.jpg")</f>
        <v>https://pbs.twimg.com/media/FoVxE1naAAA42qs.jpg</v>
      </c>
      <c r="W115" s="79">
        <v>44964.22244212963</v>
      </c>
      <c r="X115" s="84">
        <v>44964</v>
      </c>
      <c r="Y115" s="81" t="s">
        <v>650</v>
      </c>
      <c r="Z115" s="80" t="str">
        <f>HYPERLINK("https://twitter.com/medbennett/status/1622827575142936577")</f>
        <v>https://twitter.com/medbennett/status/1622827575142936577</v>
      </c>
      <c r="AA115" s="77"/>
      <c r="AB115" s="77"/>
      <c r="AC115" s="81" t="s">
        <v>806</v>
      </c>
      <c r="AD115" s="81" t="s">
        <v>902</v>
      </c>
      <c r="AE115" s="77" t="b">
        <v>0</v>
      </c>
      <c r="AF115" s="77">
        <v>50</v>
      </c>
      <c r="AG115" s="81" t="s">
        <v>933</v>
      </c>
      <c r="AH115" s="77" t="b">
        <v>0</v>
      </c>
      <c r="AI115" s="77" t="s">
        <v>950</v>
      </c>
      <c r="AJ115" s="77"/>
      <c r="AK115" s="81" t="s">
        <v>916</v>
      </c>
      <c r="AL115" s="77" t="b">
        <v>0</v>
      </c>
      <c r="AM115" s="77">
        <v>4</v>
      </c>
      <c r="AN115" s="81" t="s">
        <v>916</v>
      </c>
      <c r="AO115" s="81" t="s">
        <v>957</v>
      </c>
      <c r="AP115" s="77" t="b">
        <v>0</v>
      </c>
      <c r="AQ115" s="81" t="s">
        <v>902</v>
      </c>
      <c r="AR115" s="77" t="s">
        <v>207</v>
      </c>
      <c r="AS115" s="77">
        <v>0</v>
      </c>
      <c r="AT115" s="77">
        <v>0</v>
      </c>
      <c r="AU115" s="77"/>
      <c r="AV115" s="77"/>
      <c r="AW115" s="77"/>
      <c r="AX115" s="77"/>
      <c r="AY115" s="77"/>
      <c r="AZ115" s="77"/>
      <c r="BA115" s="77"/>
      <c r="BB115" s="77"/>
      <c r="BC115">
        <v>1</v>
      </c>
      <c r="BD115" s="76" t="str">
        <f>REPLACE(INDEX(GroupVertices[Group],MATCH(Edges[[#This Row],[Vertex 1]],GroupVertices[Vertex],0)),1,1,"")</f>
        <v>2</v>
      </c>
      <c r="BE115" s="76" t="str">
        <f>REPLACE(INDEX(GroupVertices[Group],MATCH(Edges[[#This Row],[Vertex 2]],GroupVertices[Vertex],0)),1,1,"")</f>
        <v>2</v>
      </c>
      <c r="BF115" s="31"/>
      <c r="BG115" s="31"/>
      <c r="BH115" s="31"/>
      <c r="BI115" s="31"/>
      <c r="BJ115" s="31"/>
      <c r="BK115" s="31"/>
      <c r="BL115" s="31"/>
      <c r="BM115" s="31"/>
      <c r="BN115" s="31"/>
    </row>
    <row r="116" spans="1:66" ht="15">
      <c r="A116" s="61" t="s">
        <v>315</v>
      </c>
      <c r="B116" s="61" t="s">
        <v>299</v>
      </c>
      <c r="C116" s="62"/>
      <c r="D116" s="63"/>
      <c r="E116" s="64"/>
      <c r="F116" s="65"/>
      <c r="G116" s="62"/>
      <c r="H116" s="66"/>
      <c r="I116" s="67"/>
      <c r="J116" s="67"/>
      <c r="K116" s="31" t="s">
        <v>65</v>
      </c>
      <c r="L116" s="75">
        <v>116</v>
      </c>
      <c r="M116" s="75"/>
      <c r="N116" s="69"/>
      <c r="O116" s="77" t="s">
        <v>447</v>
      </c>
      <c r="P116" s="79">
        <v>44964.62706018519</v>
      </c>
      <c r="Q116" s="77" t="s">
        <v>484</v>
      </c>
      <c r="R116" s="77"/>
      <c r="S116" s="77"/>
      <c r="T116" s="81" t="s">
        <v>565</v>
      </c>
      <c r="U116" s="80" t="str">
        <f>HYPERLINK("https://pbs.twimg.com/media/FoVxE1naAAA42qs.jpg")</f>
        <v>https://pbs.twimg.com/media/FoVxE1naAAA42qs.jpg</v>
      </c>
      <c r="V116" s="80" t="str">
        <f>HYPERLINK("https://pbs.twimg.com/media/FoVxE1naAAA42qs.jpg")</f>
        <v>https://pbs.twimg.com/media/FoVxE1naAAA42qs.jpg</v>
      </c>
      <c r="W116" s="79">
        <v>44964.62706018519</v>
      </c>
      <c r="X116" s="84">
        <v>44964</v>
      </c>
      <c r="Y116" s="81" t="s">
        <v>651</v>
      </c>
      <c r="Z116" s="80" t="str">
        <f>HYPERLINK("https://twitter.com/drfessel/status/1622974202994397186")</f>
        <v>https://twitter.com/drfessel/status/1622974202994397186</v>
      </c>
      <c r="AA116" s="77"/>
      <c r="AB116" s="77"/>
      <c r="AC116" s="81" t="s">
        <v>807</v>
      </c>
      <c r="AD116" s="77"/>
      <c r="AE116" s="77" t="b">
        <v>0</v>
      </c>
      <c r="AF116" s="77">
        <v>0</v>
      </c>
      <c r="AG116" s="81" t="s">
        <v>916</v>
      </c>
      <c r="AH116" s="77" t="b">
        <v>0</v>
      </c>
      <c r="AI116" s="77" t="s">
        <v>950</v>
      </c>
      <c r="AJ116" s="77"/>
      <c r="AK116" s="81" t="s">
        <v>916</v>
      </c>
      <c r="AL116" s="77" t="b">
        <v>0</v>
      </c>
      <c r="AM116" s="77">
        <v>4</v>
      </c>
      <c r="AN116" s="81" t="s">
        <v>806</v>
      </c>
      <c r="AO116" s="81" t="s">
        <v>958</v>
      </c>
      <c r="AP116" s="77" t="b">
        <v>0</v>
      </c>
      <c r="AQ116" s="81" t="s">
        <v>806</v>
      </c>
      <c r="AR116" s="77" t="s">
        <v>207</v>
      </c>
      <c r="AS116" s="77">
        <v>0</v>
      </c>
      <c r="AT116" s="77">
        <v>0</v>
      </c>
      <c r="AU116" s="77"/>
      <c r="AV116" s="77"/>
      <c r="AW116" s="77"/>
      <c r="AX116" s="77"/>
      <c r="AY116" s="77"/>
      <c r="AZ116" s="77"/>
      <c r="BA116" s="77"/>
      <c r="BB116" s="77"/>
      <c r="BC116">
        <v>1</v>
      </c>
      <c r="BD116" s="76" t="str">
        <f>REPLACE(INDEX(GroupVertices[Group],MATCH(Edges[[#This Row],[Vertex 1]],GroupVertices[Vertex],0)),1,1,"")</f>
        <v>2</v>
      </c>
      <c r="BE116" s="76" t="str">
        <f>REPLACE(INDEX(GroupVertices[Group],MATCH(Edges[[#This Row],[Vertex 2]],GroupVertices[Vertex],0)),1,1,"")</f>
        <v>2</v>
      </c>
      <c r="BF116" s="31"/>
      <c r="BG116" s="31"/>
      <c r="BH116" s="31"/>
      <c r="BI116" s="31"/>
      <c r="BJ116" s="31"/>
      <c r="BK116" s="31"/>
      <c r="BL116" s="31"/>
      <c r="BM116" s="31"/>
      <c r="BN116" s="31"/>
    </row>
    <row r="117" spans="1:66" ht="15">
      <c r="A117" s="61" t="s">
        <v>315</v>
      </c>
      <c r="B117" s="61" t="s">
        <v>408</v>
      </c>
      <c r="C117" s="62"/>
      <c r="D117" s="63"/>
      <c r="E117" s="64"/>
      <c r="F117" s="65"/>
      <c r="G117" s="62"/>
      <c r="H117" s="66"/>
      <c r="I117" s="67"/>
      <c r="J117" s="67"/>
      <c r="K117" s="31" t="s">
        <v>65</v>
      </c>
      <c r="L117" s="75">
        <v>117</v>
      </c>
      <c r="M117" s="75"/>
      <c r="N117" s="69"/>
      <c r="O117" s="77" t="s">
        <v>446</v>
      </c>
      <c r="P117" s="79">
        <v>44964.62706018519</v>
      </c>
      <c r="Q117" s="77" t="s">
        <v>484</v>
      </c>
      <c r="R117" s="77"/>
      <c r="S117" s="77"/>
      <c r="T117" s="81" t="s">
        <v>565</v>
      </c>
      <c r="U117" s="80" t="str">
        <f>HYPERLINK("https://pbs.twimg.com/media/FoVxE1naAAA42qs.jpg")</f>
        <v>https://pbs.twimg.com/media/FoVxE1naAAA42qs.jpg</v>
      </c>
      <c r="V117" s="80" t="str">
        <f>HYPERLINK("https://pbs.twimg.com/media/FoVxE1naAAA42qs.jpg")</f>
        <v>https://pbs.twimg.com/media/FoVxE1naAAA42qs.jpg</v>
      </c>
      <c r="W117" s="79">
        <v>44964.62706018519</v>
      </c>
      <c r="X117" s="84">
        <v>44964</v>
      </c>
      <c r="Y117" s="81" t="s">
        <v>651</v>
      </c>
      <c r="Z117" s="80" t="str">
        <f>HYPERLINK("https://twitter.com/drfessel/status/1622974202994397186")</f>
        <v>https://twitter.com/drfessel/status/1622974202994397186</v>
      </c>
      <c r="AA117" s="77"/>
      <c r="AB117" s="77"/>
      <c r="AC117" s="81" t="s">
        <v>807</v>
      </c>
      <c r="AD117" s="77"/>
      <c r="AE117" s="77" t="b">
        <v>0</v>
      </c>
      <c r="AF117" s="77">
        <v>0</v>
      </c>
      <c r="AG117" s="81" t="s">
        <v>916</v>
      </c>
      <c r="AH117" s="77" t="b">
        <v>0</v>
      </c>
      <c r="AI117" s="77" t="s">
        <v>950</v>
      </c>
      <c r="AJ117" s="77"/>
      <c r="AK117" s="81" t="s">
        <v>916</v>
      </c>
      <c r="AL117" s="77" t="b">
        <v>0</v>
      </c>
      <c r="AM117" s="77">
        <v>4</v>
      </c>
      <c r="AN117" s="81" t="s">
        <v>806</v>
      </c>
      <c r="AO117" s="81" t="s">
        <v>958</v>
      </c>
      <c r="AP117" s="77" t="b">
        <v>0</v>
      </c>
      <c r="AQ117" s="81" t="s">
        <v>806</v>
      </c>
      <c r="AR117" s="77" t="s">
        <v>207</v>
      </c>
      <c r="AS117" s="77">
        <v>0</v>
      </c>
      <c r="AT117" s="77">
        <v>0</v>
      </c>
      <c r="AU117" s="77"/>
      <c r="AV117" s="77"/>
      <c r="AW117" s="77"/>
      <c r="AX117" s="77"/>
      <c r="AY117" s="77"/>
      <c r="AZ117" s="77"/>
      <c r="BA117" s="77"/>
      <c r="BB117" s="77"/>
      <c r="BC117">
        <v>1</v>
      </c>
      <c r="BD117" s="76" t="str">
        <f>REPLACE(INDEX(GroupVertices[Group],MATCH(Edges[[#This Row],[Vertex 1]],GroupVertices[Vertex],0)),1,1,"")</f>
        <v>2</v>
      </c>
      <c r="BE117" s="76" t="str">
        <f>REPLACE(INDEX(GroupVertices[Group],MATCH(Edges[[#This Row],[Vertex 2]],GroupVertices[Vertex],0)),1,1,"")</f>
        <v>2</v>
      </c>
      <c r="BF117" s="31"/>
      <c r="BG117" s="31"/>
      <c r="BH117" s="31"/>
      <c r="BI117" s="31"/>
      <c r="BJ117" s="31"/>
      <c r="BK117" s="31"/>
      <c r="BL117" s="31"/>
      <c r="BM117" s="31"/>
      <c r="BN117" s="31"/>
    </row>
    <row r="118" spans="1:66" ht="15">
      <c r="A118" s="61" t="s">
        <v>315</v>
      </c>
      <c r="B118" s="61" t="s">
        <v>387</v>
      </c>
      <c r="C118" s="62"/>
      <c r="D118" s="63"/>
      <c r="E118" s="64"/>
      <c r="F118" s="65"/>
      <c r="G118" s="62"/>
      <c r="H118" s="66"/>
      <c r="I118" s="67"/>
      <c r="J118" s="67"/>
      <c r="K118" s="31" t="s">
        <v>65</v>
      </c>
      <c r="L118" s="75">
        <v>118</v>
      </c>
      <c r="M118" s="75"/>
      <c r="N118" s="69"/>
      <c r="O118" s="77" t="s">
        <v>445</v>
      </c>
      <c r="P118" s="79">
        <v>44964.62706018519</v>
      </c>
      <c r="Q118" s="77" t="s">
        <v>484</v>
      </c>
      <c r="R118" s="77"/>
      <c r="S118" s="77"/>
      <c r="T118" s="81" t="s">
        <v>565</v>
      </c>
      <c r="U118" s="80" t="str">
        <f>HYPERLINK("https://pbs.twimg.com/media/FoVxE1naAAA42qs.jpg")</f>
        <v>https://pbs.twimg.com/media/FoVxE1naAAA42qs.jpg</v>
      </c>
      <c r="V118" s="80" t="str">
        <f>HYPERLINK("https://pbs.twimg.com/media/FoVxE1naAAA42qs.jpg")</f>
        <v>https://pbs.twimg.com/media/FoVxE1naAAA42qs.jpg</v>
      </c>
      <c r="W118" s="79">
        <v>44964.62706018519</v>
      </c>
      <c r="X118" s="84">
        <v>44964</v>
      </c>
      <c r="Y118" s="81" t="s">
        <v>651</v>
      </c>
      <c r="Z118" s="80" t="str">
        <f>HYPERLINK("https://twitter.com/drfessel/status/1622974202994397186")</f>
        <v>https://twitter.com/drfessel/status/1622974202994397186</v>
      </c>
      <c r="AA118" s="77"/>
      <c r="AB118" s="77"/>
      <c r="AC118" s="81" t="s">
        <v>807</v>
      </c>
      <c r="AD118" s="77"/>
      <c r="AE118" s="77" t="b">
        <v>0</v>
      </c>
      <c r="AF118" s="77">
        <v>0</v>
      </c>
      <c r="AG118" s="81" t="s">
        <v>916</v>
      </c>
      <c r="AH118" s="77" t="b">
        <v>0</v>
      </c>
      <c r="AI118" s="77" t="s">
        <v>950</v>
      </c>
      <c r="AJ118" s="77"/>
      <c r="AK118" s="81" t="s">
        <v>916</v>
      </c>
      <c r="AL118" s="77" t="b">
        <v>0</v>
      </c>
      <c r="AM118" s="77">
        <v>4</v>
      </c>
      <c r="AN118" s="81" t="s">
        <v>806</v>
      </c>
      <c r="AO118" s="81" t="s">
        <v>958</v>
      </c>
      <c r="AP118" s="77" t="b">
        <v>0</v>
      </c>
      <c r="AQ118" s="81" t="s">
        <v>806</v>
      </c>
      <c r="AR118" s="77" t="s">
        <v>207</v>
      </c>
      <c r="AS118" s="77">
        <v>0</v>
      </c>
      <c r="AT118" s="77">
        <v>0</v>
      </c>
      <c r="AU118" s="77"/>
      <c r="AV118" s="77"/>
      <c r="AW118" s="77"/>
      <c r="AX118" s="77"/>
      <c r="AY118" s="77"/>
      <c r="AZ118" s="77"/>
      <c r="BA118" s="77"/>
      <c r="BB118" s="77"/>
      <c r="BC118">
        <v>1</v>
      </c>
      <c r="BD118" s="76" t="str">
        <f>REPLACE(INDEX(GroupVertices[Group],MATCH(Edges[[#This Row],[Vertex 1]],GroupVertices[Vertex],0)),1,1,"")</f>
        <v>2</v>
      </c>
      <c r="BE118" s="76" t="str">
        <f>REPLACE(INDEX(GroupVertices[Group],MATCH(Edges[[#This Row],[Vertex 2]],GroupVertices[Vertex],0)),1,1,"")</f>
        <v>2</v>
      </c>
      <c r="BF118" s="31"/>
      <c r="BG118" s="31"/>
      <c r="BH118" s="31"/>
      <c r="BI118" s="31"/>
      <c r="BJ118" s="31"/>
      <c r="BK118" s="31"/>
      <c r="BL118" s="31"/>
      <c r="BM118" s="31"/>
      <c r="BN118" s="31"/>
    </row>
    <row r="119" spans="1:66" ht="15">
      <c r="A119" s="61" t="s">
        <v>316</v>
      </c>
      <c r="B119" s="61" t="s">
        <v>342</v>
      </c>
      <c r="C119" s="62"/>
      <c r="D119" s="63"/>
      <c r="E119" s="64"/>
      <c r="F119" s="65"/>
      <c r="G119" s="62"/>
      <c r="H119" s="66"/>
      <c r="I119" s="67"/>
      <c r="J119" s="67"/>
      <c r="K119" s="31" t="s">
        <v>65</v>
      </c>
      <c r="L119" s="75">
        <v>119</v>
      </c>
      <c r="M119" s="75"/>
      <c r="N119" s="69"/>
      <c r="O119" s="77" t="s">
        <v>447</v>
      </c>
      <c r="P119" s="79">
        <v>44964.7509375</v>
      </c>
      <c r="Q119" s="77" t="s">
        <v>491</v>
      </c>
      <c r="R119" s="77"/>
      <c r="S119" s="77"/>
      <c r="T119" s="81" t="s">
        <v>567</v>
      </c>
      <c r="U119" s="80" t="str">
        <f>HYPERLINK("https://pbs.twimg.com/media/Fn0cNc_aQAAeetl.jpg")</f>
        <v>https://pbs.twimg.com/media/Fn0cNc_aQAAeetl.jpg</v>
      </c>
      <c r="V119" s="80" t="str">
        <f>HYPERLINK("https://pbs.twimg.com/media/Fn0cNc_aQAAeetl.jpg")</f>
        <v>https://pbs.twimg.com/media/Fn0cNc_aQAAeetl.jpg</v>
      </c>
      <c r="W119" s="79">
        <v>44964.7509375</v>
      </c>
      <c r="X119" s="84">
        <v>44964</v>
      </c>
      <c r="Y119" s="81" t="s">
        <v>652</v>
      </c>
      <c r="Z119" s="80" t="str">
        <f>HYPERLINK("https://twitter.com/wichard24576tic/status/1623019094835449856")</f>
        <v>https://twitter.com/wichard24576tic/status/1623019094835449856</v>
      </c>
      <c r="AA119" s="77"/>
      <c r="AB119" s="77"/>
      <c r="AC119" s="81" t="s">
        <v>808</v>
      </c>
      <c r="AD119" s="77"/>
      <c r="AE119" s="77" t="b">
        <v>0</v>
      </c>
      <c r="AF119" s="77">
        <v>0</v>
      </c>
      <c r="AG119" s="81" t="s">
        <v>916</v>
      </c>
      <c r="AH119" s="77" t="b">
        <v>0</v>
      </c>
      <c r="AI119" s="77" t="s">
        <v>950</v>
      </c>
      <c r="AJ119" s="77"/>
      <c r="AK119" s="81" t="s">
        <v>916</v>
      </c>
      <c r="AL119" s="77" t="b">
        <v>0</v>
      </c>
      <c r="AM119" s="77">
        <v>9</v>
      </c>
      <c r="AN119" s="81" t="s">
        <v>840</v>
      </c>
      <c r="AO119" s="81" t="s">
        <v>959</v>
      </c>
      <c r="AP119" s="77" t="b">
        <v>0</v>
      </c>
      <c r="AQ119" s="81" t="s">
        <v>840</v>
      </c>
      <c r="AR119" s="77" t="s">
        <v>207</v>
      </c>
      <c r="AS119" s="77">
        <v>0</v>
      </c>
      <c r="AT119" s="77">
        <v>0</v>
      </c>
      <c r="AU119" s="77"/>
      <c r="AV119" s="77"/>
      <c r="AW119" s="77"/>
      <c r="AX119" s="77"/>
      <c r="AY119" s="77"/>
      <c r="AZ119" s="77"/>
      <c r="BA119" s="77"/>
      <c r="BB119" s="77"/>
      <c r="BC119">
        <v>1</v>
      </c>
      <c r="BD119" s="76" t="str">
        <f>REPLACE(INDEX(GroupVertices[Group],MATCH(Edges[[#This Row],[Vertex 1]],GroupVertices[Vertex],0)),1,1,"")</f>
        <v>18</v>
      </c>
      <c r="BE119" s="76" t="str">
        <f>REPLACE(INDEX(GroupVertices[Group],MATCH(Edges[[#This Row],[Vertex 2]],GroupVertices[Vertex],0)),1,1,"")</f>
        <v>18</v>
      </c>
      <c r="BF119" s="31"/>
      <c r="BG119" s="31"/>
      <c r="BH119" s="31"/>
      <c r="BI119" s="31"/>
      <c r="BJ119" s="31"/>
      <c r="BK119" s="31"/>
      <c r="BL119" s="31"/>
      <c r="BM119" s="31"/>
      <c r="BN119" s="31"/>
    </row>
    <row r="120" spans="1:66" ht="15">
      <c r="A120" s="61" t="s">
        <v>317</v>
      </c>
      <c r="B120" s="61" t="s">
        <v>412</v>
      </c>
      <c r="C120" s="62"/>
      <c r="D120" s="63"/>
      <c r="E120" s="64"/>
      <c r="F120" s="65"/>
      <c r="G120" s="62"/>
      <c r="H120" s="66"/>
      <c r="I120" s="67"/>
      <c r="J120" s="67"/>
      <c r="K120" s="31" t="s">
        <v>65</v>
      </c>
      <c r="L120" s="75">
        <v>120</v>
      </c>
      <c r="M120" s="75"/>
      <c r="N120" s="69"/>
      <c r="O120" s="77" t="s">
        <v>448</v>
      </c>
      <c r="P120" s="79">
        <v>44964.80484953704</v>
      </c>
      <c r="Q120" s="77" t="s">
        <v>492</v>
      </c>
      <c r="R120" s="77"/>
      <c r="S120" s="77"/>
      <c r="T120" s="77"/>
      <c r="U120" s="77"/>
      <c r="V120" s="80" t="str">
        <f>HYPERLINK("https://pbs.twimg.com/profile_images/1574614804383338519/DZb1H2PD_normal.jpg")</f>
        <v>https://pbs.twimg.com/profile_images/1574614804383338519/DZb1H2PD_normal.jpg</v>
      </c>
      <c r="W120" s="79">
        <v>44964.80484953704</v>
      </c>
      <c r="X120" s="84">
        <v>44964</v>
      </c>
      <c r="Y120" s="81" t="s">
        <v>653</v>
      </c>
      <c r="Z120" s="80" t="str">
        <f>HYPERLINK("https://twitter.com/walkeroftime/status/1623038633291747347")</f>
        <v>https://twitter.com/walkeroftime/status/1623038633291747347</v>
      </c>
      <c r="AA120" s="77"/>
      <c r="AB120" s="77"/>
      <c r="AC120" s="81" t="s">
        <v>809</v>
      </c>
      <c r="AD120" s="81" t="s">
        <v>903</v>
      </c>
      <c r="AE120" s="77" t="b">
        <v>0</v>
      </c>
      <c r="AF120" s="77">
        <v>2</v>
      </c>
      <c r="AG120" s="81" t="s">
        <v>934</v>
      </c>
      <c r="AH120" s="77" t="b">
        <v>0</v>
      </c>
      <c r="AI120" s="77" t="s">
        <v>950</v>
      </c>
      <c r="AJ120" s="77"/>
      <c r="AK120" s="81" t="s">
        <v>916</v>
      </c>
      <c r="AL120" s="77" t="b">
        <v>0</v>
      </c>
      <c r="AM120" s="77">
        <v>0</v>
      </c>
      <c r="AN120" s="81" t="s">
        <v>916</v>
      </c>
      <c r="AO120" s="81" t="s">
        <v>958</v>
      </c>
      <c r="AP120" s="77" t="b">
        <v>0</v>
      </c>
      <c r="AQ120" s="81" t="s">
        <v>903</v>
      </c>
      <c r="AR120" s="77" t="s">
        <v>207</v>
      </c>
      <c r="AS120" s="77">
        <v>0</v>
      </c>
      <c r="AT120" s="77">
        <v>0</v>
      </c>
      <c r="AU120" s="77"/>
      <c r="AV120" s="77"/>
      <c r="AW120" s="77"/>
      <c r="AX120" s="77"/>
      <c r="AY120" s="77"/>
      <c r="AZ120" s="77"/>
      <c r="BA120" s="77"/>
      <c r="BB120" s="77"/>
      <c r="BC120">
        <v>1</v>
      </c>
      <c r="BD120" s="76" t="str">
        <f>REPLACE(INDEX(GroupVertices[Group],MATCH(Edges[[#This Row],[Vertex 1]],GroupVertices[Vertex],0)),1,1,"")</f>
        <v>19</v>
      </c>
      <c r="BE120" s="76" t="str">
        <f>REPLACE(INDEX(GroupVertices[Group],MATCH(Edges[[#This Row],[Vertex 2]],GroupVertices[Vertex],0)),1,1,"")</f>
        <v>19</v>
      </c>
      <c r="BF120" s="31"/>
      <c r="BG120" s="31"/>
      <c r="BH120" s="31"/>
      <c r="BI120" s="31"/>
      <c r="BJ120" s="31"/>
      <c r="BK120" s="31"/>
      <c r="BL120" s="31"/>
      <c r="BM120" s="31"/>
      <c r="BN120" s="31"/>
    </row>
    <row r="121" spans="1:66" ht="15">
      <c r="A121" s="61" t="s">
        <v>317</v>
      </c>
      <c r="B121" s="61" t="s">
        <v>413</v>
      </c>
      <c r="C121" s="62"/>
      <c r="D121" s="63"/>
      <c r="E121" s="64"/>
      <c r="F121" s="65"/>
      <c r="G121" s="62"/>
      <c r="H121" s="66"/>
      <c r="I121" s="67"/>
      <c r="J121" s="67"/>
      <c r="K121" s="31" t="s">
        <v>65</v>
      </c>
      <c r="L121" s="75">
        <v>121</v>
      </c>
      <c r="M121" s="75"/>
      <c r="N121" s="69"/>
      <c r="O121" s="77" t="s">
        <v>446</v>
      </c>
      <c r="P121" s="79">
        <v>44964.80484953704</v>
      </c>
      <c r="Q121" s="77" t="s">
        <v>492</v>
      </c>
      <c r="R121" s="77"/>
      <c r="S121" s="77"/>
      <c r="T121" s="77"/>
      <c r="U121" s="77"/>
      <c r="V121" s="80" t="str">
        <f>HYPERLINK("https://pbs.twimg.com/profile_images/1574614804383338519/DZb1H2PD_normal.jpg")</f>
        <v>https://pbs.twimg.com/profile_images/1574614804383338519/DZb1H2PD_normal.jpg</v>
      </c>
      <c r="W121" s="79">
        <v>44964.80484953704</v>
      </c>
      <c r="X121" s="84">
        <v>44964</v>
      </c>
      <c r="Y121" s="81" t="s">
        <v>653</v>
      </c>
      <c r="Z121" s="80" t="str">
        <f>HYPERLINK("https://twitter.com/walkeroftime/status/1623038633291747347")</f>
        <v>https://twitter.com/walkeroftime/status/1623038633291747347</v>
      </c>
      <c r="AA121" s="77"/>
      <c r="AB121" s="77"/>
      <c r="AC121" s="81" t="s">
        <v>809</v>
      </c>
      <c r="AD121" s="81" t="s">
        <v>903</v>
      </c>
      <c r="AE121" s="77" t="b">
        <v>0</v>
      </c>
      <c r="AF121" s="77">
        <v>2</v>
      </c>
      <c r="AG121" s="81" t="s">
        <v>934</v>
      </c>
      <c r="AH121" s="77" t="b">
        <v>0</v>
      </c>
      <c r="AI121" s="77" t="s">
        <v>950</v>
      </c>
      <c r="AJ121" s="77"/>
      <c r="AK121" s="81" t="s">
        <v>916</v>
      </c>
      <c r="AL121" s="77" t="b">
        <v>0</v>
      </c>
      <c r="AM121" s="77">
        <v>0</v>
      </c>
      <c r="AN121" s="81" t="s">
        <v>916</v>
      </c>
      <c r="AO121" s="81" t="s">
        <v>958</v>
      </c>
      <c r="AP121" s="77" t="b">
        <v>0</v>
      </c>
      <c r="AQ121" s="81" t="s">
        <v>903</v>
      </c>
      <c r="AR121" s="77" t="s">
        <v>207</v>
      </c>
      <c r="AS121" s="77">
        <v>0</v>
      </c>
      <c r="AT121" s="77">
        <v>0</v>
      </c>
      <c r="AU121" s="77"/>
      <c r="AV121" s="77"/>
      <c r="AW121" s="77"/>
      <c r="AX121" s="77"/>
      <c r="AY121" s="77"/>
      <c r="AZ121" s="77"/>
      <c r="BA121" s="77"/>
      <c r="BB121" s="77"/>
      <c r="BC121">
        <v>1</v>
      </c>
      <c r="BD121" s="76" t="str">
        <f>REPLACE(INDEX(GroupVertices[Group],MATCH(Edges[[#This Row],[Vertex 1]],GroupVertices[Vertex],0)),1,1,"")</f>
        <v>19</v>
      </c>
      <c r="BE121" s="76" t="str">
        <f>REPLACE(INDEX(GroupVertices[Group],MATCH(Edges[[#This Row],[Vertex 2]],GroupVertices[Vertex],0)),1,1,"")</f>
        <v>19</v>
      </c>
      <c r="BF121" s="31"/>
      <c r="BG121" s="31"/>
      <c r="BH121" s="31"/>
      <c r="BI121" s="31"/>
      <c r="BJ121" s="31"/>
      <c r="BK121" s="31"/>
      <c r="BL121" s="31"/>
      <c r="BM121" s="31"/>
      <c r="BN121" s="31"/>
    </row>
    <row r="122" spans="1:66" ht="15">
      <c r="A122" s="61" t="s">
        <v>318</v>
      </c>
      <c r="B122" s="61" t="s">
        <v>318</v>
      </c>
      <c r="C122" s="62"/>
      <c r="D122" s="63"/>
      <c r="E122" s="64"/>
      <c r="F122" s="65"/>
      <c r="G122" s="62"/>
      <c r="H122" s="66"/>
      <c r="I122" s="67"/>
      <c r="J122" s="67"/>
      <c r="K122" s="31" t="s">
        <v>65</v>
      </c>
      <c r="L122" s="75">
        <v>122</v>
      </c>
      <c r="M122" s="75"/>
      <c r="N122" s="69"/>
      <c r="O122" s="77" t="s">
        <v>207</v>
      </c>
      <c r="P122" s="79">
        <v>44965.03633101852</v>
      </c>
      <c r="Q122" s="77" t="s">
        <v>493</v>
      </c>
      <c r="R122" s="80" t="str">
        <f>HYPERLINK("https://twitter.com/libsoftiktok/status/1623048958074589184")</f>
        <v>https://twitter.com/libsoftiktok/status/1623048958074589184</v>
      </c>
      <c r="S122" s="77" t="s">
        <v>551</v>
      </c>
      <c r="T122" s="77"/>
      <c r="U122" s="77"/>
      <c r="V122" s="80" t="str">
        <f>HYPERLINK("https://pbs.twimg.com/profile_images/1509622506944090112/ZmC6XW11_normal.jpg")</f>
        <v>https://pbs.twimg.com/profile_images/1509622506944090112/ZmC6XW11_normal.jpg</v>
      </c>
      <c r="W122" s="79">
        <v>44965.03633101852</v>
      </c>
      <c r="X122" s="84">
        <v>44965</v>
      </c>
      <c r="Y122" s="81" t="s">
        <v>654</v>
      </c>
      <c r="Z122" s="80" t="str">
        <f>HYPERLINK("https://twitter.com/steuben_baron/status/1623122517786329088")</f>
        <v>https://twitter.com/steuben_baron/status/1623122517786329088</v>
      </c>
      <c r="AA122" s="77"/>
      <c r="AB122" s="77"/>
      <c r="AC122" s="81" t="s">
        <v>810</v>
      </c>
      <c r="AD122" s="77"/>
      <c r="AE122" s="77" t="b">
        <v>0</v>
      </c>
      <c r="AF122" s="77">
        <v>0</v>
      </c>
      <c r="AG122" s="81" t="s">
        <v>916</v>
      </c>
      <c r="AH122" s="77" t="b">
        <v>1</v>
      </c>
      <c r="AI122" s="77" t="s">
        <v>950</v>
      </c>
      <c r="AJ122" s="77"/>
      <c r="AK122" s="81" t="s">
        <v>954</v>
      </c>
      <c r="AL122" s="77" t="b">
        <v>0</v>
      </c>
      <c r="AM122" s="77">
        <v>0</v>
      </c>
      <c r="AN122" s="81" t="s">
        <v>916</v>
      </c>
      <c r="AO122" s="81" t="s">
        <v>957</v>
      </c>
      <c r="AP122" s="77" t="b">
        <v>0</v>
      </c>
      <c r="AQ122" s="81" t="s">
        <v>810</v>
      </c>
      <c r="AR122" s="77" t="s">
        <v>207</v>
      </c>
      <c r="AS122" s="77">
        <v>0</v>
      </c>
      <c r="AT122" s="77">
        <v>0</v>
      </c>
      <c r="AU122" s="77"/>
      <c r="AV122" s="77"/>
      <c r="AW122" s="77"/>
      <c r="AX122" s="77"/>
      <c r="AY122" s="77"/>
      <c r="AZ122" s="77"/>
      <c r="BA122" s="77"/>
      <c r="BB122" s="77"/>
      <c r="BC122">
        <v>1</v>
      </c>
      <c r="BD122" s="76" t="str">
        <f>REPLACE(INDEX(GroupVertices[Group],MATCH(Edges[[#This Row],[Vertex 1]],GroupVertices[Vertex],0)),1,1,"")</f>
        <v>70</v>
      </c>
      <c r="BE122" s="76" t="str">
        <f>REPLACE(INDEX(GroupVertices[Group],MATCH(Edges[[#This Row],[Vertex 2]],GroupVertices[Vertex],0)),1,1,"")</f>
        <v>70</v>
      </c>
      <c r="BF122" s="31"/>
      <c r="BG122" s="31"/>
      <c r="BH122" s="31"/>
      <c r="BI122" s="31"/>
      <c r="BJ122" s="31"/>
      <c r="BK122" s="31"/>
      <c r="BL122" s="31"/>
      <c r="BM122" s="31"/>
      <c r="BN122" s="31"/>
    </row>
    <row r="123" spans="1:66" ht="15">
      <c r="A123" s="61" t="s">
        <v>319</v>
      </c>
      <c r="B123" s="61" t="s">
        <v>414</v>
      </c>
      <c r="C123" s="62"/>
      <c r="D123" s="63"/>
      <c r="E123" s="64"/>
      <c r="F123" s="65"/>
      <c r="G123" s="62"/>
      <c r="H123" s="66"/>
      <c r="I123" s="67"/>
      <c r="J123" s="67"/>
      <c r="K123" s="31" t="s">
        <v>65</v>
      </c>
      <c r="L123" s="75">
        <v>123</v>
      </c>
      <c r="M123" s="75"/>
      <c r="N123" s="69"/>
      <c r="O123" s="77" t="s">
        <v>446</v>
      </c>
      <c r="P123" s="79">
        <v>44965.12538194445</v>
      </c>
      <c r="Q123" s="77" t="s">
        <v>494</v>
      </c>
      <c r="R123" s="77"/>
      <c r="S123" s="77"/>
      <c r="T123" s="77"/>
      <c r="U123" s="80" t="str">
        <f>HYPERLINK("https://pbs.twimg.com/media/Foaarc5XEAAJeHe.jpg")</f>
        <v>https://pbs.twimg.com/media/Foaarc5XEAAJeHe.jpg</v>
      </c>
      <c r="V123" s="80" t="str">
        <f>HYPERLINK("https://pbs.twimg.com/media/Foaarc5XEAAJeHe.jpg")</f>
        <v>https://pbs.twimg.com/media/Foaarc5XEAAJeHe.jpg</v>
      </c>
      <c r="W123" s="79">
        <v>44965.12538194445</v>
      </c>
      <c r="X123" s="84">
        <v>44965</v>
      </c>
      <c r="Y123" s="81" t="s">
        <v>655</v>
      </c>
      <c r="Z123" s="80" t="str">
        <f>HYPERLINK("https://twitter.com/gi_jon0131/status/1623154791026229250")</f>
        <v>https://twitter.com/gi_jon0131/status/1623154791026229250</v>
      </c>
      <c r="AA123" s="77"/>
      <c r="AB123" s="77"/>
      <c r="AC123" s="81" t="s">
        <v>811</v>
      </c>
      <c r="AD123" s="81" t="s">
        <v>904</v>
      </c>
      <c r="AE123" s="77" t="b">
        <v>0</v>
      </c>
      <c r="AF123" s="77">
        <v>0</v>
      </c>
      <c r="AG123" s="81" t="s">
        <v>935</v>
      </c>
      <c r="AH123" s="77" t="b">
        <v>0</v>
      </c>
      <c r="AI123" s="77" t="s">
        <v>950</v>
      </c>
      <c r="AJ123" s="77"/>
      <c r="AK123" s="81" t="s">
        <v>916</v>
      </c>
      <c r="AL123" s="77" t="b">
        <v>0</v>
      </c>
      <c r="AM123" s="77">
        <v>0</v>
      </c>
      <c r="AN123" s="81" t="s">
        <v>916</v>
      </c>
      <c r="AO123" s="81" t="s">
        <v>957</v>
      </c>
      <c r="AP123" s="77" t="b">
        <v>0</v>
      </c>
      <c r="AQ123" s="81" t="s">
        <v>904</v>
      </c>
      <c r="AR123" s="77" t="s">
        <v>207</v>
      </c>
      <c r="AS123" s="77">
        <v>0</v>
      </c>
      <c r="AT123" s="77">
        <v>0</v>
      </c>
      <c r="AU123" s="77"/>
      <c r="AV123" s="77"/>
      <c r="AW123" s="77"/>
      <c r="AX123" s="77"/>
      <c r="AY123" s="77"/>
      <c r="AZ123" s="77"/>
      <c r="BA123" s="77"/>
      <c r="BB123" s="77"/>
      <c r="BC123">
        <v>1</v>
      </c>
      <c r="BD123" s="76" t="str">
        <f>REPLACE(INDEX(GroupVertices[Group],MATCH(Edges[[#This Row],[Vertex 1]],GroupVertices[Vertex],0)),1,1,"")</f>
        <v>34</v>
      </c>
      <c r="BE123" s="76" t="str">
        <f>REPLACE(INDEX(GroupVertices[Group],MATCH(Edges[[#This Row],[Vertex 2]],GroupVertices[Vertex],0)),1,1,"")</f>
        <v>34</v>
      </c>
      <c r="BF123" s="31"/>
      <c r="BG123" s="31"/>
      <c r="BH123" s="31"/>
      <c r="BI123" s="31"/>
      <c r="BJ123" s="31"/>
      <c r="BK123" s="31"/>
      <c r="BL123" s="31"/>
      <c r="BM123" s="31"/>
      <c r="BN123" s="31"/>
    </row>
    <row r="124" spans="1:66" ht="15">
      <c r="A124" s="61" t="s">
        <v>320</v>
      </c>
      <c r="B124" s="61" t="s">
        <v>320</v>
      </c>
      <c r="C124" s="62"/>
      <c r="D124" s="63"/>
      <c r="E124" s="64"/>
      <c r="F124" s="65"/>
      <c r="G124" s="62"/>
      <c r="H124" s="66"/>
      <c r="I124" s="67"/>
      <c r="J124" s="67"/>
      <c r="K124" s="31" t="s">
        <v>65</v>
      </c>
      <c r="L124" s="75">
        <v>124</v>
      </c>
      <c r="M124" s="75"/>
      <c r="N124" s="69"/>
      <c r="O124" s="77" t="s">
        <v>207</v>
      </c>
      <c r="P124" s="79">
        <v>44965.336018518516</v>
      </c>
      <c r="Q124" s="77" t="s">
        <v>495</v>
      </c>
      <c r="R124" s="80" t="str">
        <f>HYPERLINK("https://twitter.com/ArtThePedant/status/1623226304454590464")</f>
        <v>https://twitter.com/ArtThePedant/status/1623226304454590464</v>
      </c>
      <c r="S124" s="77" t="s">
        <v>551</v>
      </c>
      <c r="T124" s="77"/>
      <c r="U124" s="77"/>
      <c r="V124" s="80" t="str">
        <f>HYPERLINK("https://pbs.twimg.com/profile_images/1622538209518358529/SsgOU1Rq_normal.jpg")</f>
        <v>https://pbs.twimg.com/profile_images/1622538209518358529/SsgOU1Rq_normal.jpg</v>
      </c>
      <c r="W124" s="79">
        <v>44965.336018518516</v>
      </c>
      <c r="X124" s="84">
        <v>44965</v>
      </c>
      <c r="Y124" s="81" t="s">
        <v>656</v>
      </c>
      <c r="Z124" s="80" t="str">
        <f>HYPERLINK("https://twitter.com/brits_gideon/status/1623231124423032836")</f>
        <v>https://twitter.com/brits_gideon/status/1623231124423032836</v>
      </c>
      <c r="AA124" s="77"/>
      <c r="AB124" s="77"/>
      <c r="AC124" s="81" t="s">
        <v>812</v>
      </c>
      <c r="AD124" s="77"/>
      <c r="AE124" s="77" t="b">
        <v>0</v>
      </c>
      <c r="AF124" s="77">
        <v>2</v>
      </c>
      <c r="AG124" s="81" t="s">
        <v>916</v>
      </c>
      <c r="AH124" s="77" t="b">
        <v>1</v>
      </c>
      <c r="AI124" s="77" t="s">
        <v>950</v>
      </c>
      <c r="AJ124" s="77"/>
      <c r="AK124" s="81" t="s">
        <v>955</v>
      </c>
      <c r="AL124" s="77" t="b">
        <v>0</v>
      </c>
      <c r="AM124" s="77">
        <v>0</v>
      </c>
      <c r="AN124" s="81" t="s">
        <v>916</v>
      </c>
      <c r="AO124" s="81" t="s">
        <v>958</v>
      </c>
      <c r="AP124" s="77" t="b">
        <v>0</v>
      </c>
      <c r="AQ124" s="81" t="s">
        <v>812</v>
      </c>
      <c r="AR124" s="77" t="s">
        <v>207</v>
      </c>
      <c r="AS124" s="77">
        <v>0</v>
      </c>
      <c r="AT124" s="77">
        <v>0</v>
      </c>
      <c r="AU124" s="77"/>
      <c r="AV124" s="77"/>
      <c r="AW124" s="77"/>
      <c r="AX124" s="77"/>
      <c r="AY124" s="77"/>
      <c r="AZ124" s="77"/>
      <c r="BA124" s="77"/>
      <c r="BB124" s="77"/>
      <c r="BC124">
        <v>1</v>
      </c>
      <c r="BD124" s="76" t="str">
        <f>REPLACE(INDEX(GroupVertices[Group],MATCH(Edges[[#This Row],[Vertex 1]],GroupVertices[Vertex],0)),1,1,"")</f>
        <v>69</v>
      </c>
      <c r="BE124" s="76" t="str">
        <f>REPLACE(INDEX(GroupVertices[Group],MATCH(Edges[[#This Row],[Vertex 2]],GroupVertices[Vertex],0)),1,1,"")</f>
        <v>69</v>
      </c>
      <c r="BF124" s="31"/>
      <c r="BG124" s="31"/>
      <c r="BH124" s="31"/>
      <c r="BI124" s="31"/>
      <c r="BJ124" s="31"/>
      <c r="BK124" s="31"/>
      <c r="BL124" s="31"/>
      <c r="BM124" s="31"/>
      <c r="BN124" s="31"/>
    </row>
    <row r="125" spans="1:66" ht="15">
      <c r="A125" s="61" t="s">
        <v>321</v>
      </c>
      <c r="B125" s="61" t="s">
        <v>321</v>
      </c>
      <c r="C125" s="62"/>
      <c r="D125" s="63"/>
      <c r="E125" s="64"/>
      <c r="F125" s="65"/>
      <c r="G125" s="62"/>
      <c r="H125" s="66"/>
      <c r="I125" s="67"/>
      <c r="J125" s="67"/>
      <c r="K125" s="31" t="s">
        <v>65</v>
      </c>
      <c r="L125" s="75">
        <v>125</v>
      </c>
      <c r="M125" s="75"/>
      <c r="N125" s="69"/>
      <c r="O125" s="77" t="s">
        <v>207</v>
      </c>
      <c r="P125" s="79">
        <v>44965.450740740744</v>
      </c>
      <c r="Q125" s="77" t="s">
        <v>496</v>
      </c>
      <c r="R125" s="77"/>
      <c r="S125" s="77"/>
      <c r="T125" s="81" t="s">
        <v>568</v>
      </c>
      <c r="U125" s="80" t="str">
        <f>HYPERLINK("https://pbs.twimg.com/media/FocF6P9acAEKP20.jpg")</f>
        <v>https://pbs.twimg.com/media/FocF6P9acAEKP20.jpg</v>
      </c>
      <c r="V125" s="80" t="str">
        <f>HYPERLINK("https://pbs.twimg.com/media/FocF6P9acAEKP20.jpg")</f>
        <v>https://pbs.twimg.com/media/FocF6P9acAEKP20.jpg</v>
      </c>
      <c r="W125" s="79">
        <v>44965.450740740744</v>
      </c>
      <c r="X125" s="84">
        <v>44965</v>
      </c>
      <c r="Y125" s="81" t="s">
        <v>657</v>
      </c>
      <c r="Z125" s="80" t="str">
        <f>HYPERLINK("https://twitter.com/thecsrjournal/status/1623272695701061633")</f>
        <v>https://twitter.com/thecsrjournal/status/1623272695701061633</v>
      </c>
      <c r="AA125" s="77"/>
      <c r="AB125" s="77"/>
      <c r="AC125" s="81" t="s">
        <v>813</v>
      </c>
      <c r="AD125" s="81" t="s">
        <v>905</v>
      </c>
      <c r="AE125" s="77" t="b">
        <v>0</v>
      </c>
      <c r="AF125" s="77">
        <v>0</v>
      </c>
      <c r="AG125" s="81" t="s">
        <v>936</v>
      </c>
      <c r="AH125" s="77" t="b">
        <v>0</v>
      </c>
      <c r="AI125" s="77" t="s">
        <v>950</v>
      </c>
      <c r="AJ125" s="77"/>
      <c r="AK125" s="81" t="s">
        <v>916</v>
      </c>
      <c r="AL125" s="77" t="b">
        <v>0</v>
      </c>
      <c r="AM125" s="77">
        <v>0</v>
      </c>
      <c r="AN125" s="81" t="s">
        <v>916</v>
      </c>
      <c r="AO125" s="81" t="s">
        <v>962</v>
      </c>
      <c r="AP125" s="77" t="b">
        <v>0</v>
      </c>
      <c r="AQ125" s="81" t="s">
        <v>905</v>
      </c>
      <c r="AR125" s="77" t="s">
        <v>207</v>
      </c>
      <c r="AS125" s="77">
        <v>0</v>
      </c>
      <c r="AT125" s="77">
        <v>0</v>
      </c>
      <c r="AU125" s="77"/>
      <c r="AV125" s="77"/>
      <c r="AW125" s="77"/>
      <c r="AX125" s="77"/>
      <c r="AY125" s="77"/>
      <c r="AZ125" s="77"/>
      <c r="BA125" s="77"/>
      <c r="BB125" s="77"/>
      <c r="BC125">
        <v>1</v>
      </c>
      <c r="BD125" s="76" t="str">
        <f>REPLACE(INDEX(GroupVertices[Group],MATCH(Edges[[#This Row],[Vertex 1]],GroupVertices[Vertex],0)),1,1,"")</f>
        <v>68</v>
      </c>
      <c r="BE125" s="76" t="str">
        <f>REPLACE(INDEX(GroupVertices[Group],MATCH(Edges[[#This Row],[Vertex 2]],GroupVertices[Vertex],0)),1,1,"")</f>
        <v>68</v>
      </c>
      <c r="BF125" s="31"/>
      <c r="BG125" s="31"/>
      <c r="BH125" s="31"/>
      <c r="BI125" s="31"/>
      <c r="BJ125" s="31"/>
      <c r="BK125" s="31"/>
      <c r="BL125" s="31"/>
      <c r="BM125" s="31"/>
      <c r="BN125" s="31"/>
    </row>
    <row r="126" spans="1:66" ht="15">
      <c r="A126" s="61" t="s">
        <v>322</v>
      </c>
      <c r="B126" s="61" t="s">
        <v>415</v>
      </c>
      <c r="C126" s="62"/>
      <c r="D126" s="63"/>
      <c r="E126" s="64"/>
      <c r="F126" s="65"/>
      <c r="G126" s="62"/>
      <c r="H126" s="66"/>
      <c r="I126" s="67"/>
      <c r="J126" s="67"/>
      <c r="K126" s="31" t="s">
        <v>65</v>
      </c>
      <c r="L126" s="75">
        <v>126</v>
      </c>
      <c r="M126" s="75"/>
      <c r="N126" s="69"/>
      <c r="O126" s="77" t="s">
        <v>448</v>
      </c>
      <c r="P126" s="79">
        <v>44965.53859953704</v>
      </c>
      <c r="Q126" s="77" t="s">
        <v>497</v>
      </c>
      <c r="R126" s="77"/>
      <c r="S126" s="77"/>
      <c r="T126" s="77"/>
      <c r="U126" s="77"/>
      <c r="V126" s="80" t="str">
        <f>HYPERLINK("https://pbs.twimg.com/profile_images/1326281997434712064/3SmBxBih_normal.jpg")</f>
        <v>https://pbs.twimg.com/profile_images/1326281997434712064/3SmBxBih_normal.jpg</v>
      </c>
      <c r="W126" s="79">
        <v>44965.53859953704</v>
      </c>
      <c r="X126" s="84">
        <v>44965</v>
      </c>
      <c r="Y126" s="81" t="s">
        <v>658</v>
      </c>
      <c r="Z126" s="80" t="str">
        <f>HYPERLINK("https://twitter.com/alesxius/status/1623304535669149696")</f>
        <v>https://twitter.com/alesxius/status/1623304535669149696</v>
      </c>
      <c r="AA126" s="77"/>
      <c r="AB126" s="77"/>
      <c r="AC126" s="81" t="s">
        <v>814</v>
      </c>
      <c r="AD126" s="81" t="s">
        <v>906</v>
      </c>
      <c r="AE126" s="77" t="b">
        <v>0</v>
      </c>
      <c r="AF126" s="77">
        <v>0</v>
      </c>
      <c r="AG126" s="81" t="s">
        <v>937</v>
      </c>
      <c r="AH126" s="77" t="b">
        <v>0</v>
      </c>
      <c r="AI126" s="77" t="s">
        <v>950</v>
      </c>
      <c r="AJ126" s="77"/>
      <c r="AK126" s="81" t="s">
        <v>916</v>
      </c>
      <c r="AL126" s="77" t="b">
        <v>0</v>
      </c>
      <c r="AM126" s="77">
        <v>0</v>
      </c>
      <c r="AN126" s="81" t="s">
        <v>916</v>
      </c>
      <c r="AO126" s="81" t="s">
        <v>957</v>
      </c>
      <c r="AP126" s="77" t="b">
        <v>0</v>
      </c>
      <c r="AQ126" s="81" t="s">
        <v>906</v>
      </c>
      <c r="AR126" s="77" t="s">
        <v>207</v>
      </c>
      <c r="AS126" s="77">
        <v>0</v>
      </c>
      <c r="AT126" s="77">
        <v>0</v>
      </c>
      <c r="AU126" s="77"/>
      <c r="AV126" s="77"/>
      <c r="AW126" s="77"/>
      <c r="AX126" s="77"/>
      <c r="AY126" s="77"/>
      <c r="AZ126" s="77"/>
      <c r="BA126" s="77"/>
      <c r="BB126" s="77"/>
      <c r="BC126">
        <v>1</v>
      </c>
      <c r="BD126" s="76" t="str">
        <f>REPLACE(INDEX(GroupVertices[Group],MATCH(Edges[[#This Row],[Vertex 1]],GroupVertices[Vertex],0)),1,1,"")</f>
        <v>10</v>
      </c>
      <c r="BE126" s="76" t="str">
        <f>REPLACE(INDEX(GroupVertices[Group],MATCH(Edges[[#This Row],[Vertex 2]],GroupVertices[Vertex],0)),1,1,"")</f>
        <v>10</v>
      </c>
      <c r="BF126" s="31"/>
      <c r="BG126" s="31"/>
      <c r="BH126" s="31"/>
      <c r="BI126" s="31"/>
      <c r="BJ126" s="31"/>
      <c r="BK126" s="31"/>
      <c r="BL126" s="31"/>
      <c r="BM126" s="31"/>
      <c r="BN126" s="31"/>
    </row>
    <row r="127" spans="1:66" ht="15">
      <c r="A127" s="61" t="s">
        <v>322</v>
      </c>
      <c r="B127" s="61" t="s">
        <v>325</v>
      </c>
      <c r="C127" s="62"/>
      <c r="D127" s="63"/>
      <c r="E127" s="64"/>
      <c r="F127" s="65"/>
      <c r="G127" s="62"/>
      <c r="H127" s="66"/>
      <c r="I127" s="67"/>
      <c r="J127" s="67"/>
      <c r="K127" s="31" t="s">
        <v>65</v>
      </c>
      <c r="L127" s="75">
        <v>127</v>
      </c>
      <c r="M127" s="75"/>
      <c r="N127" s="69"/>
      <c r="O127" s="77" t="s">
        <v>446</v>
      </c>
      <c r="P127" s="79">
        <v>44965.53859953704</v>
      </c>
      <c r="Q127" s="77" t="s">
        <v>497</v>
      </c>
      <c r="R127" s="77"/>
      <c r="S127" s="77"/>
      <c r="T127" s="77"/>
      <c r="U127" s="77"/>
      <c r="V127" s="80" t="str">
        <f>HYPERLINK("https://pbs.twimg.com/profile_images/1326281997434712064/3SmBxBih_normal.jpg")</f>
        <v>https://pbs.twimg.com/profile_images/1326281997434712064/3SmBxBih_normal.jpg</v>
      </c>
      <c r="W127" s="79">
        <v>44965.53859953704</v>
      </c>
      <c r="X127" s="84">
        <v>44965</v>
      </c>
      <c r="Y127" s="81" t="s">
        <v>658</v>
      </c>
      <c r="Z127" s="80" t="str">
        <f>HYPERLINK("https://twitter.com/alesxius/status/1623304535669149696")</f>
        <v>https://twitter.com/alesxius/status/1623304535669149696</v>
      </c>
      <c r="AA127" s="77"/>
      <c r="AB127" s="77"/>
      <c r="AC127" s="81" t="s">
        <v>814</v>
      </c>
      <c r="AD127" s="81" t="s">
        <v>906</v>
      </c>
      <c r="AE127" s="77" t="b">
        <v>0</v>
      </c>
      <c r="AF127" s="77">
        <v>0</v>
      </c>
      <c r="AG127" s="81" t="s">
        <v>937</v>
      </c>
      <c r="AH127" s="77" t="b">
        <v>0</v>
      </c>
      <c r="AI127" s="77" t="s">
        <v>950</v>
      </c>
      <c r="AJ127" s="77"/>
      <c r="AK127" s="81" t="s">
        <v>916</v>
      </c>
      <c r="AL127" s="77" t="b">
        <v>0</v>
      </c>
      <c r="AM127" s="77">
        <v>0</v>
      </c>
      <c r="AN127" s="81" t="s">
        <v>916</v>
      </c>
      <c r="AO127" s="81" t="s">
        <v>957</v>
      </c>
      <c r="AP127" s="77" t="b">
        <v>0</v>
      </c>
      <c r="AQ127" s="81" t="s">
        <v>906</v>
      </c>
      <c r="AR127" s="77" t="s">
        <v>207</v>
      </c>
      <c r="AS127" s="77">
        <v>0</v>
      </c>
      <c r="AT127" s="77">
        <v>0</v>
      </c>
      <c r="AU127" s="77"/>
      <c r="AV127" s="77"/>
      <c r="AW127" s="77"/>
      <c r="AX127" s="77"/>
      <c r="AY127" s="77"/>
      <c r="AZ127" s="77"/>
      <c r="BA127" s="77"/>
      <c r="BB127" s="77"/>
      <c r="BC127">
        <v>1</v>
      </c>
      <c r="BD127" s="76" t="str">
        <f>REPLACE(INDEX(GroupVertices[Group],MATCH(Edges[[#This Row],[Vertex 1]],GroupVertices[Vertex],0)),1,1,"")</f>
        <v>10</v>
      </c>
      <c r="BE127" s="76" t="str">
        <f>REPLACE(INDEX(GroupVertices[Group],MATCH(Edges[[#This Row],[Vertex 2]],GroupVertices[Vertex],0)),1,1,"")</f>
        <v>10</v>
      </c>
      <c r="BF127" s="31"/>
      <c r="BG127" s="31"/>
      <c r="BH127" s="31"/>
      <c r="BI127" s="31"/>
      <c r="BJ127" s="31"/>
      <c r="BK127" s="31"/>
      <c r="BL127" s="31"/>
      <c r="BM127" s="31"/>
      <c r="BN127" s="31"/>
    </row>
    <row r="128" spans="1:66" ht="15">
      <c r="A128" s="61" t="s">
        <v>323</v>
      </c>
      <c r="B128" s="61" t="s">
        <v>416</v>
      </c>
      <c r="C128" s="62"/>
      <c r="D128" s="63"/>
      <c r="E128" s="64"/>
      <c r="F128" s="65"/>
      <c r="G128" s="62"/>
      <c r="H128" s="66"/>
      <c r="I128" s="67"/>
      <c r="J128" s="67"/>
      <c r="K128" s="31" t="s">
        <v>65</v>
      </c>
      <c r="L128" s="75">
        <v>128</v>
      </c>
      <c r="M128" s="75"/>
      <c r="N128" s="69"/>
      <c r="O128" s="77" t="s">
        <v>446</v>
      </c>
      <c r="P128" s="79">
        <v>44961.09081018518</v>
      </c>
      <c r="Q128" s="77" t="s">
        <v>498</v>
      </c>
      <c r="R128" s="77"/>
      <c r="S128" s="77"/>
      <c r="T128" s="81" t="s">
        <v>428</v>
      </c>
      <c r="U128" s="80" t="str">
        <f>HYPERLINK("https://pbs.twimg.com/ext_tw_video_thumb/1621692648758333441/pu/img/o0BN33fDNdAUWJGs.jpg")</f>
        <v>https://pbs.twimg.com/ext_tw_video_thumb/1621692648758333441/pu/img/o0BN33fDNdAUWJGs.jpg</v>
      </c>
      <c r="V128" s="80" t="str">
        <f>HYPERLINK("https://pbs.twimg.com/ext_tw_video_thumb/1621692648758333441/pu/img/o0BN33fDNdAUWJGs.jpg")</f>
        <v>https://pbs.twimg.com/ext_tw_video_thumb/1621692648758333441/pu/img/o0BN33fDNdAUWJGs.jpg</v>
      </c>
      <c r="W128" s="79">
        <v>44961.09081018518</v>
      </c>
      <c r="X128" s="84">
        <v>44961</v>
      </c>
      <c r="Y128" s="81" t="s">
        <v>659</v>
      </c>
      <c r="Z128" s="80" t="str">
        <f>HYPERLINK("https://twitter.com/scanmyphotosc/status/1621692712004247552")</f>
        <v>https://twitter.com/scanmyphotosc/status/1621692712004247552</v>
      </c>
      <c r="AA128" s="77"/>
      <c r="AB128" s="77"/>
      <c r="AC128" s="81" t="s">
        <v>815</v>
      </c>
      <c r="AD128" s="81" t="s">
        <v>907</v>
      </c>
      <c r="AE128" s="77" t="b">
        <v>0</v>
      </c>
      <c r="AF128" s="77">
        <v>0</v>
      </c>
      <c r="AG128" s="81" t="s">
        <v>938</v>
      </c>
      <c r="AH128" s="77" t="b">
        <v>0</v>
      </c>
      <c r="AI128" s="77" t="s">
        <v>950</v>
      </c>
      <c r="AJ128" s="77"/>
      <c r="AK128" s="81" t="s">
        <v>916</v>
      </c>
      <c r="AL128" s="77" t="b">
        <v>0</v>
      </c>
      <c r="AM128" s="77">
        <v>0</v>
      </c>
      <c r="AN128" s="81" t="s">
        <v>916</v>
      </c>
      <c r="AO128" s="81" t="s">
        <v>957</v>
      </c>
      <c r="AP128" s="77" t="b">
        <v>0</v>
      </c>
      <c r="AQ128" s="81" t="s">
        <v>907</v>
      </c>
      <c r="AR128" s="77" t="s">
        <v>207</v>
      </c>
      <c r="AS128" s="77">
        <v>0</v>
      </c>
      <c r="AT128" s="77">
        <v>0</v>
      </c>
      <c r="AU128" s="77"/>
      <c r="AV128" s="77"/>
      <c r="AW128" s="77"/>
      <c r="AX128" s="77"/>
      <c r="AY128" s="77"/>
      <c r="AZ128" s="77"/>
      <c r="BA128" s="77"/>
      <c r="BB128" s="77"/>
      <c r="BC128">
        <v>1</v>
      </c>
      <c r="BD128" s="76" t="str">
        <f>REPLACE(INDEX(GroupVertices[Group],MATCH(Edges[[#This Row],[Vertex 1]],GroupVertices[Vertex],0)),1,1,"")</f>
        <v>3</v>
      </c>
      <c r="BE128" s="76" t="str">
        <f>REPLACE(INDEX(GroupVertices[Group],MATCH(Edges[[#This Row],[Vertex 2]],GroupVertices[Vertex],0)),1,1,"")</f>
        <v>3</v>
      </c>
      <c r="BF128" s="31"/>
      <c r="BG128" s="31"/>
      <c r="BH128" s="31"/>
      <c r="BI128" s="31"/>
      <c r="BJ128" s="31"/>
      <c r="BK128" s="31"/>
      <c r="BL128" s="31"/>
      <c r="BM128" s="31"/>
      <c r="BN128" s="31"/>
    </row>
    <row r="129" spans="1:66" ht="15">
      <c r="A129" s="61" t="s">
        <v>323</v>
      </c>
      <c r="B129" s="61" t="s">
        <v>417</v>
      </c>
      <c r="C129" s="62"/>
      <c r="D129" s="63"/>
      <c r="E129" s="64"/>
      <c r="F129" s="65"/>
      <c r="G129" s="62"/>
      <c r="H129" s="66"/>
      <c r="I129" s="67"/>
      <c r="J129" s="67"/>
      <c r="K129" s="31" t="s">
        <v>65</v>
      </c>
      <c r="L129" s="75">
        <v>129</v>
      </c>
      <c r="M129" s="75"/>
      <c r="N129" s="69"/>
      <c r="O129" s="77" t="s">
        <v>446</v>
      </c>
      <c r="P129" s="79">
        <v>44961.83346064815</v>
      </c>
      <c r="Q129" s="77" t="s">
        <v>499</v>
      </c>
      <c r="R129" s="77"/>
      <c r="S129" s="77"/>
      <c r="T129" s="81" t="s">
        <v>428</v>
      </c>
      <c r="U129" s="80" t="str">
        <f>HYPERLINK("https://pbs.twimg.com/ext_tw_video_thumb/1621960597955813377/pu/img/Swt7rL4DPloJAaFg.jpg")</f>
        <v>https://pbs.twimg.com/ext_tw_video_thumb/1621960597955813377/pu/img/Swt7rL4DPloJAaFg.jpg</v>
      </c>
      <c r="V129" s="80" t="str">
        <f>HYPERLINK("https://pbs.twimg.com/ext_tw_video_thumb/1621960597955813377/pu/img/Swt7rL4DPloJAaFg.jpg")</f>
        <v>https://pbs.twimg.com/ext_tw_video_thumb/1621960597955813377/pu/img/Swt7rL4DPloJAaFg.jpg</v>
      </c>
      <c r="W129" s="79">
        <v>44961.83346064815</v>
      </c>
      <c r="X129" s="84">
        <v>44961</v>
      </c>
      <c r="Y129" s="81" t="s">
        <v>660</v>
      </c>
      <c r="Z129" s="80" t="str">
        <f>HYPERLINK("https://twitter.com/scanmyphotosc/status/1621961838329057280")</f>
        <v>https://twitter.com/scanmyphotosc/status/1621961838329057280</v>
      </c>
      <c r="AA129" s="77"/>
      <c r="AB129" s="77"/>
      <c r="AC129" s="81" t="s">
        <v>816</v>
      </c>
      <c r="AD129" s="77"/>
      <c r="AE129" s="77" t="b">
        <v>0</v>
      </c>
      <c r="AF129" s="77">
        <v>0</v>
      </c>
      <c r="AG129" s="81" t="s">
        <v>939</v>
      </c>
      <c r="AH129" s="77" t="b">
        <v>0</v>
      </c>
      <c r="AI129" s="77" t="s">
        <v>950</v>
      </c>
      <c r="AJ129" s="77"/>
      <c r="AK129" s="81" t="s">
        <v>916</v>
      </c>
      <c r="AL129" s="77" t="b">
        <v>0</v>
      </c>
      <c r="AM129" s="77">
        <v>0</v>
      </c>
      <c r="AN129" s="81" t="s">
        <v>916</v>
      </c>
      <c r="AO129" s="81" t="s">
        <v>963</v>
      </c>
      <c r="AP129" s="77" t="b">
        <v>0</v>
      </c>
      <c r="AQ129" s="81" t="s">
        <v>816</v>
      </c>
      <c r="AR129" s="77" t="s">
        <v>207</v>
      </c>
      <c r="AS129" s="77">
        <v>0</v>
      </c>
      <c r="AT129" s="77">
        <v>0</v>
      </c>
      <c r="AU129" s="77"/>
      <c r="AV129" s="77"/>
      <c r="AW129" s="77"/>
      <c r="AX129" s="77"/>
      <c r="AY129" s="77"/>
      <c r="AZ129" s="77"/>
      <c r="BA129" s="77"/>
      <c r="BB129" s="77"/>
      <c r="BC129">
        <v>1</v>
      </c>
      <c r="BD129" s="76" t="str">
        <f>REPLACE(INDEX(GroupVertices[Group],MATCH(Edges[[#This Row],[Vertex 1]],GroupVertices[Vertex],0)),1,1,"")</f>
        <v>3</v>
      </c>
      <c r="BE129" s="76" t="str">
        <f>REPLACE(INDEX(GroupVertices[Group],MATCH(Edges[[#This Row],[Vertex 2]],GroupVertices[Vertex],0)),1,1,"")</f>
        <v>3</v>
      </c>
      <c r="BF129" s="31"/>
      <c r="BG129" s="31"/>
      <c r="BH129" s="31"/>
      <c r="BI129" s="31"/>
      <c r="BJ129" s="31"/>
      <c r="BK129" s="31"/>
      <c r="BL129" s="31"/>
      <c r="BM129" s="31"/>
      <c r="BN129" s="31"/>
    </row>
    <row r="130" spans="1:66" ht="15">
      <c r="A130" s="61" t="s">
        <v>323</v>
      </c>
      <c r="B130" s="61" t="s">
        <v>418</v>
      </c>
      <c r="C130" s="62"/>
      <c r="D130" s="63"/>
      <c r="E130" s="64"/>
      <c r="F130" s="65"/>
      <c r="G130" s="62"/>
      <c r="H130" s="66"/>
      <c r="I130" s="67"/>
      <c r="J130" s="67"/>
      <c r="K130" s="31" t="s">
        <v>65</v>
      </c>
      <c r="L130" s="75">
        <v>130</v>
      </c>
      <c r="M130" s="75"/>
      <c r="N130" s="69"/>
      <c r="O130" s="77" t="s">
        <v>448</v>
      </c>
      <c r="P130" s="79">
        <v>44962.08693287037</v>
      </c>
      <c r="Q130" s="77" t="s">
        <v>500</v>
      </c>
      <c r="R130" s="77"/>
      <c r="S130" s="77"/>
      <c r="T130" s="81" t="s">
        <v>428</v>
      </c>
      <c r="U130" s="80" t="str">
        <f>HYPERLINK("https://pbs.twimg.com/ext_tw_video_thumb/1622052440248918017/pu/img/MACtyc4Y1AVoK1wh.jpg")</f>
        <v>https://pbs.twimg.com/ext_tw_video_thumb/1622052440248918017/pu/img/MACtyc4Y1AVoK1wh.jpg</v>
      </c>
      <c r="V130" s="80" t="str">
        <f>HYPERLINK("https://pbs.twimg.com/ext_tw_video_thumb/1622052440248918017/pu/img/MACtyc4Y1AVoK1wh.jpg")</f>
        <v>https://pbs.twimg.com/ext_tw_video_thumb/1622052440248918017/pu/img/MACtyc4Y1AVoK1wh.jpg</v>
      </c>
      <c r="W130" s="79">
        <v>44962.08693287037</v>
      </c>
      <c r="X130" s="84">
        <v>44962</v>
      </c>
      <c r="Y130" s="81" t="s">
        <v>661</v>
      </c>
      <c r="Z130" s="80" t="str">
        <f>HYPERLINK("https://twitter.com/scanmyphotosc/status/1622053692592590848")</f>
        <v>https://twitter.com/scanmyphotosc/status/1622053692592590848</v>
      </c>
      <c r="AA130" s="77"/>
      <c r="AB130" s="77"/>
      <c r="AC130" s="81" t="s">
        <v>817</v>
      </c>
      <c r="AD130" s="77"/>
      <c r="AE130" s="77" t="b">
        <v>0</v>
      </c>
      <c r="AF130" s="77">
        <v>0</v>
      </c>
      <c r="AG130" s="81" t="s">
        <v>916</v>
      </c>
      <c r="AH130" s="77" t="b">
        <v>0</v>
      </c>
      <c r="AI130" s="77" t="s">
        <v>950</v>
      </c>
      <c r="AJ130" s="77"/>
      <c r="AK130" s="81" t="s">
        <v>916</v>
      </c>
      <c r="AL130" s="77" t="b">
        <v>0</v>
      </c>
      <c r="AM130" s="77">
        <v>0</v>
      </c>
      <c r="AN130" s="81" t="s">
        <v>916</v>
      </c>
      <c r="AO130" s="81" t="s">
        <v>963</v>
      </c>
      <c r="AP130" s="77" t="b">
        <v>0</v>
      </c>
      <c r="AQ130" s="81" t="s">
        <v>817</v>
      </c>
      <c r="AR130" s="77" t="s">
        <v>207</v>
      </c>
      <c r="AS130" s="77">
        <v>0</v>
      </c>
      <c r="AT130" s="77">
        <v>0</v>
      </c>
      <c r="AU130" s="77"/>
      <c r="AV130" s="77"/>
      <c r="AW130" s="77"/>
      <c r="AX130" s="77"/>
      <c r="AY130" s="77"/>
      <c r="AZ130" s="77"/>
      <c r="BA130" s="77"/>
      <c r="BB130" s="77"/>
      <c r="BC130">
        <v>1</v>
      </c>
      <c r="BD130" s="76" t="str">
        <f>REPLACE(INDEX(GroupVertices[Group],MATCH(Edges[[#This Row],[Vertex 1]],GroupVertices[Vertex],0)),1,1,"")</f>
        <v>3</v>
      </c>
      <c r="BE130" s="76" t="str">
        <f>REPLACE(INDEX(GroupVertices[Group],MATCH(Edges[[#This Row],[Vertex 2]],GroupVertices[Vertex],0)),1,1,"")</f>
        <v>3</v>
      </c>
      <c r="BF130" s="31"/>
      <c r="BG130" s="31"/>
      <c r="BH130" s="31"/>
      <c r="BI130" s="31"/>
      <c r="BJ130" s="31"/>
      <c r="BK130" s="31"/>
      <c r="BL130" s="31"/>
      <c r="BM130" s="31"/>
      <c r="BN130" s="31"/>
    </row>
    <row r="131" spans="1:66" ht="15">
      <c r="A131" s="61" t="s">
        <v>323</v>
      </c>
      <c r="B131" s="61" t="s">
        <v>419</v>
      </c>
      <c r="C131" s="62"/>
      <c r="D131" s="63"/>
      <c r="E131" s="64"/>
      <c r="F131" s="65"/>
      <c r="G131" s="62"/>
      <c r="H131" s="66"/>
      <c r="I131" s="67"/>
      <c r="J131" s="67"/>
      <c r="K131" s="31" t="s">
        <v>65</v>
      </c>
      <c r="L131" s="75">
        <v>131</v>
      </c>
      <c r="M131" s="75"/>
      <c r="N131" s="69"/>
      <c r="O131" s="77" t="s">
        <v>448</v>
      </c>
      <c r="P131" s="79">
        <v>44962.08693287037</v>
      </c>
      <c r="Q131" s="77" t="s">
        <v>500</v>
      </c>
      <c r="R131" s="77"/>
      <c r="S131" s="77"/>
      <c r="T131" s="81" t="s">
        <v>428</v>
      </c>
      <c r="U131" s="80" t="str">
        <f>HYPERLINK("https://pbs.twimg.com/ext_tw_video_thumb/1622052440248918017/pu/img/MACtyc4Y1AVoK1wh.jpg")</f>
        <v>https://pbs.twimg.com/ext_tw_video_thumb/1622052440248918017/pu/img/MACtyc4Y1AVoK1wh.jpg</v>
      </c>
      <c r="V131" s="80" t="str">
        <f>HYPERLINK("https://pbs.twimg.com/ext_tw_video_thumb/1622052440248918017/pu/img/MACtyc4Y1AVoK1wh.jpg")</f>
        <v>https://pbs.twimg.com/ext_tw_video_thumb/1622052440248918017/pu/img/MACtyc4Y1AVoK1wh.jpg</v>
      </c>
      <c r="W131" s="79">
        <v>44962.08693287037</v>
      </c>
      <c r="X131" s="84">
        <v>44962</v>
      </c>
      <c r="Y131" s="81" t="s">
        <v>661</v>
      </c>
      <c r="Z131" s="80" t="str">
        <f>HYPERLINK("https://twitter.com/scanmyphotosc/status/1622053692592590848")</f>
        <v>https://twitter.com/scanmyphotosc/status/1622053692592590848</v>
      </c>
      <c r="AA131" s="77"/>
      <c r="AB131" s="77"/>
      <c r="AC131" s="81" t="s">
        <v>817</v>
      </c>
      <c r="AD131" s="77"/>
      <c r="AE131" s="77" t="b">
        <v>0</v>
      </c>
      <c r="AF131" s="77">
        <v>0</v>
      </c>
      <c r="AG131" s="81" t="s">
        <v>916</v>
      </c>
      <c r="AH131" s="77" t="b">
        <v>0</v>
      </c>
      <c r="AI131" s="77" t="s">
        <v>950</v>
      </c>
      <c r="AJ131" s="77"/>
      <c r="AK131" s="81" t="s">
        <v>916</v>
      </c>
      <c r="AL131" s="77" t="b">
        <v>0</v>
      </c>
      <c r="AM131" s="77">
        <v>0</v>
      </c>
      <c r="AN131" s="81" t="s">
        <v>916</v>
      </c>
      <c r="AO131" s="81" t="s">
        <v>963</v>
      </c>
      <c r="AP131" s="77" t="b">
        <v>0</v>
      </c>
      <c r="AQ131" s="81" t="s">
        <v>817</v>
      </c>
      <c r="AR131" s="77" t="s">
        <v>207</v>
      </c>
      <c r="AS131" s="77">
        <v>0</v>
      </c>
      <c r="AT131" s="77">
        <v>0</v>
      </c>
      <c r="AU131" s="77"/>
      <c r="AV131" s="77"/>
      <c r="AW131" s="77"/>
      <c r="AX131" s="77"/>
      <c r="AY131" s="77"/>
      <c r="AZ131" s="77"/>
      <c r="BA131" s="77"/>
      <c r="BB131" s="77"/>
      <c r="BC131">
        <v>1</v>
      </c>
      <c r="BD131" s="76" t="str">
        <f>REPLACE(INDEX(GroupVertices[Group],MATCH(Edges[[#This Row],[Vertex 1]],GroupVertices[Vertex],0)),1,1,"")</f>
        <v>3</v>
      </c>
      <c r="BE131" s="76" t="str">
        <f>REPLACE(INDEX(GroupVertices[Group],MATCH(Edges[[#This Row],[Vertex 2]],GroupVertices[Vertex],0)),1,1,"")</f>
        <v>3</v>
      </c>
      <c r="BF131" s="31"/>
      <c r="BG131" s="31"/>
      <c r="BH131" s="31"/>
      <c r="BI131" s="31"/>
      <c r="BJ131" s="31"/>
      <c r="BK131" s="31"/>
      <c r="BL131" s="31"/>
      <c r="BM131" s="31"/>
      <c r="BN131" s="31"/>
    </row>
    <row r="132" spans="1:66" ht="15">
      <c r="A132" s="61" t="s">
        <v>323</v>
      </c>
      <c r="B132" s="61" t="s">
        <v>409</v>
      </c>
      <c r="C132" s="62"/>
      <c r="D132" s="63"/>
      <c r="E132" s="64"/>
      <c r="F132" s="65"/>
      <c r="G132" s="62"/>
      <c r="H132" s="66"/>
      <c r="I132" s="67"/>
      <c r="J132" s="67"/>
      <c r="K132" s="31" t="s">
        <v>65</v>
      </c>
      <c r="L132" s="75">
        <v>132</v>
      </c>
      <c r="M132" s="75"/>
      <c r="N132" s="69"/>
      <c r="O132" s="77" t="s">
        <v>448</v>
      </c>
      <c r="P132" s="79">
        <v>44962.882152777776</v>
      </c>
      <c r="Q132" s="77" t="s">
        <v>485</v>
      </c>
      <c r="R132" s="77"/>
      <c r="S132" s="77"/>
      <c r="T132" s="81" t="s">
        <v>428</v>
      </c>
      <c r="U132" s="80" t="str">
        <f>HYPERLINK("https://pbs.twimg.com/ext_tw_video_thumb/1622340666909925377/pu/img/sV4yap2ySTftwPo5.jpg")</f>
        <v>https://pbs.twimg.com/ext_tw_video_thumb/1622340666909925377/pu/img/sV4yap2ySTftwPo5.jpg</v>
      </c>
      <c r="V132" s="80" t="str">
        <f>HYPERLINK("https://pbs.twimg.com/ext_tw_video_thumb/1622340666909925377/pu/img/sV4yap2ySTftwPo5.jpg")</f>
        <v>https://pbs.twimg.com/ext_tw_video_thumb/1622340666909925377/pu/img/sV4yap2ySTftwPo5.jpg</v>
      </c>
      <c r="W132" s="79">
        <v>44962.882152777776</v>
      </c>
      <c r="X132" s="84">
        <v>44962</v>
      </c>
      <c r="Y132" s="81" t="s">
        <v>662</v>
      </c>
      <c r="Z132" s="80" t="str">
        <f>HYPERLINK("https://twitter.com/scanmyphotosc/status/1622341873334378499")</f>
        <v>https://twitter.com/scanmyphotosc/status/1622341873334378499</v>
      </c>
      <c r="AA132" s="77"/>
      <c r="AB132" s="77"/>
      <c r="AC132" s="81" t="s">
        <v>818</v>
      </c>
      <c r="AD132" s="77"/>
      <c r="AE132" s="77" t="b">
        <v>0</v>
      </c>
      <c r="AF132" s="77">
        <v>1</v>
      </c>
      <c r="AG132" s="81" t="s">
        <v>916</v>
      </c>
      <c r="AH132" s="77" t="b">
        <v>0</v>
      </c>
      <c r="AI132" s="77" t="s">
        <v>950</v>
      </c>
      <c r="AJ132" s="77"/>
      <c r="AK132" s="81" t="s">
        <v>916</v>
      </c>
      <c r="AL132" s="77" t="b">
        <v>0</v>
      </c>
      <c r="AM132" s="77">
        <v>1</v>
      </c>
      <c r="AN132" s="81" t="s">
        <v>916</v>
      </c>
      <c r="AO132" s="81" t="s">
        <v>963</v>
      </c>
      <c r="AP132" s="77" t="b">
        <v>0</v>
      </c>
      <c r="AQ132" s="81" t="s">
        <v>818</v>
      </c>
      <c r="AR132" s="77" t="s">
        <v>207</v>
      </c>
      <c r="AS132" s="77">
        <v>0</v>
      </c>
      <c r="AT132" s="77">
        <v>0</v>
      </c>
      <c r="AU132" s="77"/>
      <c r="AV132" s="77"/>
      <c r="AW132" s="77"/>
      <c r="AX132" s="77"/>
      <c r="AY132" s="77"/>
      <c r="AZ132" s="77"/>
      <c r="BA132" s="77"/>
      <c r="BB132" s="77"/>
      <c r="BC132">
        <v>1</v>
      </c>
      <c r="BD132" s="76" t="str">
        <f>REPLACE(INDEX(GroupVertices[Group],MATCH(Edges[[#This Row],[Vertex 1]],GroupVertices[Vertex],0)),1,1,"")</f>
        <v>3</v>
      </c>
      <c r="BE132" s="76" t="str">
        <f>REPLACE(INDEX(GroupVertices[Group],MATCH(Edges[[#This Row],[Vertex 2]],GroupVertices[Vertex],0)),1,1,"")</f>
        <v>3</v>
      </c>
      <c r="BF132" s="31"/>
      <c r="BG132" s="31"/>
      <c r="BH132" s="31"/>
      <c r="BI132" s="31"/>
      <c r="BJ132" s="31"/>
      <c r="BK132" s="31"/>
      <c r="BL132" s="31"/>
      <c r="BM132" s="31"/>
      <c r="BN132" s="31"/>
    </row>
    <row r="133" spans="1:66" ht="15">
      <c r="A133" s="61" t="s">
        <v>323</v>
      </c>
      <c r="B133" s="61" t="s">
        <v>410</v>
      </c>
      <c r="C133" s="62"/>
      <c r="D133" s="63"/>
      <c r="E133" s="64"/>
      <c r="F133" s="65"/>
      <c r="G133" s="62"/>
      <c r="H133" s="66"/>
      <c r="I133" s="67"/>
      <c r="J133" s="67"/>
      <c r="K133" s="31" t="s">
        <v>65</v>
      </c>
      <c r="L133" s="75">
        <v>133</v>
      </c>
      <c r="M133" s="75"/>
      <c r="N133" s="69"/>
      <c r="O133" s="77" t="s">
        <v>448</v>
      </c>
      <c r="P133" s="79">
        <v>44962.882152777776</v>
      </c>
      <c r="Q133" s="77" t="s">
        <v>485</v>
      </c>
      <c r="R133" s="77"/>
      <c r="S133" s="77"/>
      <c r="T133" s="81" t="s">
        <v>428</v>
      </c>
      <c r="U133" s="80" t="str">
        <f>HYPERLINK("https://pbs.twimg.com/ext_tw_video_thumb/1622340666909925377/pu/img/sV4yap2ySTftwPo5.jpg")</f>
        <v>https://pbs.twimg.com/ext_tw_video_thumb/1622340666909925377/pu/img/sV4yap2ySTftwPo5.jpg</v>
      </c>
      <c r="V133" s="80" t="str">
        <f>HYPERLINK("https://pbs.twimg.com/ext_tw_video_thumb/1622340666909925377/pu/img/sV4yap2ySTftwPo5.jpg")</f>
        <v>https://pbs.twimg.com/ext_tw_video_thumb/1622340666909925377/pu/img/sV4yap2ySTftwPo5.jpg</v>
      </c>
      <c r="W133" s="79">
        <v>44962.882152777776</v>
      </c>
      <c r="X133" s="84">
        <v>44962</v>
      </c>
      <c r="Y133" s="81" t="s">
        <v>662</v>
      </c>
      <c r="Z133" s="80" t="str">
        <f>HYPERLINK("https://twitter.com/scanmyphotosc/status/1622341873334378499")</f>
        <v>https://twitter.com/scanmyphotosc/status/1622341873334378499</v>
      </c>
      <c r="AA133" s="77"/>
      <c r="AB133" s="77"/>
      <c r="AC133" s="81" t="s">
        <v>818</v>
      </c>
      <c r="AD133" s="77"/>
      <c r="AE133" s="77" t="b">
        <v>0</v>
      </c>
      <c r="AF133" s="77">
        <v>1</v>
      </c>
      <c r="AG133" s="81" t="s">
        <v>916</v>
      </c>
      <c r="AH133" s="77" t="b">
        <v>0</v>
      </c>
      <c r="AI133" s="77" t="s">
        <v>950</v>
      </c>
      <c r="AJ133" s="77"/>
      <c r="AK133" s="81" t="s">
        <v>916</v>
      </c>
      <c r="AL133" s="77" t="b">
        <v>0</v>
      </c>
      <c r="AM133" s="77">
        <v>1</v>
      </c>
      <c r="AN133" s="81" t="s">
        <v>916</v>
      </c>
      <c r="AO133" s="81" t="s">
        <v>963</v>
      </c>
      <c r="AP133" s="77" t="b">
        <v>0</v>
      </c>
      <c r="AQ133" s="81" t="s">
        <v>818</v>
      </c>
      <c r="AR133" s="77" t="s">
        <v>207</v>
      </c>
      <c r="AS133" s="77">
        <v>0</v>
      </c>
      <c r="AT133" s="77">
        <v>0</v>
      </c>
      <c r="AU133" s="77"/>
      <c r="AV133" s="77"/>
      <c r="AW133" s="77"/>
      <c r="AX133" s="77"/>
      <c r="AY133" s="77"/>
      <c r="AZ133" s="77"/>
      <c r="BA133" s="77"/>
      <c r="BB133" s="77"/>
      <c r="BC133">
        <v>1</v>
      </c>
      <c r="BD133" s="76" t="str">
        <f>REPLACE(INDEX(GroupVertices[Group],MATCH(Edges[[#This Row],[Vertex 1]],GroupVertices[Vertex],0)),1,1,"")</f>
        <v>3</v>
      </c>
      <c r="BE133" s="76" t="str">
        <f>REPLACE(INDEX(GroupVertices[Group],MATCH(Edges[[#This Row],[Vertex 2]],GroupVertices[Vertex],0)),1,1,"")</f>
        <v>3</v>
      </c>
      <c r="BF133" s="31"/>
      <c r="BG133" s="31"/>
      <c r="BH133" s="31"/>
      <c r="BI133" s="31"/>
      <c r="BJ133" s="31"/>
      <c r="BK133" s="31"/>
      <c r="BL133" s="31"/>
      <c r="BM133" s="31"/>
      <c r="BN133" s="31"/>
    </row>
    <row r="134" spans="1:66" ht="15">
      <c r="A134" s="61" t="s">
        <v>323</v>
      </c>
      <c r="B134" s="61" t="s">
        <v>420</v>
      </c>
      <c r="C134" s="62"/>
      <c r="D134" s="63"/>
      <c r="E134" s="64"/>
      <c r="F134" s="65"/>
      <c r="G134" s="62"/>
      <c r="H134" s="66"/>
      <c r="I134" s="67"/>
      <c r="J134" s="67"/>
      <c r="K134" s="31" t="s">
        <v>65</v>
      </c>
      <c r="L134" s="75">
        <v>134</v>
      </c>
      <c r="M134" s="75"/>
      <c r="N134" s="69"/>
      <c r="O134" s="77" t="s">
        <v>448</v>
      </c>
      <c r="P134" s="79">
        <v>44963.59028935185</v>
      </c>
      <c r="Q134" s="77" t="s">
        <v>501</v>
      </c>
      <c r="R134" s="77"/>
      <c r="S134" s="77"/>
      <c r="T134" s="81" t="s">
        <v>428</v>
      </c>
      <c r="U134" s="80" t="str">
        <f>HYPERLINK("https://pbs.twimg.com/ext_tw_video_thumb/1622598205882892292/pu/img/f-ORDQzQo7ssu4zG.jpg")</f>
        <v>https://pbs.twimg.com/ext_tw_video_thumb/1622598205882892292/pu/img/f-ORDQzQo7ssu4zG.jpg</v>
      </c>
      <c r="V134" s="80" t="str">
        <f>HYPERLINK("https://pbs.twimg.com/ext_tw_video_thumb/1622598205882892292/pu/img/f-ORDQzQo7ssu4zG.jpg")</f>
        <v>https://pbs.twimg.com/ext_tw_video_thumb/1622598205882892292/pu/img/f-ORDQzQo7ssu4zG.jpg</v>
      </c>
      <c r="W134" s="79">
        <v>44963.59028935185</v>
      </c>
      <c r="X134" s="84">
        <v>44963</v>
      </c>
      <c r="Y134" s="81" t="s">
        <v>663</v>
      </c>
      <c r="Z134" s="80" t="str">
        <f>HYPERLINK("https://twitter.com/scanmyphotosc/status/1622598491074711553")</f>
        <v>https://twitter.com/scanmyphotosc/status/1622598491074711553</v>
      </c>
      <c r="AA134" s="77"/>
      <c r="AB134" s="77"/>
      <c r="AC134" s="81" t="s">
        <v>819</v>
      </c>
      <c r="AD134" s="77"/>
      <c r="AE134" s="77" t="b">
        <v>0</v>
      </c>
      <c r="AF134" s="77">
        <v>0</v>
      </c>
      <c r="AG134" s="81" t="s">
        <v>916</v>
      </c>
      <c r="AH134" s="77" t="b">
        <v>0</v>
      </c>
      <c r="AI134" s="77" t="s">
        <v>950</v>
      </c>
      <c r="AJ134" s="77"/>
      <c r="AK134" s="81" t="s">
        <v>916</v>
      </c>
      <c r="AL134" s="77" t="b">
        <v>0</v>
      </c>
      <c r="AM134" s="77">
        <v>0</v>
      </c>
      <c r="AN134" s="81" t="s">
        <v>916</v>
      </c>
      <c r="AO134" s="81" t="s">
        <v>963</v>
      </c>
      <c r="AP134" s="77" t="b">
        <v>0</v>
      </c>
      <c r="AQ134" s="81" t="s">
        <v>819</v>
      </c>
      <c r="AR134" s="77" t="s">
        <v>207</v>
      </c>
      <c r="AS134" s="77">
        <v>0</v>
      </c>
      <c r="AT134" s="77">
        <v>0</v>
      </c>
      <c r="AU134" s="77"/>
      <c r="AV134" s="77"/>
      <c r="AW134" s="77"/>
      <c r="AX134" s="77"/>
      <c r="AY134" s="77"/>
      <c r="AZ134" s="77"/>
      <c r="BA134" s="77"/>
      <c r="BB134" s="77"/>
      <c r="BC134">
        <v>1</v>
      </c>
      <c r="BD134" s="76" t="str">
        <f>REPLACE(INDEX(GroupVertices[Group],MATCH(Edges[[#This Row],[Vertex 1]],GroupVertices[Vertex],0)),1,1,"")</f>
        <v>3</v>
      </c>
      <c r="BE134" s="76" t="str">
        <f>REPLACE(INDEX(GroupVertices[Group],MATCH(Edges[[#This Row],[Vertex 2]],GroupVertices[Vertex],0)),1,1,"")</f>
        <v>3</v>
      </c>
      <c r="BF134" s="31"/>
      <c r="BG134" s="31"/>
      <c r="BH134" s="31"/>
      <c r="BI134" s="31"/>
      <c r="BJ134" s="31"/>
      <c r="BK134" s="31"/>
      <c r="BL134" s="31"/>
      <c r="BM134" s="31"/>
      <c r="BN134" s="31"/>
    </row>
    <row r="135" spans="1:66" ht="15">
      <c r="A135" s="61" t="s">
        <v>323</v>
      </c>
      <c r="B135" s="61" t="s">
        <v>421</v>
      </c>
      <c r="C135" s="62"/>
      <c r="D135" s="63"/>
      <c r="E135" s="64"/>
      <c r="F135" s="65"/>
      <c r="G135" s="62"/>
      <c r="H135" s="66"/>
      <c r="I135" s="67"/>
      <c r="J135" s="67"/>
      <c r="K135" s="31" t="s">
        <v>65</v>
      </c>
      <c r="L135" s="75">
        <v>135</v>
      </c>
      <c r="M135" s="75"/>
      <c r="N135" s="69"/>
      <c r="O135" s="77" t="s">
        <v>448</v>
      </c>
      <c r="P135" s="79">
        <v>44963.59028935185</v>
      </c>
      <c r="Q135" s="77" t="s">
        <v>501</v>
      </c>
      <c r="R135" s="77"/>
      <c r="S135" s="77"/>
      <c r="T135" s="81" t="s">
        <v>428</v>
      </c>
      <c r="U135" s="80" t="str">
        <f>HYPERLINK("https://pbs.twimg.com/ext_tw_video_thumb/1622598205882892292/pu/img/f-ORDQzQo7ssu4zG.jpg")</f>
        <v>https://pbs.twimg.com/ext_tw_video_thumb/1622598205882892292/pu/img/f-ORDQzQo7ssu4zG.jpg</v>
      </c>
      <c r="V135" s="80" t="str">
        <f>HYPERLINK("https://pbs.twimg.com/ext_tw_video_thumb/1622598205882892292/pu/img/f-ORDQzQo7ssu4zG.jpg")</f>
        <v>https://pbs.twimg.com/ext_tw_video_thumb/1622598205882892292/pu/img/f-ORDQzQo7ssu4zG.jpg</v>
      </c>
      <c r="W135" s="79">
        <v>44963.59028935185</v>
      </c>
      <c r="X135" s="84">
        <v>44963</v>
      </c>
      <c r="Y135" s="81" t="s">
        <v>663</v>
      </c>
      <c r="Z135" s="80" t="str">
        <f>HYPERLINK("https://twitter.com/scanmyphotosc/status/1622598491074711553")</f>
        <v>https://twitter.com/scanmyphotosc/status/1622598491074711553</v>
      </c>
      <c r="AA135" s="77"/>
      <c r="AB135" s="77"/>
      <c r="AC135" s="81" t="s">
        <v>819</v>
      </c>
      <c r="AD135" s="77"/>
      <c r="AE135" s="77" t="b">
        <v>0</v>
      </c>
      <c r="AF135" s="77">
        <v>0</v>
      </c>
      <c r="AG135" s="81" t="s">
        <v>916</v>
      </c>
      <c r="AH135" s="77" t="b">
        <v>0</v>
      </c>
      <c r="AI135" s="77" t="s">
        <v>950</v>
      </c>
      <c r="AJ135" s="77"/>
      <c r="AK135" s="81" t="s">
        <v>916</v>
      </c>
      <c r="AL135" s="77" t="b">
        <v>0</v>
      </c>
      <c r="AM135" s="77">
        <v>0</v>
      </c>
      <c r="AN135" s="81" t="s">
        <v>916</v>
      </c>
      <c r="AO135" s="81" t="s">
        <v>963</v>
      </c>
      <c r="AP135" s="77" t="b">
        <v>0</v>
      </c>
      <c r="AQ135" s="81" t="s">
        <v>819</v>
      </c>
      <c r="AR135" s="77" t="s">
        <v>207</v>
      </c>
      <c r="AS135" s="77">
        <v>0</v>
      </c>
      <c r="AT135" s="77">
        <v>0</v>
      </c>
      <c r="AU135" s="77"/>
      <c r="AV135" s="77"/>
      <c r="AW135" s="77"/>
      <c r="AX135" s="77"/>
      <c r="AY135" s="77"/>
      <c r="AZ135" s="77"/>
      <c r="BA135" s="77"/>
      <c r="BB135" s="77"/>
      <c r="BC135">
        <v>1</v>
      </c>
      <c r="BD135" s="76" t="str">
        <f>REPLACE(INDEX(GroupVertices[Group],MATCH(Edges[[#This Row],[Vertex 1]],GroupVertices[Vertex],0)),1,1,"")</f>
        <v>3</v>
      </c>
      <c r="BE135" s="76" t="str">
        <f>REPLACE(INDEX(GroupVertices[Group],MATCH(Edges[[#This Row],[Vertex 2]],GroupVertices[Vertex],0)),1,1,"")</f>
        <v>3</v>
      </c>
      <c r="BF135" s="31"/>
      <c r="BG135" s="31"/>
      <c r="BH135" s="31"/>
      <c r="BI135" s="31"/>
      <c r="BJ135" s="31"/>
      <c r="BK135" s="31"/>
      <c r="BL135" s="31"/>
      <c r="BM135" s="31"/>
      <c r="BN135" s="31"/>
    </row>
    <row r="136" spans="1:66" ht="15">
      <c r="A136" s="61" t="s">
        <v>323</v>
      </c>
      <c r="B136" s="61" t="s">
        <v>422</v>
      </c>
      <c r="C136" s="62"/>
      <c r="D136" s="63"/>
      <c r="E136" s="64"/>
      <c r="F136" s="65"/>
      <c r="G136" s="62"/>
      <c r="H136" s="66"/>
      <c r="I136" s="67"/>
      <c r="J136" s="67"/>
      <c r="K136" s="31" t="s">
        <v>65</v>
      </c>
      <c r="L136" s="75">
        <v>136</v>
      </c>
      <c r="M136" s="75"/>
      <c r="N136" s="69"/>
      <c r="O136" s="77" t="s">
        <v>448</v>
      </c>
      <c r="P136" s="79">
        <v>44965.177141203705</v>
      </c>
      <c r="Q136" s="77" t="s">
        <v>502</v>
      </c>
      <c r="R136" s="80" t="str">
        <f>HYPERLINK("http://www.youtube.com/watch?v=0p-09nLXULo&amp;feature=share&amp;list=UU0AqM5y9qd0WMWDtX7MF5OA")</f>
        <v>http://www.youtube.com/watch?v=0p-09nLXULo&amp;feature=share&amp;list=UU0AqM5y9qd0WMWDtX7MF5OA</v>
      </c>
      <c r="S136" s="77" t="s">
        <v>554</v>
      </c>
      <c r="T136" s="81" t="s">
        <v>428</v>
      </c>
      <c r="U136" s="80" t="str">
        <f>HYPERLINK("https://pbs.twimg.com/ext_tw_video_thumb/1623172369111031808/pu/img/_nS88B5H7SS3UFoI.jpg")</f>
        <v>https://pbs.twimg.com/ext_tw_video_thumb/1623172369111031808/pu/img/_nS88B5H7SS3UFoI.jpg</v>
      </c>
      <c r="V136" s="80" t="str">
        <f>HYPERLINK("https://pbs.twimg.com/ext_tw_video_thumb/1623172369111031808/pu/img/_nS88B5H7SS3UFoI.jpg")</f>
        <v>https://pbs.twimg.com/ext_tw_video_thumb/1623172369111031808/pu/img/_nS88B5H7SS3UFoI.jpg</v>
      </c>
      <c r="W136" s="79">
        <v>44965.177141203705</v>
      </c>
      <c r="X136" s="84">
        <v>44965</v>
      </c>
      <c r="Y136" s="81" t="s">
        <v>664</v>
      </c>
      <c r="Z136" s="80" t="str">
        <f>HYPERLINK("https://twitter.com/scanmyphotosc/status/1623173549107159042")</f>
        <v>https://twitter.com/scanmyphotosc/status/1623173549107159042</v>
      </c>
      <c r="AA136" s="77"/>
      <c r="AB136" s="77"/>
      <c r="AC136" s="81" t="s">
        <v>820</v>
      </c>
      <c r="AD136" s="77"/>
      <c r="AE136" s="77" t="b">
        <v>0</v>
      </c>
      <c r="AF136" s="77">
        <v>0</v>
      </c>
      <c r="AG136" s="81" t="s">
        <v>916</v>
      </c>
      <c r="AH136" s="77" t="b">
        <v>0</v>
      </c>
      <c r="AI136" s="77" t="s">
        <v>950</v>
      </c>
      <c r="AJ136" s="77"/>
      <c r="AK136" s="81" t="s">
        <v>916</v>
      </c>
      <c r="AL136" s="77" t="b">
        <v>0</v>
      </c>
      <c r="AM136" s="77">
        <v>0</v>
      </c>
      <c r="AN136" s="81" t="s">
        <v>916</v>
      </c>
      <c r="AO136" s="81" t="s">
        <v>963</v>
      </c>
      <c r="AP136" s="77" t="b">
        <v>0</v>
      </c>
      <c r="AQ136" s="81" t="s">
        <v>820</v>
      </c>
      <c r="AR136" s="77" t="s">
        <v>207</v>
      </c>
      <c r="AS136" s="77">
        <v>0</v>
      </c>
      <c r="AT136" s="77">
        <v>0</v>
      </c>
      <c r="AU136" s="77"/>
      <c r="AV136" s="77"/>
      <c r="AW136" s="77"/>
      <c r="AX136" s="77"/>
      <c r="AY136" s="77"/>
      <c r="AZ136" s="77"/>
      <c r="BA136" s="77"/>
      <c r="BB136" s="77"/>
      <c r="BC136">
        <v>1</v>
      </c>
      <c r="BD136" s="76" t="str">
        <f>REPLACE(INDEX(GroupVertices[Group],MATCH(Edges[[#This Row],[Vertex 1]],GroupVertices[Vertex],0)),1,1,"")</f>
        <v>3</v>
      </c>
      <c r="BE136" s="76" t="str">
        <f>REPLACE(INDEX(GroupVertices[Group],MATCH(Edges[[#This Row],[Vertex 2]],GroupVertices[Vertex],0)),1,1,"")</f>
        <v>3</v>
      </c>
      <c r="BF136" s="31"/>
      <c r="BG136" s="31"/>
      <c r="BH136" s="31"/>
      <c r="BI136" s="31"/>
      <c r="BJ136" s="31"/>
      <c r="BK136" s="31"/>
      <c r="BL136" s="31"/>
      <c r="BM136" s="31"/>
      <c r="BN136" s="31"/>
    </row>
    <row r="137" spans="1:66" ht="15">
      <c r="A137" s="61" t="s">
        <v>323</v>
      </c>
      <c r="B137" s="61" t="s">
        <v>423</v>
      </c>
      <c r="C137" s="62"/>
      <c r="D137" s="63"/>
      <c r="E137" s="64"/>
      <c r="F137" s="65"/>
      <c r="G137" s="62"/>
      <c r="H137" s="66"/>
      <c r="I137" s="67"/>
      <c r="J137" s="67"/>
      <c r="K137" s="31" t="s">
        <v>65</v>
      </c>
      <c r="L137" s="75">
        <v>137</v>
      </c>
      <c r="M137" s="75"/>
      <c r="N137" s="69"/>
      <c r="O137" s="77" t="s">
        <v>448</v>
      </c>
      <c r="P137" s="79">
        <v>44965.177141203705</v>
      </c>
      <c r="Q137" s="77" t="s">
        <v>502</v>
      </c>
      <c r="R137" s="80" t="str">
        <f>HYPERLINK("http://www.youtube.com/watch?v=0p-09nLXULo&amp;feature=share&amp;list=UU0AqM5y9qd0WMWDtX7MF5OA")</f>
        <v>http://www.youtube.com/watch?v=0p-09nLXULo&amp;feature=share&amp;list=UU0AqM5y9qd0WMWDtX7MF5OA</v>
      </c>
      <c r="S137" s="77" t="s">
        <v>554</v>
      </c>
      <c r="T137" s="81" t="s">
        <v>428</v>
      </c>
      <c r="U137" s="80" t="str">
        <f>HYPERLINK("https://pbs.twimg.com/ext_tw_video_thumb/1623172369111031808/pu/img/_nS88B5H7SS3UFoI.jpg")</f>
        <v>https://pbs.twimg.com/ext_tw_video_thumb/1623172369111031808/pu/img/_nS88B5H7SS3UFoI.jpg</v>
      </c>
      <c r="V137" s="80" t="str">
        <f>HYPERLINK("https://pbs.twimg.com/ext_tw_video_thumb/1623172369111031808/pu/img/_nS88B5H7SS3UFoI.jpg")</f>
        <v>https://pbs.twimg.com/ext_tw_video_thumb/1623172369111031808/pu/img/_nS88B5H7SS3UFoI.jpg</v>
      </c>
      <c r="W137" s="79">
        <v>44965.177141203705</v>
      </c>
      <c r="X137" s="84">
        <v>44965</v>
      </c>
      <c r="Y137" s="81" t="s">
        <v>664</v>
      </c>
      <c r="Z137" s="80" t="str">
        <f>HYPERLINK("https://twitter.com/scanmyphotosc/status/1623173549107159042")</f>
        <v>https://twitter.com/scanmyphotosc/status/1623173549107159042</v>
      </c>
      <c r="AA137" s="77"/>
      <c r="AB137" s="77"/>
      <c r="AC137" s="81" t="s">
        <v>820</v>
      </c>
      <c r="AD137" s="77"/>
      <c r="AE137" s="77" t="b">
        <v>0</v>
      </c>
      <c r="AF137" s="77">
        <v>0</v>
      </c>
      <c r="AG137" s="81" t="s">
        <v>916</v>
      </c>
      <c r="AH137" s="77" t="b">
        <v>0</v>
      </c>
      <c r="AI137" s="77" t="s">
        <v>950</v>
      </c>
      <c r="AJ137" s="77"/>
      <c r="AK137" s="81" t="s">
        <v>916</v>
      </c>
      <c r="AL137" s="77" t="b">
        <v>0</v>
      </c>
      <c r="AM137" s="77">
        <v>0</v>
      </c>
      <c r="AN137" s="81" t="s">
        <v>916</v>
      </c>
      <c r="AO137" s="81" t="s">
        <v>963</v>
      </c>
      <c r="AP137" s="77" t="b">
        <v>0</v>
      </c>
      <c r="AQ137" s="81" t="s">
        <v>820</v>
      </c>
      <c r="AR137" s="77" t="s">
        <v>207</v>
      </c>
      <c r="AS137" s="77">
        <v>0</v>
      </c>
      <c r="AT137" s="77">
        <v>0</v>
      </c>
      <c r="AU137" s="77"/>
      <c r="AV137" s="77"/>
      <c r="AW137" s="77"/>
      <c r="AX137" s="77"/>
      <c r="AY137" s="77"/>
      <c r="AZ137" s="77"/>
      <c r="BA137" s="77"/>
      <c r="BB137" s="77"/>
      <c r="BC137">
        <v>1</v>
      </c>
      <c r="BD137" s="76" t="str">
        <f>REPLACE(INDEX(GroupVertices[Group],MATCH(Edges[[#This Row],[Vertex 1]],GroupVertices[Vertex],0)),1,1,"")</f>
        <v>3</v>
      </c>
      <c r="BE137" s="76" t="str">
        <f>REPLACE(INDEX(GroupVertices[Group],MATCH(Edges[[#This Row],[Vertex 2]],GroupVertices[Vertex],0)),1,1,"")</f>
        <v>3</v>
      </c>
      <c r="BF137" s="31"/>
      <c r="BG137" s="31"/>
      <c r="BH137" s="31"/>
      <c r="BI137" s="31"/>
      <c r="BJ137" s="31"/>
      <c r="BK137" s="31"/>
      <c r="BL137" s="31"/>
      <c r="BM137" s="31"/>
      <c r="BN137" s="31"/>
    </row>
    <row r="138" spans="1:66" ht="15">
      <c r="A138" s="61" t="s">
        <v>323</v>
      </c>
      <c r="B138" s="61" t="s">
        <v>424</v>
      </c>
      <c r="C138" s="62"/>
      <c r="D138" s="63"/>
      <c r="E138" s="64"/>
      <c r="F138" s="65"/>
      <c r="G138" s="62"/>
      <c r="H138" s="66"/>
      <c r="I138" s="67"/>
      <c r="J138" s="67"/>
      <c r="K138" s="31" t="s">
        <v>65</v>
      </c>
      <c r="L138" s="75">
        <v>138</v>
      </c>
      <c r="M138" s="75"/>
      <c r="N138" s="69"/>
      <c r="O138" s="77" t="s">
        <v>448</v>
      </c>
      <c r="P138" s="79">
        <v>44965.5937962963</v>
      </c>
      <c r="Q138" s="77" t="s">
        <v>503</v>
      </c>
      <c r="R138" s="77"/>
      <c r="S138" s="77"/>
      <c r="T138" s="81" t="s">
        <v>428</v>
      </c>
      <c r="U138" s="80" t="str">
        <f>HYPERLINK("https://pbs.twimg.com/ext_tw_video_thumb/1623323883146297356/pu/img/dQgqFSjZ8wq9U_vr.jpg")</f>
        <v>https://pbs.twimg.com/ext_tw_video_thumb/1623323883146297356/pu/img/dQgqFSjZ8wq9U_vr.jpg</v>
      </c>
      <c r="V138" s="80" t="str">
        <f>HYPERLINK("https://pbs.twimg.com/ext_tw_video_thumb/1623323883146297356/pu/img/dQgqFSjZ8wq9U_vr.jpg")</f>
        <v>https://pbs.twimg.com/ext_tw_video_thumb/1623323883146297356/pu/img/dQgqFSjZ8wq9U_vr.jpg</v>
      </c>
      <c r="W138" s="79">
        <v>44965.5937962963</v>
      </c>
      <c r="X138" s="84">
        <v>44965</v>
      </c>
      <c r="Y138" s="81" t="s">
        <v>665</v>
      </c>
      <c r="Z138" s="80" t="str">
        <f>HYPERLINK("https://twitter.com/scanmyphotosc/status/1623324539697373186")</f>
        <v>https://twitter.com/scanmyphotosc/status/1623324539697373186</v>
      </c>
      <c r="AA138" s="77"/>
      <c r="AB138" s="77"/>
      <c r="AC138" s="81" t="s">
        <v>821</v>
      </c>
      <c r="AD138" s="77"/>
      <c r="AE138" s="77" t="b">
        <v>0</v>
      </c>
      <c r="AF138" s="77">
        <v>0</v>
      </c>
      <c r="AG138" s="81" t="s">
        <v>916</v>
      </c>
      <c r="AH138" s="77" t="b">
        <v>0</v>
      </c>
      <c r="AI138" s="77" t="s">
        <v>950</v>
      </c>
      <c r="AJ138" s="77"/>
      <c r="AK138" s="81" t="s">
        <v>916</v>
      </c>
      <c r="AL138" s="77" t="b">
        <v>0</v>
      </c>
      <c r="AM138" s="77">
        <v>0</v>
      </c>
      <c r="AN138" s="81" t="s">
        <v>916</v>
      </c>
      <c r="AO138" s="81" t="s">
        <v>963</v>
      </c>
      <c r="AP138" s="77" t="b">
        <v>0</v>
      </c>
      <c r="AQ138" s="81" t="s">
        <v>821</v>
      </c>
      <c r="AR138" s="77" t="s">
        <v>207</v>
      </c>
      <c r="AS138" s="77">
        <v>0</v>
      </c>
      <c r="AT138" s="77">
        <v>0</v>
      </c>
      <c r="AU138" s="77"/>
      <c r="AV138" s="77"/>
      <c r="AW138" s="77"/>
      <c r="AX138" s="77"/>
      <c r="AY138" s="77"/>
      <c r="AZ138" s="77"/>
      <c r="BA138" s="77"/>
      <c r="BB138" s="77"/>
      <c r="BC138">
        <v>1</v>
      </c>
      <c r="BD138" s="76" t="str">
        <f>REPLACE(INDEX(GroupVertices[Group],MATCH(Edges[[#This Row],[Vertex 1]],GroupVertices[Vertex],0)),1,1,"")</f>
        <v>3</v>
      </c>
      <c r="BE138" s="76" t="str">
        <f>REPLACE(INDEX(GroupVertices[Group],MATCH(Edges[[#This Row],[Vertex 2]],GroupVertices[Vertex],0)),1,1,"")</f>
        <v>3</v>
      </c>
      <c r="BF138" s="31"/>
      <c r="BG138" s="31"/>
      <c r="BH138" s="31"/>
      <c r="BI138" s="31"/>
      <c r="BJ138" s="31"/>
      <c r="BK138" s="31"/>
      <c r="BL138" s="31"/>
      <c r="BM138" s="31"/>
      <c r="BN138" s="31"/>
    </row>
    <row r="139" spans="1:66" ht="15">
      <c r="A139" s="61" t="s">
        <v>323</v>
      </c>
      <c r="B139" s="61" t="s">
        <v>425</v>
      </c>
      <c r="C139" s="62"/>
      <c r="D139" s="63"/>
      <c r="E139" s="64"/>
      <c r="F139" s="65"/>
      <c r="G139" s="62"/>
      <c r="H139" s="66"/>
      <c r="I139" s="67"/>
      <c r="J139" s="67"/>
      <c r="K139" s="31" t="s">
        <v>65</v>
      </c>
      <c r="L139" s="75">
        <v>139</v>
      </c>
      <c r="M139" s="75"/>
      <c r="N139" s="69"/>
      <c r="O139" s="77" t="s">
        <v>448</v>
      </c>
      <c r="P139" s="79">
        <v>44965.5937962963</v>
      </c>
      <c r="Q139" s="77" t="s">
        <v>503</v>
      </c>
      <c r="R139" s="77"/>
      <c r="S139" s="77"/>
      <c r="T139" s="81" t="s">
        <v>428</v>
      </c>
      <c r="U139" s="80" t="str">
        <f>HYPERLINK("https://pbs.twimg.com/ext_tw_video_thumb/1623323883146297356/pu/img/dQgqFSjZ8wq9U_vr.jpg")</f>
        <v>https://pbs.twimg.com/ext_tw_video_thumb/1623323883146297356/pu/img/dQgqFSjZ8wq9U_vr.jpg</v>
      </c>
      <c r="V139" s="80" t="str">
        <f>HYPERLINK("https://pbs.twimg.com/ext_tw_video_thumb/1623323883146297356/pu/img/dQgqFSjZ8wq9U_vr.jpg")</f>
        <v>https://pbs.twimg.com/ext_tw_video_thumb/1623323883146297356/pu/img/dQgqFSjZ8wq9U_vr.jpg</v>
      </c>
      <c r="W139" s="79">
        <v>44965.5937962963</v>
      </c>
      <c r="X139" s="84">
        <v>44965</v>
      </c>
      <c r="Y139" s="81" t="s">
        <v>665</v>
      </c>
      <c r="Z139" s="80" t="str">
        <f>HYPERLINK("https://twitter.com/scanmyphotosc/status/1623324539697373186")</f>
        <v>https://twitter.com/scanmyphotosc/status/1623324539697373186</v>
      </c>
      <c r="AA139" s="77"/>
      <c r="AB139" s="77"/>
      <c r="AC139" s="81" t="s">
        <v>821</v>
      </c>
      <c r="AD139" s="77"/>
      <c r="AE139" s="77" t="b">
        <v>0</v>
      </c>
      <c r="AF139" s="77">
        <v>0</v>
      </c>
      <c r="AG139" s="81" t="s">
        <v>916</v>
      </c>
      <c r="AH139" s="77" t="b">
        <v>0</v>
      </c>
      <c r="AI139" s="77" t="s">
        <v>950</v>
      </c>
      <c r="AJ139" s="77"/>
      <c r="AK139" s="81" t="s">
        <v>916</v>
      </c>
      <c r="AL139" s="77" t="b">
        <v>0</v>
      </c>
      <c r="AM139" s="77">
        <v>0</v>
      </c>
      <c r="AN139" s="81" t="s">
        <v>916</v>
      </c>
      <c r="AO139" s="81" t="s">
        <v>963</v>
      </c>
      <c r="AP139" s="77" t="b">
        <v>0</v>
      </c>
      <c r="AQ139" s="81" t="s">
        <v>821</v>
      </c>
      <c r="AR139" s="77" t="s">
        <v>207</v>
      </c>
      <c r="AS139" s="77">
        <v>0</v>
      </c>
      <c r="AT139" s="77">
        <v>0</v>
      </c>
      <c r="AU139" s="77"/>
      <c r="AV139" s="77"/>
      <c r="AW139" s="77"/>
      <c r="AX139" s="77"/>
      <c r="AY139" s="77"/>
      <c r="AZ139" s="77"/>
      <c r="BA139" s="77"/>
      <c r="BB139" s="77"/>
      <c r="BC139">
        <v>1</v>
      </c>
      <c r="BD139" s="76" t="str">
        <f>REPLACE(INDEX(GroupVertices[Group],MATCH(Edges[[#This Row],[Vertex 1]],GroupVertices[Vertex],0)),1,1,"")</f>
        <v>3</v>
      </c>
      <c r="BE139" s="76" t="str">
        <f>REPLACE(INDEX(GroupVertices[Group],MATCH(Edges[[#This Row],[Vertex 2]],GroupVertices[Vertex],0)),1,1,"")</f>
        <v>3</v>
      </c>
      <c r="BF139" s="31"/>
      <c r="BG139" s="31"/>
      <c r="BH139" s="31"/>
      <c r="BI139" s="31"/>
      <c r="BJ139" s="31"/>
      <c r="BK139" s="31"/>
      <c r="BL139" s="31"/>
      <c r="BM139" s="31"/>
      <c r="BN139" s="31"/>
    </row>
    <row r="140" spans="1:66" ht="15">
      <c r="A140" s="61" t="s">
        <v>324</v>
      </c>
      <c r="B140" s="61" t="s">
        <v>426</v>
      </c>
      <c r="C140" s="62"/>
      <c r="D140" s="63"/>
      <c r="E140" s="64"/>
      <c r="F140" s="65"/>
      <c r="G140" s="62"/>
      <c r="H140" s="66"/>
      <c r="I140" s="67"/>
      <c r="J140" s="67"/>
      <c r="K140" s="31" t="s">
        <v>65</v>
      </c>
      <c r="L140" s="75">
        <v>140</v>
      </c>
      <c r="M140" s="75"/>
      <c r="N140" s="69"/>
      <c r="O140" s="77" t="s">
        <v>448</v>
      </c>
      <c r="P140" s="79">
        <v>44965.60597222222</v>
      </c>
      <c r="Q140" s="77" t="s">
        <v>504</v>
      </c>
      <c r="R140" s="80" t="str">
        <f>HYPERLINK("https://www.theguardian.com/technology/2023/feb/08/ai-chatgpt-jobs-economy-inequality?CMP=share_btn_tw")</f>
        <v>https://www.theguardian.com/technology/2023/feb/08/ai-chatgpt-jobs-economy-inequality?CMP=share_btn_tw</v>
      </c>
      <c r="S140" s="77" t="s">
        <v>555</v>
      </c>
      <c r="T140" s="77"/>
      <c r="U140" s="77"/>
      <c r="V140" s="80" t="str">
        <f>HYPERLINK("https://pbs.twimg.com/profile_images/634414067906510848/or7_k5ZV_normal.jpg")</f>
        <v>https://pbs.twimg.com/profile_images/634414067906510848/or7_k5ZV_normal.jpg</v>
      </c>
      <c r="W140" s="79">
        <v>44965.60597222222</v>
      </c>
      <c r="X140" s="84">
        <v>44965</v>
      </c>
      <c r="Y140" s="81" t="s">
        <v>666</v>
      </c>
      <c r="Z140" s="80" t="str">
        <f>HYPERLINK("https://twitter.com/noelkeough/status/1623328949970538498")</f>
        <v>https://twitter.com/noelkeough/status/1623328949970538498</v>
      </c>
      <c r="AA140" s="77"/>
      <c r="AB140" s="77"/>
      <c r="AC140" s="81" t="s">
        <v>822</v>
      </c>
      <c r="AD140" s="77"/>
      <c r="AE140" s="77" t="b">
        <v>0</v>
      </c>
      <c r="AF140" s="77">
        <v>0</v>
      </c>
      <c r="AG140" s="81" t="s">
        <v>916</v>
      </c>
      <c r="AH140" s="77" t="b">
        <v>0</v>
      </c>
      <c r="AI140" s="77" t="s">
        <v>950</v>
      </c>
      <c r="AJ140" s="77"/>
      <c r="AK140" s="81" t="s">
        <v>916</v>
      </c>
      <c r="AL140" s="77" t="b">
        <v>0</v>
      </c>
      <c r="AM140" s="77">
        <v>0</v>
      </c>
      <c r="AN140" s="81" t="s">
        <v>916</v>
      </c>
      <c r="AO140" s="81" t="s">
        <v>957</v>
      </c>
      <c r="AP140" s="77" t="b">
        <v>0</v>
      </c>
      <c r="AQ140" s="81" t="s">
        <v>822</v>
      </c>
      <c r="AR140" s="77" t="s">
        <v>207</v>
      </c>
      <c r="AS140" s="77">
        <v>0</v>
      </c>
      <c r="AT140" s="77">
        <v>0</v>
      </c>
      <c r="AU140" s="77"/>
      <c r="AV140" s="77"/>
      <c r="AW140" s="77"/>
      <c r="AX140" s="77"/>
      <c r="AY140" s="77"/>
      <c r="AZ140" s="77"/>
      <c r="BA140" s="77"/>
      <c r="BB140" s="77"/>
      <c r="BC140">
        <v>1</v>
      </c>
      <c r="BD140" s="76" t="str">
        <f>REPLACE(INDEX(GroupVertices[Group],MATCH(Edges[[#This Row],[Vertex 1]],GroupVertices[Vertex],0)),1,1,"")</f>
        <v>33</v>
      </c>
      <c r="BE140" s="76" t="str">
        <f>REPLACE(INDEX(GroupVertices[Group],MATCH(Edges[[#This Row],[Vertex 2]],GroupVertices[Vertex],0)),1,1,"")</f>
        <v>33</v>
      </c>
      <c r="BF140" s="31"/>
      <c r="BG140" s="31"/>
      <c r="BH140" s="31"/>
      <c r="BI140" s="31"/>
      <c r="BJ140" s="31"/>
      <c r="BK140" s="31"/>
      <c r="BL140" s="31"/>
      <c r="BM140" s="31"/>
      <c r="BN140" s="31"/>
    </row>
    <row r="141" spans="1:66" ht="15">
      <c r="A141" s="61" t="s">
        <v>325</v>
      </c>
      <c r="B141" s="61" t="s">
        <v>415</v>
      </c>
      <c r="C141" s="62"/>
      <c r="D141" s="63"/>
      <c r="E141" s="64"/>
      <c r="F141" s="65"/>
      <c r="G141" s="62"/>
      <c r="H141" s="66"/>
      <c r="I141" s="67"/>
      <c r="J141" s="67"/>
      <c r="K141" s="31" t="s">
        <v>65</v>
      </c>
      <c r="L141" s="75">
        <v>141</v>
      </c>
      <c r="M141" s="75"/>
      <c r="N141" s="69"/>
      <c r="O141" s="77" t="s">
        <v>446</v>
      </c>
      <c r="P141" s="79">
        <v>44965.015023148146</v>
      </c>
      <c r="Q141" s="77" t="s">
        <v>505</v>
      </c>
      <c r="R141" s="77"/>
      <c r="S141" s="77"/>
      <c r="T141" s="77"/>
      <c r="U141" s="80" t="str">
        <f>HYPERLINK("https://pbs.twimg.com/media/FoZ2PDnXoAYkRlD.jpg")</f>
        <v>https://pbs.twimg.com/media/FoZ2PDnXoAYkRlD.jpg</v>
      </c>
      <c r="V141" s="80" t="str">
        <f>HYPERLINK("https://pbs.twimg.com/media/FoZ2PDnXoAYkRlD.jpg")</f>
        <v>https://pbs.twimg.com/media/FoZ2PDnXoAYkRlD.jpg</v>
      </c>
      <c r="W141" s="79">
        <v>44965.015023148146</v>
      </c>
      <c r="X141" s="84">
        <v>44965</v>
      </c>
      <c r="Y141" s="81" t="s">
        <v>667</v>
      </c>
      <c r="Z141" s="80" t="str">
        <f>HYPERLINK("https://twitter.com/techclive/status/1623114799163793410")</f>
        <v>https://twitter.com/techclive/status/1623114799163793410</v>
      </c>
      <c r="AA141" s="77"/>
      <c r="AB141" s="77"/>
      <c r="AC141" s="81" t="s">
        <v>823</v>
      </c>
      <c r="AD141" s="81" t="s">
        <v>906</v>
      </c>
      <c r="AE141" s="77" t="b">
        <v>0</v>
      </c>
      <c r="AF141" s="77">
        <v>33</v>
      </c>
      <c r="AG141" s="81" t="s">
        <v>937</v>
      </c>
      <c r="AH141" s="77" t="b">
        <v>0</v>
      </c>
      <c r="AI141" s="77" t="s">
        <v>950</v>
      </c>
      <c r="AJ141" s="77"/>
      <c r="AK141" s="81" t="s">
        <v>916</v>
      </c>
      <c r="AL141" s="77" t="b">
        <v>0</v>
      </c>
      <c r="AM141" s="77">
        <v>1</v>
      </c>
      <c r="AN141" s="81" t="s">
        <v>916</v>
      </c>
      <c r="AO141" s="81" t="s">
        <v>958</v>
      </c>
      <c r="AP141" s="77" t="b">
        <v>0</v>
      </c>
      <c r="AQ141" s="81" t="s">
        <v>906</v>
      </c>
      <c r="AR141" s="77" t="s">
        <v>207</v>
      </c>
      <c r="AS141" s="77">
        <v>0</v>
      </c>
      <c r="AT141" s="77">
        <v>0</v>
      </c>
      <c r="AU141" s="77"/>
      <c r="AV141" s="77"/>
      <c r="AW141" s="77"/>
      <c r="AX141" s="77"/>
      <c r="AY141" s="77"/>
      <c r="AZ141" s="77"/>
      <c r="BA141" s="77"/>
      <c r="BB141" s="77"/>
      <c r="BC141">
        <v>1</v>
      </c>
      <c r="BD141" s="76" t="str">
        <f>REPLACE(INDEX(GroupVertices[Group],MATCH(Edges[[#This Row],[Vertex 1]],GroupVertices[Vertex],0)),1,1,"")</f>
        <v>10</v>
      </c>
      <c r="BE141" s="76" t="str">
        <f>REPLACE(INDEX(GroupVertices[Group],MATCH(Edges[[#This Row],[Vertex 2]],GroupVertices[Vertex],0)),1,1,"")</f>
        <v>10</v>
      </c>
      <c r="BF141" s="31"/>
      <c r="BG141" s="31"/>
      <c r="BH141" s="31"/>
      <c r="BI141" s="31"/>
      <c r="BJ141" s="31"/>
      <c r="BK141" s="31"/>
      <c r="BL141" s="31"/>
      <c r="BM141" s="31"/>
      <c r="BN141" s="31"/>
    </row>
    <row r="142" spans="1:66" ht="15">
      <c r="A142" s="61" t="s">
        <v>326</v>
      </c>
      <c r="B142" s="61" t="s">
        <v>325</v>
      </c>
      <c r="C142" s="62"/>
      <c r="D142" s="63"/>
      <c r="E142" s="64"/>
      <c r="F142" s="65"/>
      <c r="G142" s="62"/>
      <c r="H142" s="66"/>
      <c r="I142" s="67"/>
      <c r="J142" s="67"/>
      <c r="K142" s="31" t="s">
        <v>65</v>
      </c>
      <c r="L142" s="75">
        <v>142</v>
      </c>
      <c r="M142" s="75"/>
      <c r="N142" s="69"/>
      <c r="O142" s="77" t="s">
        <v>447</v>
      </c>
      <c r="P142" s="79">
        <v>44965.71283564815</v>
      </c>
      <c r="Q142" s="77" t="s">
        <v>505</v>
      </c>
      <c r="R142" s="77"/>
      <c r="S142" s="77"/>
      <c r="T142" s="77"/>
      <c r="U142" s="80" t="str">
        <f>HYPERLINK("https://pbs.twimg.com/media/FoZ2PDnXoAYkRlD.jpg")</f>
        <v>https://pbs.twimg.com/media/FoZ2PDnXoAYkRlD.jpg</v>
      </c>
      <c r="V142" s="80" t="str">
        <f>HYPERLINK("https://pbs.twimg.com/media/FoZ2PDnXoAYkRlD.jpg")</f>
        <v>https://pbs.twimg.com/media/FoZ2PDnXoAYkRlD.jpg</v>
      </c>
      <c r="W142" s="79">
        <v>44965.71283564815</v>
      </c>
      <c r="X142" s="84">
        <v>44965</v>
      </c>
      <c r="Y142" s="81" t="s">
        <v>668</v>
      </c>
      <c r="Z142" s="80" t="str">
        <f>HYPERLINK("https://twitter.com/tommylopez/status/1623367678189572116")</f>
        <v>https://twitter.com/tommylopez/status/1623367678189572116</v>
      </c>
      <c r="AA142" s="77"/>
      <c r="AB142" s="77"/>
      <c r="AC142" s="81" t="s">
        <v>824</v>
      </c>
      <c r="AD142" s="77"/>
      <c r="AE142" s="77" t="b">
        <v>0</v>
      </c>
      <c r="AF142" s="77">
        <v>0</v>
      </c>
      <c r="AG142" s="81" t="s">
        <v>916</v>
      </c>
      <c r="AH142" s="77" t="b">
        <v>0</v>
      </c>
      <c r="AI142" s="77" t="s">
        <v>950</v>
      </c>
      <c r="AJ142" s="77"/>
      <c r="AK142" s="81" t="s">
        <v>916</v>
      </c>
      <c r="AL142" s="77" t="b">
        <v>0</v>
      </c>
      <c r="AM142" s="77">
        <v>1</v>
      </c>
      <c r="AN142" s="81" t="s">
        <v>823</v>
      </c>
      <c r="AO142" s="81" t="s">
        <v>958</v>
      </c>
      <c r="AP142" s="77" t="b">
        <v>0</v>
      </c>
      <c r="AQ142" s="81" t="s">
        <v>823</v>
      </c>
      <c r="AR142" s="77" t="s">
        <v>207</v>
      </c>
      <c r="AS142" s="77">
        <v>0</v>
      </c>
      <c r="AT142" s="77">
        <v>0</v>
      </c>
      <c r="AU142" s="77"/>
      <c r="AV142" s="77"/>
      <c r="AW142" s="77"/>
      <c r="AX142" s="77"/>
      <c r="AY142" s="77"/>
      <c r="AZ142" s="77"/>
      <c r="BA142" s="77"/>
      <c r="BB142" s="77"/>
      <c r="BC142">
        <v>1</v>
      </c>
      <c r="BD142" s="76" t="str">
        <f>REPLACE(INDEX(GroupVertices[Group],MATCH(Edges[[#This Row],[Vertex 1]],GroupVertices[Vertex],0)),1,1,"")</f>
        <v>10</v>
      </c>
      <c r="BE142" s="76" t="str">
        <f>REPLACE(INDEX(GroupVertices[Group],MATCH(Edges[[#This Row],[Vertex 2]],GroupVertices[Vertex],0)),1,1,"")</f>
        <v>10</v>
      </c>
      <c r="BF142" s="31"/>
      <c r="BG142" s="31"/>
      <c r="BH142" s="31"/>
      <c r="BI142" s="31"/>
      <c r="BJ142" s="31"/>
      <c r="BK142" s="31"/>
      <c r="BL142" s="31"/>
      <c r="BM142" s="31"/>
      <c r="BN142" s="31"/>
    </row>
    <row r="143" spans="1:66" ht="15">
      <c r="A143" s="61" t="s">
        <v>326</v>
      </c>
      <c r="B143" s="61" t="s">
        <v>415</v>
      </c>
      <c r="C143" s="62"/>
      <c r="D143" s="63"/>
      <c r="E143" s="64"/>
      <c r="F143" s="65"/>
      <c r="G143" s="62"/>
      <c r="H143" s="66"/>
      <c r="I143" s="67"/>
      <c r="J143" s="67"/>
      <c r="K143" s="31" t="s">
        <v>65</v>
      </c>
      <c r="L143" s="75">
        <v>143</v>
      </c>
      <c r="M143" s="75"/>
      <c r="N143" s="69"/>
      <c r="O143" s="77" t="s">
        <v>446</v>
      </c>
      <c r="P143" s="79">
        <v>44965.71283564815</v>
      </c>
      <c r="Q143" s="77" t="s">
        <v>505</v>
      </c>
      <c r="R143" s="77"/>
      <c r="S143" s="77"/>
      <c r="T143" s="77"/>
      <c r="U143" s="80" t="str">
        <f>HYPERLINK("https://pbs.twimg.com/media/FoZ2PDnXoAYkRlD.jpg")</f>
        <v>https://pbs.twimg.com/media/FoZ2PDnXoAYkRlD.jpg</v>
      </c>
      <c r="V143" s="80" t="str">
        <f>HYPERLINK("https://pbs.twimg.com/media/FoZ2PDnXoAYkRlD.jpg")</f>
        <v>https://pbs.twimg.com/media/FoZ2PDnXoAYkRlD.jpg</v>
      </c>
      <c r="W143" s="79">
        <v>44965.71283564815</v>
      </c>
      <c r="X143" s="84">
        <v>44965</v>
      </c>
      <c r="Y143" s="81" t="s">
        <v>668</v>
      </c>
      <c r="Z143" s="80" t="str">
        <f>HYPERLINK("https://twitter.com/tommylopez/status/1623367678189572116")</f>
        <v>https://twitter.com/tommylopez/status/1623367678189572116</v>
      </c>
      <c r="AA143" s="77"/>
      <c r="AB143" s="77"/>
      <c r="AC143" s="81" t="s">
        <v>824</v>
      </c>
      <c r="AD143" s="77"/>
      <c r="AE143" s="77" t="b">
        <v>0</v>
      </c>
      <c r="AF143" s="77">
        <v>0</v>
      </c>
      <c r="AG143" s="81" t="s">
        <v>916</v>
      </c>
      <c r="AH143" s="77" t="b">
        <v>0</v>
      </c>
      <c r="AI143" s="77" t="s">
        <v>950</v>
      </c>
      <c r="AJ143" s="77"/>
      <c r="AK143" s="81" t="s">
        <v>916</v>
      </c>
      <c r="AL143" s="77" t="b">
        <v>0</v>
      </c>
      <c r="AM143" s="77">
        <v>1</v>
      </c>
      <c r="AN143" s="81" t="s">
        <v>823</v>
      </c>
      <c r="AO143" s="81" t="s">
        <v>958</v>
      </c>
      <c r="AP143" s="77" t="b">
        <v>0</v>
      </c>
      <c r="AQ143" s="81" t="s">
        <v>823</v>
      </c>
      <c r="AR143" s="77" t="s">
        <v>207</v>
      </c>
      <c r="AS143" s="77">
        <v>0</v>
      </c>
      <c r="AT143" s="77">
        <v>0</v>
      </c>
      <c r="AU143" s="77"/>
      <c r="AV143" s="77"/>
      <c r="AW143" s="77"/>
      <c r="AX143" s="77"/>
      <c r="AY143" s="77"/>
      <c r="AZ143" s="77"/>
      <c r="BA143" s="77"/>
      <c r="BB143" s="77"/>
      <c r="BC143">
        <v>1</v>
      </c>
      <c r="BD143" s="76" t="str">
        <f>REPLACE(INDEX(GroupVertices[Group],MATCH(Edges[[#This Row],[Vertex 1]],GroupVertices[Vertex],0)),1,1,"")</f>
        <v>10</v>
      </c>
      <c r="BE143" s="76" t="str">
        <f>REPLACE(INDEX(GroupVertices[Group],MATCH(Edges[[#This Row],[Vertex 2]],GroupVertices[Vertex],0)),1,1,"")</f>
        <v>10</v>
      </c>
      <c r="BF143" s="31"/>
      <c r="BG143" s="31"/>
      <c r="BH143" s="31"/>
      <c r="BI143" s="31"/>
      <c r="BJ143" s="31"/>
      <c r="BK143" s="31"/>
      <c r="BL143" s="31"/>
      <c r="BM143" s="31"/>
      <c r="BN143" s="31"/>
    </row>
    <row r="144" spans="1:66" ht="15">
      <c r="A144" s="61" t="s">
        <v>327</v>
      </c>
      <c r="B144" s="61" t="s">
        <v>427</v>
      </c>
      <c r="C144" s="62"/>
      <c r="D144" s="63"/>
      <c r="E144" s="64"/>
      <c r="F144" s="65"/>
      <c r="G144" s="62"/>
      <c r="H144" s="66"/>
      <c r="I144" s="67"/>
      <c r="J144" s="67"/>
      <c r="K144" s="31" t="s">
        <v>65</v>
      </c>
      <c r="L144" s="75">
        <v>144</v>
      </c>
      <c r="M144" s="75"/>
      <c r="N144" s="69"/>
      <c r="O144" s="77" t="s">
        <v>448</v>
      </c>
      <c r="P144" s="79">
        <v>44965.77618055556</v>
      </c>
      <c r="Q144" s="77" t="s">
        <v>506</v>
      </c>
      <c r="R144" s="77"/>
      <c r="S144" s="77"/>
      <c r="T144" s="77"/>
      <c r="U144" s="77"/>
      <c r="V144" s="80" t="str">
        <f>HYPERLINK("https://abs.twimg.com/sticky/default_profile_images/default_profile_normal.png")</f>
        <v>https://abs.twimg.com/sticky/default_profile_images/default_profile_normal.png</v>
      </c>
      <c r="W144" s="79">
        <v>44965.77618055556</v>
      </c>
      <c r="X144" s="84">
        <v>44965</v>
      </c>
      <c r="Y144" s="81" t="s">
        <v>669</v>
      </c>
      <c r="Z144" s="80" t="str">
        <f>HYPERLINK("https://twitter.com/adam75640822/status/1623390631534927872")</f>
        <v>https://twitter.com/adam75640822/status/1623390631534927872</v>
      </c>
      <c r="AA144" s="77"/>
      <c r="AB144" s="77"/>
      <c r="AC144" s="81" t="s">
        <v>825</v>
      </c>
      <c r="AD144" s="77"/>
      <c r="AE144" s="77" t="b">
        <v>0</v>
      </c>
      <c r="AF144" s="77">
        <v>0</v>
      </c>
      <c r="AG144" s="81" t="s">
        <v>940</v>
      </c>
      <c r="AH144" s="77" t="b">
        <v>0</v>
      </c>
      <c r="AI144" s="77" t="s">
        <v>950</v>
      </c>
      <c r="AJ144" s="77"/>
      <c r="AK144" s="81" t="s">
        <v>916</v>
      </c>
      <c r="AL144" s="77" t="b">
        <v>0</v>
      </c>
      <c r="AM144" s="77">
        <v>0</v>
      </c>
      <c r="AN144" s="81" t="s">
        <v>916</v>
      </c>
      <c r="AO144" s="81" t="s">
        <v>957</v>
      </c>
      <c r="AP144" s="77" t="b">
        <v>0</v>
      </c>
      <c r="AQ144" s="81" t="s">
        <v>825</v>
      </c>
      <c r="AR144" s="77" t="s">
        <v>207</v>
      </c>
      <c r="AS144" s="77">
        <v>0</v>
      </c>
      <c r="AT144" s="77">
        <v>0</v>
      </c>
      <c r="AU144" s="77"/>
      <c r="AV144" s="77"/>
      <c r="AW144" s="77"/>
      <c r="AX144" s="77"/>
      <c r="AY144" s="77"/>
      <c r="AZ144" s="77"/>
      <c r="BA144" s="77"/>
      <c r="BB144" s="77"/>
      <c r="BC144">
        <v>1</v>
      </c>
      <c r="BD144" s="76" t="str">
        <f>REPLACE(INDEX(GroupVertices[Group],MATCH(Edges[[#This Row],[Vertex 1]],GroupVertices[Vertex],0)),1,1,"")</f>
        <v>6</v>
      </c>
      <c r="BE144" s="76" t="str">
        <f>REPLACE(INDEX(GroupVertices[Group],MATCH(Edges[[#This Row],[Vertex 2]],GroupVertices[Vertex],0)),1,1,"")</f>
        <v>6</v>
      </c>
      <c r="BF144" s="31"/>
      <c r="BG144" s="31"/>
      <c r="BH144" s="31"/>
      <c r="BI144" s="31"/>
      <c r="BJ144" s="31"/>
      <c r="BK144" s="31"/>
      <c r="BL144" s="31"/>
      <c r="BM144" s="31"/>
      <c r="BN144" s="31"/>
    </row>
    <row r="145" spans="1:66" ht="15">
      <c r="A145" s="61" t="s">
        <v>327</v>
      </c>
      <c r="B145" s="61" t="s">
        <v>428</v>
      </c>
      <c r="C145" s="62"/>
      <c r="D145" s="63"/>
      <c r="E145" s="64"/>
      <c r="F145" s="65"/>
      <c r="G145" s="62"/>
      <c r="H145" s="66"/>
      <c r="I145" s="67"/>
      <c r="J145" s="67"/>
      <c r="K145" s="31" t="s">
        <v>65</v>
      </c>
      <c r="L145" s="75">
        <v>145</v>
      </c>
      <c r="M145" s="75"/>
      <c r="N145" s="69"/>
      <c r="O145" s="77" t="s">
        <v>446</v>
      </c>
      <c r="P145" s="79">
        <v>44965.77618055556</v>
      </c>
      <c r="Q145" s="77" t="s">
        <v>506</v>
      </c>
      <c r="R145" s="77"/>
      <c r="S145" s="77"/>
      <c r="T145" s="77"/>
      <c r="U145" s="77"/>
      <c r="V145" s="80" t="str">
        <f>HYPERLINK("https://abs.twimg.com/sticky/default_profile_images/default_profile_normal.png")</f>
        <v>https://abs.twimg.com/sticky/default_profile_images/default_profile_normal.png</v>
      </c>
      <c r="W145" s="79">
        <v>44965.77618055556</v>
      </c>
      <c r="X145" s="84">
        <v>44965</v>
      </c>
      <c r="Y145" s="81" t="s">
        <v>669</v>
      </c>
      <c r="Z145" s="80" t="str">
        <f>HYPERLINK("https://twitter.com/adam75640822/status/1623390631534927872")</f>
        <v>https://twitter.com/adam75640822/status/1623390631534927872</v>
      </c>
      <c r="AA145" s="77"/>
      <c r="AB145" s="77"/>
      <c r="AC145" s="81" t="s">
        <v>825</v>
      </c>
      <c r="AD145" s="77"/>
      <c r="AE145" s="77" t="b">
        <v>0</v>
      </c>
      <c r="AF145" s="77">
        <v>0</v>
      </c>
      <c r="AG145" s="81" t="s">
        <v>940</v>
      </c>
      <c r="AH145" s="77" t="b">
        <v>0</v>
      </c>
      <c r="AI145" s="77" t="s">
        <v>950</v>
      </c>
      <c r="AJ145" s="77"/>
      <c r="AK145" s="81" t="s">
        <v>916</v>
      </c>
      <c r="AL145" s="77" t="b">
        <v>0</v>
      </c>
      <c r="AM145" s="77">
        <v>0</v>
      </c>
      <c r="AN145" s="81" t="s">
        <v>916</v>
      </c>
      <c r="AO145" s="81" t="s">
        <v>957</v>
      </c>
      <c r="AP145" s="77" t="b">
        <v>0</v>
      </c>
      <c r="AQ145" s="81" t="s">
        <v>825</v>
      </c>
      <c r="AR145" s="77" t="s">
        <v>207</v>
      </c>
      <c r="AS145" s="77">
        <v>0</v>
      </c>
      <c r="AT145" s="77">
        <v>0</v>
      </c>
      <c r="AU145" s="77"/>
      <c r="AV145" s="77"/>
      <c r="AW145" s="77"/>
      <c r="AX145" s="77"/>
      <c r="AY145" s="77"/>
      <c r="AZ145" s="77"/>
      <c r="BA145" s="77"/>
      <c r="BB145" s="77"/>
      <c r="BC145">
        <v>1</v>
      </c>
      <c r="BD145" s="76" t="str">
        <f>REPLACE(INDEX(GroupVertices[Group],MATCH(Edges[[#This Row],[Vertex 1]],GroupVertices[Vertex],0)),1,1,"")</f>
        <v>6</v>
      </c>
      <c r="BE145" s="76" t="str">
        <f>REPLACE(INDEX(GroupVertices[Group],MATCH(Edges[[#This Row],[Vertex 2]],GroupVertices[Vertex],0)),1,1,"")</f>
        <v>6</v>
      </c>
      <c r="BF145" s="31"/>
      <c r="BG145" s="31"/>
      <c r="BH145" s="31"/>
      <c r="BI145" s="31"/>
      <c r="BJ145" s="31"/>
      <c r="BK145" s="31"/>
      <c r="BL145" s="31"/>
      <c r="BM145" s="31"/>
      <c r="BN145" s="31"/>
    </row>
    <row r="146" spans="1:66" ht="15">
      <c r="A146" s="61" t="s">
        <v>328</v>
      </c>
      <c r="B146" s="61" t="s">
        <v>328</v>
      </c>
      <c r="C146" s="62"/>
      <c r="D146" s="63"/>
      <c r="E146" s="64"/>
      <c r="F146" s="65"/>
      <c r="G146" s="62"/>
      <c r="H146" s="66"/>
      <c r="I146" s="67"/>
      <c r="J146" s="67"/>
      <c r="K146" s="31" t="s">
        <v>65</v>
      </c>
      <c r="L146" s="75">
        <v>146</v>
      </c>
      <c r="M146" s="75"/>
      <c r="N146" s="69"/>
      <c r="O146" s="77" t="s">
        <v>207</v>
      </c>
      <c r="P146" s="79">
        <v>44965.77621527778</v>
      </c>
      <c r="Q146" s="77" t="s">
        <v>507</v>
      </c>
      <c r="R146" s="77"/>
      <c r="S146" s="77"/>
      <c r="T146" s="77"/>
      <c r="U146" s="80" t="str">
        <f>HYPERLINK("https://pbs.twimg.com/media/FodxFI9aQAAPEth.png")</f>
        <v>https://pbs.twimg.com/media/FodxFI9aQAAPEth.png</v>
      </c>
      <c r="V146" s="80" t="str">
        <f>HYPERLINK("https://pbs.twimg.com/media/FodxFI9aQAAPEth.png")</f>
        <v>https://pbs.twimg.com/media/FodxFI9aQAAPEth.png</v>
      </c>
      <c r="W146" s="79">
        <v>44965.77621527778</v>
      </c>
      <c r="X146" s="84">
        <v>44965</v>
      </c>
      <c r="Y146" s="81" t="s">
        <v>670</v>
      </c>
      <c r="Z146" s="80" t="str">
        <f>HYPERLINK("https://twitter.com/davidx002/status/1623390643468001281")</f>
        <v>https://twitter.com/davidx002/status/1623390643468001281</v>
      </c>
      <c r="AA146" s="77"/>
      <c r="AB146" s="77"/>
      <c r="AC146" s="81" t="s">
        <v>826</v>
      </c>
      <c r="AD146" s="77"/>
      <c r="AE146" s="77" t="b">
        <v>0</v>
      </c>
      <c r="AF146" s="77">
        <v>0</v>
      </c>
      <c r="AG146" s="81" t="s">
        <v>916</v>
      </c>
      <c r="AH146" s="77" t="b">
        <v>0</v>
      </c>
      <c r="AI146" s="77" t="s">
        <v>950</v>
      </c>
      <c r="AJ146" s="77"/>
      <c r="AK146" s="81" t="s">
        <v>916</v>
      </c>
      <c r="AL146" s="77" t="b">
        <v>0</v>
      </c>
      <c r="AM146" s="77">
        <v>0</v>
      </c>
      <c r="AN146" s="81" t="s">
        <v>916</v>
      </c>
      <c r="AO146" s="81" t="s">
        <v>958</v>
      </c>
      <c r="AP146" s="77" t="b">
        <v>0</v>
      </c>
      <c r="AQ146" s="81" t="s">
        <v>826</v>
      </c>
      <c r="AR146" s="77" t="s">
        <v>207</v>
      </c>
      <c r="AS146" s="77">
        <v>0</v>
      </c>
      <c r="AT146" s="77">
        <v>0</v>
      </c>
      <c r="AU146" s="77"/>
      <c r="AV146" s="77"/>
      <c r="AW146" s="77"/>
      <c r="AX146" s="77"/>
      <c r="AY146" s="77"/>
      <c r="AZ146" s="77"/>
      <c r="BA146" s="77"/>
      <c r="BB146" s="77"/>
      <c r="BC146">
        <v>1</v>
      </c>
      <c r="BD146" s="76" t="str">
        <f>REPLACE(INDEX(GroupVertices[Group],MATCH(Edges[[#This Row],[Vertex 1]],GroupVertices[Vertex],0)),1,1,"")</f>
        <v>67</v>
      </c>
      <c r="BE146" s="76" t="str">
        <f>REPLACE(INDEX(GroupVertices[Group],MATCH(Edges[[#This Row],[Vertex 2]],GroupVertices[Vertex],0)),1,1,"")</f>
        <v>67</v>
      </c>
      <c r="BF146" s="31"/>
      <c r="BG146" s="31"/>
      <c r="BH146" s="31"/>
      <c r="BI146" s="31"/>
      <c r="BJ146" s="31"/>
      <c r="BK146" s="31"/>
      <c r="BL146" s="31"/>
      <c r="BM146" s="31"/>
      <c r="BN146" s="31"/>
    </row>
    <row r="147" spans="1:66" ht="15">
      <c r="A147" s="61" t="s">
        <v>329</v>
      </c>
      <c r="B147" s="61" t="s">
        <v>329</v>
      </c>
      <c r="C147" s="62"/>
      <c r="D147" s="63"/>
      <c r="E147" s="64"/>
      <c r="F147" s="65"/>
      <c r="G147" s="62"/>
      <c r="H147" s="66"/>
      <c r="I147" s="67"/>
      <c r="J147" s="67"/>
      <c r="K147" s="31" t="s">
        <v>65</v>
      </c>
      <c r="L147" s="75">
        <v>147</v>
      </c>
      <c r="M147" s="75"/>
      <c r="N147" s="69"/>
      <c r="O147" s="77" t="s">
        <v>207</v>
      </c>
      <c r="P147" s="79">
        <v>44965.809907407405</v>
      </c>
      <c r="Q147" s="77" t="s">
        <v>508</v>
      </c>
      <c r="R147" s="80" t="str">
        <f>HYPERLINK("https://thenewdaily.com.au/life/tech/2023/02/09/chatgpt-ai-future-kohler/")</f>
        <v>https://thenewdaily.com.au/life/tech/2023/02/09/chatgpt-ai-future-kohler/</v>
      </c>
      <c r="S147" s="77" t="s">
        <v>552</v>
      </c>
      <c r="T147" s="77"/>
      <c r="U147" s="77"/>
      <c r="V147" s="80" t="str">
        <f>HYPERLINK("https://pbs.twimg.com/profile_images/424084288129085440/cQf4Q4Ru_normal.jpeg")</f>
        <v>https://pbs.twimg.com/profile_images/424084288129085440/cQf4Q4Ru_normal.jpeg</v>
      </c>
      <c r="W147" s="79">
        <v>44965.809907407405</v>
      </c>
      <c r="X147" s="84">
        <v>44965</v>
      </c>
      <c r="Y147" s="81" t="s">
        <v>671</v>
      </c>
      <c r="Z147" s="80" t="str">
        <f>HYPERLINK("https://twitter.com/dazza_double_u/status/1623402855381221376")</f>
        <v>https://twitter.com/dazza_double_u/status/1623402855381221376</v>
      </c>
      <c r="AA147" s="77"/>
      <c r="AB147" s="77"/>
      <c r="AC147" s="81" t="s">
        <v>827</v>
      </c>
      <c r="AD147" s="77"/>
      <c r="AE147" s="77" t="b">
        <v>0</v>
      </c>
      <c r="AF147" s="77">
        <v>0</v>
      </c>
      <c r="AG147" s="81" t="s">
        <v>916</v>
      </c>
      <c r="AH147" s="77" t="b">
        <v>0</v>
      </c>
      <c r="AI147" s="77" t="s">
        <v>950</v>
      </c>
      <c r="AJ147" s="77"/>
      <c r="AK147" s="81" t="s">
        <v>916</v>
      </c>
      <c r="AL147" s="77" t="b">
        <v>0</v>
      </c>
      <c r="AM147" s="77">
        <v>0</v>
      </c>
      <c r="AN147" s="81" t="s">
        <v>916</v>
      </c>
      <c r="AO147" s="81" t="s">
        <v>957</v>
      </c>
      <c r="AP147" s="77" t="b">
        <v>0</v>
      </c>
      <c r="AQ147" s="81" t="s">
        <v>827</v>
      </c>
      <c r="AR147" s="77" t="s">
        <v>207</v>
      </c>
      <c r="AS147" s="77">
        <v>0</v>
      </c>
      <c r="AT147" s="77">
        <v>0</v>
      </c>
      <c r="AU147" s="77"/>
      <c r="AV147" s="77"/>
      <c r="AW147" s="77"/>
      <c r="AX147" s="77"/>
      <c r="AY147" s="77"/>
      <c r="AZ147" s="77"/>
      <c r="BA147" s="77"/>
      <c r="BB147" s="77"/>
      <c r="BC147">
        <v>1</v>
      </c>
      <c r="BD147" s="76" t="str">
        <f>REPLACE(INDEX(GroupVertices[Group],MATCH(Edges[[#This Row],[Vertex 1]],GroupVertices[Vertex],0)),1,1,"")</f>
        <v>66</v>
      </c>
      <c r="BE147" s="76" t="str">
        <f>REPLACE(INDEX(GroupVertices[Group],MATCH(Edges[[#This Row],[Vertex 2]],GroupVertices[Vertex],0)),1,1,"")</f>
        <v>66</v>
      </c>
      <c r="BF147" s="31"/>
      <c r="BG147" s="31"/>
      <c r="BH147" s="31"/>
      <c r="BI147" s="31"/>
      <c r="BJ147" s="31"/>
      <c r="BK147" s="31"/>
      <c r="BL147" s="31"/>
      <c r="BM147" s="31"/>
      <c r="BN147" s="31"/>
    </row>
    <row r="148" spans="1:66" ht="15">
      <c r="A148" s="61" t="s">
        <v>330</v>
      </c>
      <c r="B148" s="61" t="s">
        <v>330</v>
      </c>
      <c r="C148" s="62"/>
      <c r="D148" s="63"/>
      <c r="E148" s="64"/>
      <c r="F148" s="65"/>
      <c r="G148" s="62"/>
      <c r="H148" s="66"/>
      <c r="I148" s="67"/>
      <c r="J148" s="67"/>
      <c r="K148" s="31" t="s">
        <v>65</v>
      </c>
      <c r="L148" s="75">
        <v>148</v>
      </c>
      <c r="M148" s="75"/>
      <c r="N148" s="69"/>
      <c r="O148" s="77" t="s">
        <v>207</v>
      </c>
      <c r="P148" s="79">
        <v>44965.83421296296</v>
      </c>
      <c r="Q148" s="77" t="s">
        <v>509</v>
      </c>
      <c r="R148" s="80" t="str">
        <f>HYPERLINK("https://thenewdaily.com.au/life/tech/2023/02/09/chatgpt-ai-future-kohler/")</f>
        <v>https://thenewdaily.com.au/life/tech/2023/02/09/chatgpt-ai-future-kohler/</v>
      </c>
      <c r="S148" s="77" t="s">
        <v>552</v>
      </c>
      <c r="T148" s="77"/>
      <c r="U148" s="77"/>
      <c r="V148" s="80" t="str">
        <f>HYPERLINK("https://pbs.twimg.com/profile_images/477809657268797440/sAzwmP0J_normal.jpeg")</f>
        <v>https://pbs.twimg.com/profile_images/477809657268797440/sAzwmP0J_normal.jpeg</v>
      </c>
      <c r="W148" s="79">
        <v>44965.83421296296</v>
      </c>
      <c r="X148" s="84">
        <v>44965</v>
      </c>
      <c r="Y148" s="81" t="s">
        <v>672</v>
      </c>
      <c r="Z148" s="80" t="str">
        <f>HYPERLINK("https://twitter.com/leonecampiao/status/1623411662266171392")</f>
        <v>https://twitter.com/leonecampiao/status/1623411662266171392</v>
      </c>
      <c r="AA148" s="77"/>
      <c r="AB148" s="77"/>
      <c r="AC148" s="81" t="s">
        <v>828</v>
      </c>
      <c r="AD148" s="77"/>
      <c r="AE148" s="77" t="b">
        <v>0</v>
      </c>
      <c r="AF148" s="77">
        <v>0</v>
      </c>
      <c r="AG148" s="81" t="s">
        <v>916</v>
      </c>
      <c r="AH148" s="77" t="b">
        <v>0</v>
      </c>
      <c r="AI148" s="77" t="s">
        <v>950</v>
      </c>
      <c r="AJ148" s="77"/>
      <c r="AK148" s="81" t="s">
        <v>916</v>
      </c>
      <c r="AL148" s="77" t="b">
        <v>0</v>
      </c>
      <c r="AM148" s="77">
        <v>0</v>
      </c>
      <c r="AN148" s="81" t="s">
        <v>916</v>
      </c>
      <c r="AO148" s="81" t="s">
        <v>957</v>
      </c>
      <c r="AP148" s="77" t="b">
        <v>0</v>
      </c>
      <c r="AQ148" s="81" t="s">
        <v>828</v>
      </c>
      <c r="AR148" s="77" t="s">
        <v>207</v>
      </c>
      <c r="AS148" s="77">
        <v>0</v>
      </c>
      <c r="AT148" s="77">
        <v>0</v>
      </c>
      <c r="AU148" s="77"/>
      <c r="AV148" s="77"/>
      <c r="AW148" s="77"/>
      <c r="AX148" s="77"/>
      <c r="AY148" s="77"/>
      <c r="AZ148" s="77"/>
      <c r="BA148" s="77"/>
      <c r="BB148" s="77"/>
      <c r="BC148">
        <v>1</v>
      </c>
      <c r="BD148" s="76" t="str">
        <f>REPLACE(INDEX(GroupVertices[Group],MATCH(Edges[[#This Row],[Vertex 1]],GroupVertices[Vertex],0)),1,1,"")</f>
        <v>65</v>
      </c>
      <c r="BE148" s="76" t="str">
        <f>REPLACE(INDEX(GroupVertices[Group],MATCH(Edges[[#This Row],[Vertex 2]],GroupVertices[Vertex],0)),1,1,"")</f>
        <v>65</v>
      </c>
      <c r="BF148" s="31"/>
      <c r="BG148" s="31"/>
      <c r="BH148" s="31"/>
      <c r="BI148" s="31"/>
      <c r="BJ148" s="31"/>
      <c r="BK148" s="31"/>
      <c r="BL148" s="31"/>
      <c r="BM148" s="31"/>
      <c r="BN148" s="31"/>
    </row>
    <row r="149" spans="1:66" ht="15">
      <c r="A149" s="61" t="s">
        <v>331</v>
      </c>
      <c r="B149" s="61" t="s">
        <v>331</v>
      </c>
      <c r="C149" s="62"/>
      <c r="D149" s="63"/>
      <c r="E149" s="64"/>
      <c r="F149" s="65"/>
      <c r="G149" s="62"/>
      <c r="H149" s="66"/>
      <c r="I149" s="67"/>
      <c r="J149" s="67"/>
      <c r="K149" s="31" t="s">
        <v>65</v>
      </c>
      <c r="L149" s="75">
        <v>149</v>
      </c>
      <c r="M149" s="75"/>
      <c r="N149" s="69"/>
      <c r="O149" s="77" t="s">
        <v>207</v>
      </c>
      <c r="P149" s="79">
        <v>44965.84118055556</v>
      </c>
      <c r="Q149" s="77" t="s">
        <v>510</v>
      </c>
      <c r="R149" s="80" t="str">
        <f>HYPERLINK("https://thenewdaily.com.au/life/tech/2023/02/09/chatgpt-ai-future-kohler/")</f>
        <v>https://thenewdaily.com.au/life/tech/2023/02/09/chatgpt-ai-future-kohler/</v>
      </c>
      <c r="S149" s="77" t="s">
        <v>552</v>
      </c>
      <c r="T149" s="77"/>
      <c r="U149" s="77"/>
      <c r="V149" s="80" t="str">
        <f>HYPERLINK("https://pbs.twimg.com/profile_images/1059602230112739328/vP8hWjTd_normal.jpg")</f>
        <v>https://pbs.twimg.com/profile_images/1059602230112739328/vP8hWjTd_normal.jpg</v>
      </c>
      <c r="W149" s="79">
        <v>44965.84118055556</v>
      </c>
      <c r="X149" s="84">
        <v>44965</v>
      </c>
      <c r="Y149" s="81" t="s">
        <v>673</v>
      </c>
      <c r="Z149" s="80" t="str">
        <f>HYPERLINK("https://twitter.com/selden5/status/1623414187648253954")</f>
        <v>https://twitter.com/selden5/status/1623414187648253954</v>
      </c>
      <c r="AA149" s="77"/>
      <c r="AB149" s="77"/>
      <c r="AC149" s="81" t="s">
        <v>829</v>
      </c>
      <c r="AD149" s="77"/>
      <c r="AE149" s="77" t="b">
        <v>0</v>
      </c>
      <c r="AF149" s="77">
        <v>0</v>
      </c>
      <c r="AG149" s="81" t="s">
        <v>916</v>
      </c>
      <c r="AH149" s="77" t="b">
        <v>0</v>
      </c>
      <c r="AI149" s="77" t="s">
        <v>950</v>
      </c>
      <c r="AJ149" s="77"/>
      <c r="AK149" s="81" t="s">
        <v>916</v>
      </c>
      <c r="AL149" s="77" t="b">
        <v>0</v>
      </c>
      <c r="AM149" s="77">
        <v>0</v>
      </c>
      <c r="AN149" s="81" t="s">
        <v>916</v>
      </c>
      <c r="AO149" s="81" t="s">
        <v>960</v>
      </c>
      <c r="AP149" s="77" t="b">
        <v>0</v>
      </c>
      <c r="AQ149" s="81" t="s">
        <v>829</v>
      </c>
      <c r="AR149" s="77" t="s">
        <v>207</v>
      </c>
      <c r="AS149" s="77">
        <v>0</v>
      </c>
      <c r="AT149" s="77">
        <v>0</v>
      </c>
      <c r="AU149" s="77"/>
      <c r="AV149" s="77"/>
      <c r="AW149" s="77"/>
      <c r="AX149" s="77"/>
      <c r="AY149" s="77"/>
      <c r="AZ149" s="77"/>
      <c r="BA149" s="77"/>
      <c r="BB149" s="77"/>
      <c r="BC149">
        <v>1</v>
      </c>
      <c r="BD149" s="76" t="str">
        <f>REPLACE(INDEX(GroupVertices[Group],MATCH(Edges[[#This Row],[Vertex 1]],GroupVertices[Vertex],0)),1,1,"")</f>
        <v>64</v>
      </c>
      <c r="BE149" s="76" t="str">
        <f>REPLACE(INDEX(GroupVertices[Group],MATCH(Edges[[#This Row],[Vertex 2]],GroupVertices[Vertex],0)),1,1,"")</f>
        <v>64</v>
      </c>
      <c r="BF149" s="31"/>
      <c r="BG149" s="31"/>
      <c r="BH149" s="31"/>
      <c r="BI149" s="31"/>
      <c r="BJ149" s="31"/>
      <c r="BK149" s="31"/>
      <c r="BL149" s="31"/>
      <c r="BM149" s="31"/>
      <c r="BN149" s="31"/>
    </row>
    <row r="150" spans="1:66" ht="15">
      <c r="A150" s="61" t="s">
        <v>332</v>
      </c>
      <c r="B150" s="61" t="s">
        <v>332</v>
      </c>
      <c r="C150" s="62"/>
      <c r="D150" s="63"/>
      <c r="E150" s="64"/>
      <c r="F150" s="65"/>
      <c r="G150" s="62"/>
      <c r="H150" s="66"/>
      <c r="I150" s="67"/>
      <c r="J150" s="67"/>
      <c r="K150" s="31" t="s">
        <v>65</v>
      </c>
      <c r="L150" s="75">
        <v>150</v>
      </c>
      <c r="M150" s="75"/>
      <c r="N150" s="69"/>
      <c r="O150" s="77" t="s">
        <v>207</v>
      </c>
      <c r="P150" s="79">
        <v>44965.87710648148</v>
      </c>
      <c r="Q150" s="77" t="s">
        <v>511</v>
      </c>
      <c r="R150" s="77"/>
      <c r="S150" s="77"/>
      <c r="T150" s="77"/>
      <c r="U150" s="77"/>
      <c r="V150" s="80" t="str">
        <f>HYPERLINK("https://abs.twimg.com/sticky/default_profile_images/default_profile_normal.png")</f>
        <v>https://abs.twimg.com/sticky/default_profile_images/default_profile_normal.png</v>
      </c>
      <c r="W150" s="79">
        <v>44965.87710648148</v>
      </c>
      <c r="X150" s="84">
        <v>44965</v>
      </c>
      <c r="Y150" s="81" t="s">
        <v>674</v>
      </c>
      <c r="Z150" s="80" t="str">
        <f>HYPERLINK("https://twitter.com/swapstar930/status/1623427205899640833")</f>
        <v>https://twitter.com/swapstar930/status/1623427205899640833</v>
      </c>
      <c r="AA150" s="77"/>
      <c r="AB150" s="77"/>
      <c r="AC150" s="81" t="s">
        <v>830</v>
      </c>
      <c r="AD150" s="77"/>
      <c r="AE150" s="77" t="b">
        <v>0</v>
      </c>
      <c r="AF150" s="77">
        <v>0</v>
      </c>
      <c r="AG150" s="81" t="s">
        <v>916</v>
      </c>
      <c r="AH150" s="77" t="b">
        <v>0</v>
      </c>
      <c r="AI150" s="77" t="s">
        <v>950</v>
      </c>
      <c r="AJ150" s="77"/>
      <c r="AK150" s="81" t="s">
        <v>916</v>
      </c>
      <c r="AL150" s="77" t="b">
        <v>0</v>
      </c>
      <c r="AM150" s="77">
        <v>0</v>
      </c>
      <c r="AN150" s="81" t="s">
        <v>916</v>
      </c>
      <c r="AO150" s="81" t="s">
        <v>957</v>
      </c>
      <c r="AP150" s="77" t="b">
        <v>0</v>
      </c>
      <c r="AQ150" s="81" t="s">
        <v>830</v>
      </c>
      <c r="AR150" s="77" t="s">
        <v>207</v>
      </c>
      <c r="AS150" s="77">
        <v>0</v>
      </c>
      <c r="AT150" s="77">
        <v>0</v>
      </c>
      <c r="AU150" s="77"/>
      <c r="AV150" s="77"/>
      <c r="AW150" s="77"/>
      <c r="AX150" s="77"/>
      <c r="AY150" s="77"/>
      <c r="AZ150" s="77"/>
      <c r="BA150" s="77"/>
      <c r="BB150" s="77"/>
      <c r="BC150">
        <v>1</v>
      </c>
      <c r="BD150" s="76" t="str">
        <f>REPLACE(INDEX(GroupVertices[Group],MATCH(Edges[[#This Row],[Vertex 1]],GroupVertices[Vertex],0)),1,1,"")</f>
        <v>63</v>
      </c>
      <c r="BE150" s="76" t="str">
        <f>REPLACE(INDEX(GroupVertices[Group],MATCH(Edges[[#This Row],[Vertex 2]],GroupVertices[Vertex],0)),1,1,"")</f>
        <v>63</v>
      </c>
      <c r="BF150" s="31"/>
      <c r="BG150" s="31"/>
      <c r="BH150" s="31"/>
      <c r="BI150" s="31"/>
      <c r="BJ150" s="31"/>
      <c r="BK150" s="31"/>
      <c r="BL150" s="31"/>
      <c r="BM150" s="31"/>
      <c r="BN150" s="31"/>
    </row>
    <row r="151" spans="1:66" ht="15">
      <c r="A151" s="61" t="s">
        <v>333</v>
      </c>
      <c r="B151" s="61" t="s">
        <v>333</v>
      </c>
      <c r="C151" s="62"/>
      <c r="D151" s="63"/>
      <c r="E151" s="64"/>
      <c r="F151" s="65"/>
      <c r="G151" s="62"/>
      <c r="H151" s="66"/>
      <c r="I151" s="67"/>
      <c r="J151" s="67"/>
      <c r="K151" s="31" t="s">
        <v>65</v>
      </c>
      <c r="L151" s="75">
        <v>151</v>
      </c>
      <c r="M151" s="75"/>
      <c r="N151" s="69"/>
      <c r="O151" s="77" t="s">
        <v>207</v>
      </c>
      <c r="P151" s="79">
        <v>44965.87440972222</v>
      </c>
      <c r="Q151" s="77" t="s">
        <v>512</v>
      </c>
      <c r="R151" s="80" t="str">
        <f>HYPERLINK("https://thenewdaily.com.au/life/tech/2023/02/09/chatgpt-ai-future-kohler/")</f>
        <v>https://thenewdaily.com.au/life/tech/2023/02/09/chatgpt-ai-future-kohler/</v>
      </c>
      <c r="S151" s="77" t="s">
        <v>552</v>
      </c>
      <c r="T151" s="77"/>
      <c r="U151" s="77"/>
      <c r="V151" s="80" t="str">
        <f>HYPERLINK("https://pbs.twimg.com/profile_images/961154920702332928/Qo45dckM_normal.jpg")</f>
        <v>https://pbs.twimg.com/profile_images/961154920702332928/Qo45dckM_normal.jpg</v>
      </c>
      <c r="W151" s="79">
        <v>44965.87440972222</v>
      </c>
      <c r="X151" s="84">
        <v>44965</v>
      </c>
      <c r="Y151" s="81" t="s">
        <v>675</v>
      </c>
      <c r="Z151" s="80" t="str">
        <f>HYPERLINK("https://twitter.com/markx420/status/1623426227871813634")</f>
        <v>https://twitter.com/markx420/status/1623426227871813634</v>
      </c>
      <c r="AA151" s="77"/>
      <c r="AB151" s="77"/>
      <c r="AC151" s="81" t="s">
        <v>831</v>
      </c>
      <c r="AD151" s="77"/>
      <c r="AE151" s="77" t="b">
        <v>0</v>
      </c>
      <c r="AF151" s="77">
        <v>2</v>
      </c>
      <c r="AG151" s="81" t="s">
        <v>916</v>
      </c>
      <c r="AH151" s="77" t="b">
        <v>0</v>
      </c>
      <c r="AI151" s="77" t="s">
        <v>950</v>
      </c>
      <c r="AJ151" s="77"/>
      <c r="AK151" s="81" t="s">
        <v>916</v>
      </c>
      <c r="AL151" s="77" t="b">
        <v>0</v>
      </c>
      <c r="AM151" s="77">
        <v>1</v>
      </c>
      <c r="AN151" s="81" t="s">
        <v>916</v>
      </c>
      <c r="AO151" s="81" t="s">
        <v>957</v>
      </c>
      <c r="AP151" s="77" t="b">
        <v>0</v>
      </c>
      <c r="AQ151" s="81" t="s">
        <v>831</v>
      </c>
      <c r="AR151" s="77" t="s">
        <v>207</v>
      </c>
      <c r="AS151" s="77">
        <v>0</v>
      </c>
      <c r="AT151" s="77">
        <v>0</v>
      </c>
      <c r="AU151" s="77"/>
      <c r="AV151" s="77"/>
      <c r="AW151" s="77"/>
      <c r="AX151" s="77"/>
      <c r="AY151" s="77"/>
      <c r="AZ151" s="77"/>
      <c r="BA151" s="77"/>
      <c r="BB151" s="77"/>
      <c r="BC151">
        <v>1</v>
      </c>
      <c r="BD151" s="76" t="str">
        <f>REPLACE(INDEX(GroupVertices[Group],MATCH(Edges[[#This Row],[Vertex 1]],GroupVertices[Vertex],0)),1,1,"")</f>
        <v>32</v>
      </c>
      <c r="BE151" s="76" t="str">
        <f>REPLACE(INDEX(GroupVertices[Group],MATCH(Edges[[#This Row],[Vertex 2]],GroupVertices[Vertex],0)),1,1,"")</f>
        <v>32</v>
      </c>
      <c r="BF151" s="31"/>
      <c r="BG151" s="31"/>
      <c r="BH151" s="31"/>
      <c r="BI151" s="31"/>
      <c r="BJ151" s="31"/>
      <c r="BK151" s="31"/>
      <c r="BL151" s="31"/>
      <c r="BM151" s="31"/>
      <c r="BN151" s="31"/>
    </row>
    <row r="152" spans="1:66" ht="15">
      <c r="A152" s="61" t="s">
        <v>334</v>
      </c>
      <c r="B152" s="61" t="s">
        <v>333</v>
      </c>
      <c r="C152" s="62"/>
      <c r="D152" s="63"/>
      <c r="E152" s="64"/>
      <c r="F152" s="65"/>
      <c r="G152" s="62"/>
      <c r="H152" s="66"/>
      <c r="I152" s="67"/>
      <c r="J152" s="67"/>
      <c r="K152" s="31" t="s">
        <v>65</v>
      </c>
      <c r="L152" s="75">
        <v>152</v>
      </c>
      <c r="M152" s="75"/>
      <c r="N152" s="69"/>
      <c r="O152" s="77" t="s">
        <v>447</v>
      </c>
      <c r="P152" s="79">
        <v>44965.886770833335</v>
      </c>
      <c r="Q152" s="77" t="s">
        <v>512</v>
      </c>
      <c r="R152" s="80" t="str">
        <f>HYPERLINK("https://thenewdaily.com.au/life/tech/2023/02/09/chatgpt-ai-future-kohler/")</f>
        <v>https://thenewdaily.com.au/life/tech/2023/02/09/chatgpt-ai-future-kohler/</v>
      </c>
      <c r="S152" s="77" t="s">
        <v>552</v>
      </c>
      <c r="T152" s="77"/>
      <c r="U152" s="77"/>
      <c r="V152" s="80" t="str">
        <f>HYPERLINK("https://pbs.twimg.com/profile_images/1011611464782700550/UO-9IR-5_normal.jpg")</f>
        <v>https://pbs.twimg.com/profile_images/1011611464782700550/UO-9IR-5_normal.jpg</v>
      </c>
      <c r="W152" s="79">
        <v>44965.886770833335</v>
      </c>
      <c r="X152" s="84">
        <v>44965</v>
      </c>
      <c r="Y152" s="81" t="s">
        <v>676</v>
      </c>
      <c r="Z152" s="80" t="str">
        <f>HYPERLINK("https://twitter.com/ladypoop2/status/1623430709850562561")</f>
        <v>https://twitter.com/ladypoop2/status/1623430709850562561</v>
      </c>
      <c r="AA152" s="77"/>
      <c r="AB152" s="77"/>
      <c r="AC152" s="81" t="s">
        <v>832</v>
      </c>
      <c r="AD152" s="77"/>
      <c r="AE152" s="77" t="b">
        <v>0</v>
      </c>
      <c r="AF152" s="77">
        <v>0</v>
      </c>
      <c r="AG152" s="81" t="s">
        <v>916</v>
      </c>
      <c r="AH152" s="77" t="b">
        <v>0</v>
      </c>
      <c r="AI152" s="77" t="s">
        <v>950</v>
      </c>
      <c r="AJ152" s="77"/>
      <c r="AK152" s="81" t="s">
        <v>916</v>
      </c>
      <c r="AL152" s="77" t="b">
        <v>0</v>
      </c>
      <c r="AM152" s="77">
        <v>1</v>
      </c>
      <c r="AN152" s="81" t="s">
        <v>831</v>
      </c>
      <c r="AO152" s="81" t="s">
        <v>959</v>
      </c>
      <c r="AP152" s="77" t="b">
        <v>0</v>
      </c>
      <c r="AQ152" s="81" t="s">
        <v>831</v>
      </c>
      <c r="AR152" s="77" t="s">
        <v>207</v>
      </c>
      <c r="AS152" s="77">
        <v>0</v>
      </c>
      <c r="AT152" s="77">
        <v>0</v>
      </c>
      <c r="AU152" s="77"/>
      <c r="AV152" s="77"/>
      <c r="AW152" s="77"/>
      <c r="AX152" s="77"/>
      <c r="AY152" s="77"/>
      <c r="AZ152" s="77"/>
      <c r="BA152" s="77"/>
      <c r="BB152" s="77"/>
      <c r="BC152">
        <v>1</v>
      </c>
      <c r="BD152" s="76" t="str">
        <f>REPLACE(INDEX(GroupVertices[Group],MATCH(Edges[[#This Row],[Vertex 1]],GroupVertices[Vertex],0)),1,1,"")</f>
        <v>32</v>
      </c>
      <c r="BE152" s="76" t="str">
        <f>REPLACE(INDEX(GroupVertices[Group],MATCH(Edges[[#This Row],[Vertex 2]],GroupVertices[Vertex],0)),1,1,"")</f>
        <v>32</v>
      </c>
      <c r="BF152" s="31"/>
      <c r="BG152" s="31"/>
      <c r="BH152" s="31"/>
      <c r="BI152" s="31"/>
      <c r="BJ152" s="31"/>
      <c r="BK152" s="31"/>
      <c r="BL152" s="31"/>
      <c r="BM152" s="31"/>
      <c r="BN152" s="31"/>
    </row>
    <row r="153" spans="1:66" ht="15">
      <c r="A153" s="61" t="s">
        <v>335</v>
      </c>
      <c r="B153" s="61" t="s">
        <v>335</v>
      </c>
      <c r="C153" s="62"/>
      <c r="D153" s="63"/>
      <c r="E153" s="64"/>
      <c r="F153" s="65"/>
      <c r="G153" s="62"/>
      <c r="H153" s="66"/>
      <c r="I153" s="67"/>
      <c r="J153" s="67"/>
      <c r="K153" s="31" t="s">
        <v>65</v>
      </c>
      <c r="L153" s="75">
        <v>153</v>
      </c>
      <c r="M153" s="75"/>
      <c r="N153" s="69"/>
      <c r="O153" s="77" t="s">
        <v>207</v>
      </c>
      <c r="P153" s="79">
        <v>44965.97200231482</v>
      </c>
      <c r="Q153" s="77" t="s">
        <v>513</v>
      </c>
      <c r="R153" s="77"/>
      <c r="S153" s="77"/>
      <c r="T153" s="77"/>
      <c r="U153" s="77"/>
      <c r="V153" s="80" t="str">
        <f>HYPERLINK("https://pbs.twimg.com/profile_images/1574898763059306496/kIhyjNdc_normal.jpg")</f>
        <v>https://pbs.twimg.com/profile_images/1574898763059306496/kIhyjNdc_normal.jpg</v>
      </c>
      <c r="W153" s="79">
        <v>44965.97200231482</v>
      </c>
      <c r="X153" s="84">
        <v>44965</v>
      </c>
      <c r="Y153" s="81" t="s">
        <v>677</v>
      </c>
      <c r="Z153" s="80" t="str">
        <f>HYPERLINK("https://twitter.com/julianozen/status/1623461594888826883")</f>
        <v>https://twitter.com/julianozen/status/1623461594888826883</v>
      </c>
      <c r="AA153" s="77"/>
      <c r="AB153" s="77"/>
      <c r="AC153" s="81" t="s">
        <v>833</v>
      </c>
      <c r="AD153" s="77"/>
      <c r="AE153" s="77" t="b">
        <v>0</v>
      </c>
      <c r="AF153" s="77">
        <v>0</v>
      </c>
      <c r="AG153" s="81" t="s">
        <v>916</v>
      </c>
      <c r="AH153" s="77" t="b">
        <v>0</v>
      </c>
      <c r="AI153" s="77" t="s">
        <v>950</v>
      </c>
      <c r="AJ153" s="77"/>
      <c r="AK153" s="81" t="s">
        <v>916</v>
      </c>
      <c r="AL153" s="77" t="b">
        <v>0</v>
      </c>
      <c r="AM153" s="77">
        <v>0</v>
      </c>
      <c r="AN153" s="81" t="s">
        <v>916</v>
      </c>
      <c r="AO153" s="81" t="s">
        <v>958</v>
      </c>
      <c r="AP153" s="77" t="b">
        <v>0</v>
      </c>
      <c r="AQ153" s="81" t="s">
        <v>833</v>
      </c>
      <c r="AR153" s="77" t="s">
        <v>207</v>
      </c>
      <c r="AS153" s="77">
        <v>0</v>
      </c>
      <c r="AT153" s="77">
        <v>0</v>
      </c>
      <c r="AU153" s="77"/>
      <c r="AV153" s="77"/>
      <c r="AW153" s="77"/>
      <c r="AX153" s="77"/>
      <c r="AY153" s="77"/>
      <c r="AZ153" s="77"/>
      <c r="BA153" s="77"/>
      <c r="BB153" s="77"/>
      <c r="BC153">
        <v>1</v>
      </c>
      <c r="BD153" s="76" t="str">
        <f>REPLACE(INDEX(GroupVertices[Group],MATCH(Edges[[#This Row],[Vertex 1]],GroupVertices[Vertex],0)),1,1,"")</f>
        <v>62</v>
      </c>
      <c r="BE153" s="76" t="str">
        <f>REPLACE(INDEX(GroupVertices[Group],MATCH(Edges[[#This Row],[Vertex 2]],GroupVertices[Vertex],0)),1,1,"")</f>
        <v>62</v>
      </c>
      <c r="BF153" s="31"/>
      <c r="BG153" s="31"/>
      <c r="BH153" s="31"/>
      <c r="BI153" s="31"/>
      <c r="BJ153" s="31"/>
      <c r="BK153" s="31"/>
      <c r="BL153" s="31"/>
      <c r="BM153" s="31"/>
      <c r="BN153" s="31"/>
    </row>
    <row r="154" spans="1:66" ht="15">
      <c r="A154" s="61" t="s">
        <v>336</v>
      </c>
      <c r="B154" s="61" t="s">
        <v>336</v>
      </c>
      <c r="C154" s="62"/>
      <c r="D154" s="63"/>
      <c r="E154" s="64"/>
      <c r="F154" s="65"/>
      <c r="G154" s="62"/>
      <c r="H154" s="66"/>
      <c r="I154" s="67"/>
      <c r="J154" s="67"/>
      <c r="K154" s="31" t="s">
        <v>65</v>
      </c>
      <c r="L154" s="75">
        <v>154</v>
      </c>
      <c r="M154" s="75"/>
      <c r="N154" s="69"/>
      <c r="O154" s="77" t="s">
        <v>207</v>
      </c>
      <c r="P154" s="79">
        <v>44965.976747685185</v>
      </c>
      <c r="Q154" s="77" t="s">
        <v>514</v>
      </c>
      <c r="R154" s="80" t="str">
        <f>HYPERLINK("https://thenewdaily.com.au/life/tech/2023/02/09/chatgpt-ai-future-kohler/")</f>
        <v>https://thenewdaily.com.au/life/tech/2023/02/09/chatgpt-ai-future-kohler/</v>
      </c>
      <c r="S154" s="77" t="s">
        <v>552</v>
      </c>
      <c r="T154" s="77"/>
      <c r="U154" s="77"/>
      <c r="V154" s="80" t="str">
        <f>HYPERLINK("https://pbs.twimg.com/profile_images/1584048618364772352/-Q-KM1vh_normal.jpg")</f>
        <v>https://pbs.twimg.com/profile_images/1584048618364772352/-Q-KM1vh_normal.jpg</v>
      </c>
      <c r="W154" s="79">
        <v>44965.976747685185</v>
      </c>
      <c r="X154" s="84">
        <v>44965</v>
      </c>
      <c r="Y154" s="81" t="s">
        <v>678</v>
      </c>
      <c r="Z154" s="80" t="str">
        <f>HYPERLINK("https://twitter.com/fount8/status/1623463314759241728")</f>
        <v>https://twitter.com/fount8/status/1623463314759241728</v>
      </c>
      <c r="AA154" s="77"/>
      <c r="AB154" s="77"/>
      <c r="AC154" s="81" t="s">
        <v>834</v>
      </c>
      <c r="AD154" s="77"/>
      <c r="AE154" s="77" t="b">
        <v>0</v>
      </c>
      <c r="AF154" s="77">
        <v>1</v>
      </c>
      <c r="AG154" s="81" t="s">
        <v>916</v>
      </c>
      <c r="AH154" s="77" t="b">
        <v>0</v>
      </c>
      <c r="AI154" s="77" t="s">
        <v>950</v>
      </c>
      <c r="AJ154" s="77"/>
      <c r="AK154" s="81" t="s">
        <v>916</v>
      </c>
      <c r="AL154" s="77" t="b">
        <v>0</v>
      </c>
      <c r="AM154" s="77">
        <v>0</v>
      </c>
      <c r="AN154" s="81" t="s">
        <v>916</v>
      </c>
      <c r="AO154" s="81" t="s">
        <v>957</v>
      </c>
      <c r="AP154" s="77" t="b">
        <v>0</v>
      </c>
      <c r="AQ154" s="81" t="s">
        <v>834</v>
      </c>
      <c r="AR154" s="77" t="s">
        <v>207</v>
      </c>
      <c r="AS154" s="77">
        <v>0</v>
      </c>
      <c r="AT154" s="77">
        <v>0</v>
      </c>
      <c r="AU154" s="77"/>
      <c r="AV154" s="77"/>
      <c r="AW154" s="77"/>
      <c r="AX154" s="77"/>
      <c r="AY154" s="77"/>
      <c r="AZ154" s="77"/>
      <c r="BA154" s="77"/>
      <c r="BB154" s="77"/>
      <c r="BC154">
        <v>1</v>
      </c>
      <c r="BD154" s="76" t="str">
        <f>REPLACE(INDEX(GroupVertices[Group],MATCH(Edges[[#This Row],[Vertex 1]],GroupVertices[Vertex],0)),1,1,"")</f>
        <v>61</v>
      </c>
      <c r="BE154" s="76" t="str">
        <f>REPLACE(INDEX(GroupVertices[Group],MATCH(Edges[[#This Row],[Vertex 2]],GroupVertices[Vertex],0)),1,1,"")</f>
        <v>61</v>
      </c>
      <c r="BF154" s="31"/>
      <c r="BG154" s="31"/>
      <c r="BH154" s="31"/>
      <c r="BI154" s="31"/>
      <c r="BJ154" s="31"/>
      <c r="BK154" s="31"/>
      <c r="BL154" s="31"/>
      <c r="BM154" s="31"/>
      <c r="BN154" s="31"/>
    </row>
    <row r="155" spans="1:66" ht="15">
      <c r="A155" s="61" t="s">
        <v>337</v>
      </c>
      <c r="B155" s="61" t="s">
        <v>337</v>
      </c>
      <c r="C155" s="62"/>
      <c r="D155" s="63"/>
      <c r="E155" s="64"/>
      <c r="F155" s="65"/>
      <c r="G155" s="62"/>
      <c r="H155" s="66"/>
      <c r="I155" s="67"/>
      <c r="J155" s="67"/>
      <c r="K155" s="31" t="s">
        <v>65</v>
      </c>
      <c r="L155" s="75">
        <v>155</v>
      </c>
      <c r="M155" s="75"/>
      <c r="N155" s="69"/>
      <c r="O155" s="77" t="s">
        <v>207</v>
      </c>
      <c r="P155" s="79">
        <v>44965.98810185185</v>
      </c>
      <c r="Q155" s="77" t="s">
        <v>515</v>
      </c>
      <c r="R155" s="80" t="str">
        <f>HYPERLINK("https://thenewdaily.com.au/life/tech/2023/02/09/chatgpt-ai-future-kohler/")</f>
        <v>https://thenewdaily.com.au/life/tech/2023/02/09/chatgpt-ai-future-kohler/</v>
      </c>
      <c r="S155" s="77" t="s">
        <v>552</v>
      </c>
      <c r="T155" s="77"/>
      <c r="U155" s="77"/>
      <c r="V155" s="80" t="str">
        <f>HYPERLINK("https://pbs.twimg.com/profile_images/1013244482282668032/BO0D4lYb_normal.jpg")</f>
        <v>https://pbs.twimg.com/profile_images/1013244482282668032/BO0D4lYb_normal.jpg</v>
      </c>
      <c r="W155" s="79">
        <v>44965.98810185185</v>
      </c>
      <c r="X155" s="84">
        <v>44965</v>
      </c>
      <c r="Y155" s="81" t="s">
        <v>679</v>
      </c>
      <c r="Z155" s="80" t="str">
        <f>HYPERLINK("https://twitter.com/michaelpurvis64/status/1623467429946077185")</f>
        <v>https://twitter.com/michaelpurvis64/status/1623467429946077185</v>
      </c>
      <c r="AA155" s="77"/>
      <c r="AB155" s="77"/>
      <c r="AC155" s="81" t="s">
        <v>835</v>
      </c>
      <c r="AD155" s="77"/>
      <c r="AE155" s="77" t="b">
        <v>0</v>
      </c>
      <c r="AF155" s="77">
        <v>0</v>
      </c>
      <c r="AG155" s="81" t="s">
        <v>916</v>
      </c>
      <c r="AH155" s="77" t="b">
        <v>0</v>
      </c>
      <c r="AI155" s="77" t="s">
        <v>950</v>
      </c>
      <c r="AJ155" s="77"/>
      <c r="AK155" s="81" t="s">
        <v>916</v>
      </c>
      <c r="AL155" s="77" t="b">
        <v>0</v>
      </c>
      <c r="AM155" s="77">
        <v>0</v>
      </c>
      <c r="AN155" s="81" t="s">
        <v>916</v>
      </c>
      <c r="AO155" s="81" t="s">
        <v>960</v>
      </c>
      <c r="AP155" s="77" t="b">
        <v>0</v>
      </c>
      <c r="AQ155" s="81" t="s">
        <v>835</v>
      </c>
      <c r="AR155" s="77" t="s">
        <v>207</v>
      </c>
      <c r="AS155" s="77">
        <v>0</v>
      </c>
      <c r="AT155" s="77">
        <v>0</v>
      </c>
      <c r="AU155" s="77"/>
      <c r="AV155" s="77"/>
      <c r="AW155" s="77"/>
      <c r="AX155" s="77"/>
      <c r="AY155" s="77"/>
      <c r="AZ155" s="77"/>
      <c r="BA155" s="77"/>
      <c r="BB155" s="77"/>
      <c r="BC155">
        <v>1</v>
      </c>
      <c r="BD155" s="76" t="str">
        <f>REPLACE(INDEX(GroupVertices[Group],MATCH(Edges[[#This Row],[Vertex 1]],GroupVertices[Vertex],0)),1,1,"")</f>
        <v>60</v>
      </c>
      <c r="BE155" s="76" t="str">
        <f>REPLACE(INDEX(GroupVertices[Group],MATCH(Edges[[#This Row],[Vertex 2]],GroupVertices[Vertex],0)),1,1,"")</f>
        <v>60</v>
      </c>
      <c r="BF155" s="31"/>
      <c r="BG155" s="31"/>
      <c r="BH155" s="31"/>
      <c r="BI155" s="31"/>
      <c r="BJ155" s="31"/>
      <c r="BK155" s="31"/>
      <c r="BL155" s="31"/>
      <c r="BM155" s="31"/>
      <c r="BN155" s="31"/>
    </row>
    <row r="156" spans="1:66" ht="15">
      <c r="A156" s="61" t="s">
        <v>338</v>
      </c>
      <c r="B156" s="61" t="s">
        <v>338</v>
      </c>
      <c r="C156" s="62"/>
      <c r="D156" s="63"/>
      <c r="E156" s="64"/>
      <c r="F156" s="65"/>
      <c r="G156" s="62"/>
      <c r="H156" s="66"/>
      <c r="I156" s="67"/>
      <c r="J156" s="67"/>
      <c r="K156" s="31" t="s">
        <v>65</v>
      </c>
      <c r="L156" s="75">
        <v>156</v>
      </c>
      <c r="M156" s="75"/>
      <c r="N156" s="69"/>
      <c r="O156" s="77" t="s">
        <v>207</v>
      </c>
      <c r="P156" s="79">
        <v>44966.11827546296</v>
      </c>
      <c r="Q156" s="77" t="s">
        <v>516</v>
      </c>
      <c r="R156" s="77"/>
      <c r="S156" s="77"/>
      <c r="T156" s="77"/>
      <c r="U156" s="77"/>
      <c r="V156" s="80" t="str">
        <f>HYPERLINK("https://pbs.twimg.com/profile_images/1597566401840967683/y3yUPHOw_normal.jpg")</f>
        <v>https://pbs.twimg.com/profile_images/1597566401840967683/y3yUPHOw_normal.jpg</v>
      </c>
      <c r="W156" s="79">
        <v>44966.11827546296</v>
      </c>
      <c r="X156" s="84">
        <v>44966</v>
      </c>
      <c r="Y156" s="81" t="s">
        <v>680</v>
      </c>
      <c r="Z156" s="80" t="str">
        <f>HYPERLINK("https://twitter.com/ender_reinhart/status/1623514603119579137")</f>
        <v>https://twitter.com/ender_reinhart/status/1623514603119579137</v>
      </c>
      <c r="AA156" s="77"/>
      <c r="AB156" s="77"/>
      <c r="AC156" s="81" t="s">
        <v>836</v>
      </c>
      <c r="AD156" s="77"/>
      <c r="AE156" s="77" t="b">
        <v>0</v>
      </c>
      <c r="AF156" s="77">
        <v>1</v>
      </c>
      <c r="AG156" s="81" t="s">
        <v>916</v>
      </c>
      <c r="AH156" s="77" t="b">
        <v>0</v>
      </c>
      <c r="AI156" s="77" t="s">
        <v>950</v>
      </c>
      <c r="AJ156" s="77"/>
      <c r="AK156" s="81" t="s">
        <v>916</v>
      </c>
      <c r="AL156" s="77" t="b">
        <v>0</v>
      </c>
      <c r="AM156" s="77">
        <v>1</v>
      </c>
      <c r="AN156" s="81" t="s">
        <v>916</v>
      </c>
      <c r="AO156" s="81" t="s">
        <v>959</v>
      </c>
      <c r="AP156" s="77" t="b">
        <v>0</v>
      </c>
      <c r="AQ156" s="81" t="s">
        <v>836</v>
      </c>
      <c r="AR156" s="77" t="s">
        <v>207</v>
      </c>
      <c r="AS156" s="77">
        <v>0</v>
      </c>
      <c r="AT156" s="77">
        <v>0</v>
      </c>
      <c r="AU156" s="77"/>
      <c r="AV156" s="77"/>
      <c r="AW156" s="77"/>
      <c r="AX156" s="77"/>
      <c r="AY156" s="77"/>
      <c r="AZ156" s="77"/>
      <c r="BA156" s="77"/>
      <c r="BB156" s="77"/>
      <c r="BC156">
        <v>1</v>
      </c>
      <c r="BD156" s="76" t="str">
        <f>REPLACE(INDEX(GroupVertices[Group],MATCH(Edges[[#This Row],[Vertex 1]],GroupVertices[Vertex],0)),1,1,"")</f>
        <v>31</v>
      </c>
      <c r="BE156" s="76" t="str">
        <f>REPLACE(INDEX(GroupVertices[Group],MATCH(Edges[[#This Row],[Vertex 2]],GroupVertices[Vertex],0)),1,1,"")</f>
        <v>31</v>
      </c>
      <c r="BF156" s="31"/>
      <c r="BG156" s="31"/>
      <c r="BH156" s="31"/>
      <c r="BI156" s="31"/>
      <c r="BJ156" s="31"/>
      <c r="BK156" s="31"/>
      <c r="BL156" s="31"/>
      <c r="BM156" s="31"/>
      <c r="BN156" s="31"/>
    </row>
    <row r="157" spans="1:66" ht="15">
      <c r="A157" s="61" t="s">
        <v>339</v>
      </c>
      <c r="B157" s="61" t="s">
        <v>338</v>
      </c>
      <c r="C157" s="62"/>
      <c r="D157" s="63"/>
      <c r="E157" s="64"/>
      <c r="F157" s="65"/>
      <c r="G157" s="62"/>
      <c r="H157" s="66"/>
      <c r="I157" s="67"/>
      <c r="J157" s="67"/>
      <c r="K157" s="31" t="s">
        <v>65</v>
      </c>
      <c r="L157" s="75">
        <v>157</v>
      </c>
      <c r="M157" s="75"/>
      <c r="N157" s="69"/>
      <c r="O157" s="77" t="s">
        <v>447</v>
      </c>
      <c r="P157" s="79">
        <v>44966.11849537037</v>
      </c>
      <c r="Q157" s="77" t="s">
        <v>516</v>
      </c>
      <c r="R157" s="77"/>
      <c r="S157" s="77"/>
      <c r="T157" s="77"/>
      <c r="U157" s="77"/>
      <c r="V157" s="80" t="str">
        <f>HYPERLINK("https://pbs.twimg.com/profile_images/1623549853300310017/obzT622B_normal.jpg")</f>
        <v>https://pbs.twimg.com/profile_images/1623549853300310017/obzT622B_normal.jpg</v>
      </c>
      <c r="W157" s="79">
        <v>44966.11849537037</v>
      </c>
      <c r="X157" s="84">
        <v>44966</v>
      </c>
      <c r="Y157" s="81" t="s">
        <v>681</v>
      </c>
      <c r="Z157" s="80" t="str">
        <f>HYPERLINK("https://twitter.com/uquo_tech/status/1623514683553591297")</f>
        <v>https://twitter.com/uquo_tech/status/1623514683553591297</v>
      </c>
      <c r="AA157" s="77"/>
      <c r="AB157" s="77"/>
      <c r="AC157" s="81" t="s">
        <v>837</v>
      </c>
      <c r="AD157" s="77"/>
      <c r="AE157" s="77" t="b">
        <v>0</v>
      </c>
      <c r="AF157" s="77">
        <v>0</v>
      </c>
      <c r="AG157" s="81" t="s">
        <v>916</v>
      </c>
      <c r="AH157" s="77" t="b">
        <v>0</v>
      </c>
      <c r="AI157" s="77" t="s">
        <v>950</v>
      </c>
      <c r="AJ157" s="77"/>
      <c r="AK157" s="81" t="s">
        <v>916</v>
      </c>
      <c r="AL157" s="77" t="b">
        <v>0</v>
      </c>
      <c r="AM157" s="77">
        <v>1</v>
      </c>
      <c r="AN157" s="81" t="s">
        <v>836</v>
      </c>
      <c r="AO157" s="81" t="s">
        <v>964</v>
      </c>
      <c r="AP157" s="77" t="b">
        <v>0</v>
      </c>
      <c r="AQ157" s="81" t="s">
        <v>836</v>
      </c>
      <c r="AR157" s="77" t="s">
        <v>207</v>
      </c>
      <c r="AS157" s="77">
        <v>0</v>
      </c>
      <c r="AT157" s="77">
        <v>0</v>
      </c>
      <c r="AU157" s="77"/>
      <c r="AV157" s="77"/>
      <c r="AW157" s="77"/>
      <c r="AX157" s="77"/>
      <c r="AY157" s="77"/>
      <c r="AZ157" s="77"/>
      <c r="BA157" s="77"/>
      <c r="BB157" s="77"/>
      <c r="BC157">
        <v>1</v>
      </c>
      <c r="BD157" s="76" t="str">
        <f>REPLACE(INDEX(GroupVertices[Group],MATCH(Edges[[#This Row],[Vertex 1]],GroupVertices[Vertex],0)),1,1,"")</f>
        <v>31</v>
      </c>
      <c r="BE157" s="76" t="str">
        <f>REPLACE(INDEX(GroupVertices[Group],MATCH(Edges[[#This Row],[Vertex 2]],GroupVertices[Vertex],0)),1,1,"")</f>
        <v>31</v>
      </c>
      <c r="BF157" s="31"/>
      <c r="BG157" s="31"/>
      <c r="BH157" s="31"/>
      <c r="BI157" s="31"/>
      <c r="BJ157" s="31"/>
      <c r="BK157" s="31"/>
      <c r="BL157" s="31"/>
      <c r="BM157" s="31"/>
      <c r="BN157" s="31"/>
    </row>
    <row r="158" spans="1:66" ht="15">
      <c r="A158" s="61" t="s">
        <v>340</v>
      </c>
      <c r="B158" s="61" t="s">
        <v>340</v>
      </c>
      <c r="C158" s="62"/>
      <c r="D158" s="63"/>
      <c r="E158" s="64"/>
      <c r="F158" s="65"/>
      <c r="G158" s="62"/>
      <c r="H158" s="66"/>
      <c r="I158" s="67"/>
      <c r="J158" s="67"/>
      <c r="K158" s="31" t="s">
        <v>65</v>
      </c>
      <c r="L158" s="75">
        <v>158</v>
      </c>
      <c r="M158" s="75"/>
      <c r="N158" s="69"/>
      <c r="O158" s="77" t="s">
        <v>207</v>
      </c>
      <c r="P158" s="79">
        <v>44966.20410879629</v>
      </c>
      <c r="Q158" s="77" t="s">
        <v>516</v>
      </c>
      <c r="R158" s="77"/>
      <c r="S158" s="77"/>
      <c r="T158" s="77"/>
      <c r="U158" s="77"/>
      <c r="V158" s="80" t="str">
        <f>HYPERLINK("https://pbs.twimg.com/profile_images/1540761428671401987/rl0nWzl2_normal.jpg")</f>
        <v>https://pbs.twimg.com/profile_images/1540761428671401987/rl0nWzl2_normal.jpg</v>
      </c>
      <c r="W158" s="79">
        <v>44966.20410879629</v>
      </c>
      <c r="X158" s="84">
        <v>44966</v>
      </c>
      <c r="Y158" s="81" t="s">
        <v>682</v>
      </c>
      <c r="Z158" s="80" t="str">
        <f>HYPERLINK("https://twitter.com/rao_triton/status/1623545709864833024")</f>
        <v>https://twitter.com/rao_triton/status/1623545709864833024</v>
      </c>
      <c r="AA158" s="77"/>
      <c r="AB158" s="77"/>
      <c r="AC158" s="81" t="s">
        <v>838</v>
      </c>
      <c r="AD158" s="77"/>
      <c r="AE158" s="77" t="b">
        <v>0</v>
      </c>
      <c r="AF158" s="77">
        <v>0</v>
      </c>
      <c r="AG158" s="81" t="s">
        <v>916</v>
      </c>
      <c r="AH158" s="77" t="b">
        <v>0</v>
      </c>
      <c r="AI158" s="77" t="s">
        <v>950</v>
      </c>
      <c r="AJ158" s="77"/>
      <c r="AK158" s="81" t="s">
        <v>916</v>
      </c>
      <c r="AL158" s="77" t="b">
        <v>0</v>
      </c>
      <c r="AM158" s="77">
        <v>0</v>
      </c>
      <c r="AN158" s="81" t="s">
        <v>916</v>
      </c>
      <c r="AO158" s="81" t="s">
        <v>959</v>
      </c>
      <c r="AP158" s="77" t="b">
        <v>0</v>
      </c>
      <c r="AQ158" s="81" t="s">
        <v>838</v>
      </c>
      <c r="AR158" s="77" t="s">
        <v>207</v>
      </c>
      <c r="AS158" s="77">
        <v>0</v>
      </c>
      <c r="AT158" s="77">
        <v>0</v>
      </c>
      <c r="AU158" s="77"/>
      <c r="AV158" s="77"/>
      <c r="AW158" s="77"/>
      <c r="AX158" s="77"/>
      <c r="AY158" s="77"/>
      <c r="AZ158" s="77"/>
      <c r="BA158" s="77"/>
      <c r="BB158" s="77"/>
      <c r="BC158">
        <v>1</v>
      </c>
      <c r="BD158" s="76" t="str">
        <f>REPLACE(INDEX(GroupVertices[Group],MATCH(Edges[[#This Row],[Vertex 1]],GroupVertices[Vertex],0)),1,1,"")</f>
        <v>59</v>
      </c>
      <c r="BE158" s="76" t="str">
        <f>REPLACE(INDEX(GroupVertices[Group],MATCH(Edges[[#This Row],[Vertex 2]],GroupVertices[Vertex],0)),1,1,"")</f>
        <v>59</v>
      </c>
      <c r="BF158" s="31"/>
      <c r="BG158" s="31"/>
      <c r="BH158" s="31"/>
      <c r="BI158" s="31"/>
      <c r="BJ158" s="31"/>
      <c r="BK158" s="31"/>
      <c r="BL158" s="31"/>
      <c r="BM158" s="31"/>
      <c r="BN158" s="31"/>
    </row>
    <row r="159" spans="1:66" ht="15">
      <c r="A159" s="61" t="s">
        <v>341</v>
      </c>
      <c r="B159" s="61" t="s">
        <v>341</v>
      </c>
      <c r="C159" s="62"/>
      <c r="D159" s="63"/>
      <c r="E159" s="64"/>
      <c r="F159" s="65"/>
      <c r="G159" s="62"/>
      <c r="H159" s="66"/>
      <c r="I159" s="67"/>
      <c r="J159" s="67"/>
      <c r="K159" s="31" t="s">
        <v>65</v>
      </c>
      <c r="L159" s="75">
        <v>159</v>
      </c>
      <c r="M159" s="75"/>
      <c r="N159" s="69"/>
      <c r="O159" s="77" t="s">
        <v>207</v>
      </c>
      <c r="P159" s="79">
        <v>44966.22935185185</v>
      </c>
      <c r="Q159" s="77" t="s">
        <v>516</v>
      </c>
      <c r="R159" s="77"/>
      <c r="S159" s="77"/>
      <c r="T159" s="77"/>
      <c r="U159" s="77"/>
      <c r="V159" s="80" t="str">
        <f>HYPERLINK("https://pbs.twimg.com/profile_images/1524009746595864576/XR61xUqG_normal.jpg")</f>
        <v>https://pbs.twimg.com/profile_images/1524009746595864576/XR61xUqG_normal.jpg</v>
      </c>
      <c r="W159" s="79">
        <v>44966.22935185185</v>
      </c>
      <c r="X159" s="84">
        <v>44966</v>
      </c>
      <c r="Y159" s="81" t="s">
        <v>683</v>
      </c>
      <c r="Z159" s="80" t="str">
        <f>HYPERLINK("https://twitter.com/sidneyf90097715/status/1623554855729258497")</f>
        <v>https://twitter.com/sidneyf90097715/status/1623554855729258497</v>
      </c>
      <c r="AA159" s="77"/>
      <c r="AB159" s="77"/>
      <c r="AC159" s="81" t="s">
        <v>839</v>
      </c>
      <c r="AD159" s="77"/>
      <c r="AE159" s="77" t="b">
        <v>0</v>
      </c>
      <c r="AF159" s="77">
        <v>0</v>
      </c>
      <c r="AG159" s="81" t="s">
        <v>916</v>
      </c>
      <c r="AH159" s="77" t="b">
        <v>0</v>
      </c>
      <c r="AI159" s="77" t="s">
        <v>950</v>
      </c>
      <c r="AJ159" s="77"/>
      <c r="AK159" s="81" t="s">
        <v>916</v>
      </c>
      <c r="AL159" s="77" t="b">
        <v>0</v>
      </c>
      <c r="AM159" s="77">
        <v>0</v>
      </c>
      <c r="AN159" s="81" t="s">
        <v>916</v>
      </c>
      <c r="AO159" s="81" t="s">
        <v>959</v>
      </c>
      <c r="AP159" s="77" t="b">
        <v>0</v>
      </c>
      <c r="AQ159" s="81" t="s">
        <v>839</v>
      </c>
      <c r="AR159" s="77" t="s">
        <v>207</v>
      </c>
      <c r="AS159" s="77">
        <v>0</v>
      </c>
      <c r="AT159" s="77">
        <v>0</v>
      </c>
      <c r="AU159" s="77"/>
      <c r="AV159" s="77"/>
      <c r="AW159" s="77"/>
      <c r="AX159" s="77"/>
      <c r="AY159" s="77"/>
      <c r="AZ159" s="77"/>
      <c r="BA159" s="77"/>
      <c r="BB159" s="77"/>
      <c r="BC159">
        <v>1</v>
      </c>
      <c r="BD159" s="76" t="str">
        <f>REPLACE(INDEX(GroupVertices[Group],MATCH(Edges[[#This Row],[Vertex 1]],GroupVertices[Vertex],0)),1,1,"")</f>
        <v>58</v>
      </c>
      <c r="BE159" s="76" t="str">
        <f>REPLACE(INDEX(GroupVertices[Group],MATCH(Edges[[#This Row],[Vertex 2]],GroupVertices[Vertex],0)),1,1,"")</f>
        <v>58</v>
      </c>
      <c r="BF159" s="31"/>
      <c r="BG159" s="31"/>
      <c r="BH159" s="31"/>
      <c r="BI159" s="31"/>
      <c r="BJ159" s="31"/>
      <c r="BK159" s="31"/>
      <c r="BL159" s="31"/>
      <c r="BM159" s="31"/>
      <c r="BN159" s="31"/>
    </row>
    <row r="160" spans="1:66" ht="15">
      <c r="A160" s="61" t="s">
        <v>342</v>
      </c>
      <c r="B160" s="61" t="s">
        <v>342</v>
      </c>
      <c r="C160" s="62"/>
      <c r="D160" s="63"/>
      <c r="E160" s="64"/>
      <c r="F160" s="65"/>
      <c r="G160" s="62"/>
      <c r="H160" s="66"/>
      <c r="I160" s="67"/>
      <c r="J160" s="67"/>
      <c r="K160" s="31" t="s">
        <v>65</v>
      </c>
      <c r="L160" s="75">
        <v>160</v>
      </c>
      <c r="M160" s="75"/>
      <c r="N160" s="69"/>
      <c r="O160" s="77" t="s">
        <v>207</v>
      </c>
      <c r="P160" s="79">
        <v>44957.75119212963</v>
      </c>
      <c r="Q160" s="77" t="s">
        <v>491</v>
      </c>
      <c r="R160" s="77"/>
      <c r="S160" s="77"/>
      <c r="T160" s="81" t="s">
        <v>567</v>
      </c>
      <c r="U160" s="80" t="str">
        <f>HYPERLINK("https://pbs.twimg.com/media/Fn0cNc_aQAAeetl.jpg")</f>
        <v>https://pbs.twimg.com/media/Fn0cNc_aQAAeetl.jpg</v>
      </c>
      <c r="V160" s="80" t="str">
        <f>HYPERLINK("https://pbs.twimg.com/media/Fn0cNc_aQAAeetl.jpg")</f>
        <v>https://pbs.twimg.com/media/Fn0cNc_aQAAeetl.jpg</v>
      </c>
      <c r="W160" s="79">
        <v>44957.75119212963</v>
      </c>
      <c r="X160" s="84">
        <v>44957</v>
      </c>
      <c r="Y160" s="81" t="s">
        <v>684</v>
      </c>
      <c r="Z160" s="80" t="str">
        <f>HYPERLINK("https://twitter.com/level39/status/1620482473447788545")</f>
        <v>https://twitter.com/level39/status/1620482473447788545</v>
      </c>
      <c r="AA160" s="77"/>
      <c r="AB160" s="77"/>
      <c r="AC160" s="81" t="s">
        <v>840</v>
      </c>
      <c r="AD160" s="81" t="s">
        <v>908</v>
      </c>
      <c r="AE160" s="77" t="b">
        <v>0</v>
      </c>
      <c r="AF160" s="77">
        <v>25</v>
      </c>
      <c r="AG160" s="81" t="s">
        <v>941</v>
      </c>
      <c r="AH160" s="77" t="b">
        <v>0</v>
      </c>
      <c r="AI160" s="77" t="s">
        <v>950</v>
      </c>
      <c r="AJ160" s="77"/>
      <c r="AK160" s="81" t="s">
        <v>916</v>
      </c>
      <c r="AL160" s="77" t="b">
        <v>0</v>
      </c>
      <c r="AM160" s="77">
        <v>9</v>
      </c>
      <c r="AN160" s="81" t="s">
        <v>916</v>
      </c>
      <c r="AO160" s="81" t="s">
        <v>957</v>
      </c>
      <c r="AP160" s="77" t="b">
        <v>0</v>
      </c>
      <c r="AQ160" s="81" t="s">
        <v>908</v>
      </c>
      <c r="AR160" s="77" t="s">
        <v>447</v>
      </c>
      <c r="AS160" s="77">
        <v>0</v>
      </c>
      <c r="AT160" s="77">
        <v>0</v>
      </c>
      <c r="AU160" s="77"/>
      <c r="AV160" s="77"/>
      <c r="AW160" s="77"/>
      <c r="AX160" s="77"/>
      <c r="AY160" s="77"/>
      <c r="AZ160" s="77"/>
      <c r="BA160" s="77"/>
      <c r="BB160" s="77"/>
      <c r="BC160">
        <v>1</v>
      </c>
      <c r="BD160" s="76" t="str">
        <f>REPLACE(INDEX(GroupVertices[Group],MATCH(Edges[[#This Row],[Vertex 1]],GroupVertices[Vertex],0)),1,1,"")</f>
        <v>18</v>
      </c>
      <c r="BE160" s="76" t="str">
        <f>REPLACE(INDEX(GroupVertices[Group],MATCH(Edges[[#This Row],[Vertex 2]],GroupVertices[Vertex],0)),1,1,"")</f>
        <v>18</v>
      </c>
      <c r="BF160" s="31"/>
      <c r="BG160" s="31"/>
      <c r="BH160" s="31"/>
      <c r="BI160" s="31"/>
      <c r="BJ160" s="31"/>
      <c r="BK160" s="31"/>
      <c r="BL160" s="31"/>
      <c r="BM160" s="31"/>
      <c r="BN160" s="31"/>
    </row>
    <row r="161" spans="1:66" ht="15">
      <c r="A161" s="61" t="s">
        <v>343</v>
      </c>
      <c r="B161" s="61" t="s">
        <v>342</v>
      </c>
      <c r="C161" s="62"/>
      <c r="D161" s="63"/>
      <c r="E161" s="64"/>
      <c r="F161" s="65"/>
      <c r="G161" s="62"/>
      <c r="H161" s="66"/>
      <c r="I161" s="67"/>
      <c r="J161" s="67"/>
      <c r="K161" s="31" t="s">
        <v>65</v>
      </c>
      <c r="L161" s="75">
        <v>161</v>
      </c>
      <c r="M161" s="75"/>
      <c r="N161" s="69"/>
      <c r="O161" s="77" t="s">
        <v>447</v>
      </c>
      <c r="P161" s="79">
        <v>44966.30280092593</v>
      </c>
      <c r="Q161" s="77" t="s">
        <v>491</v>
      </c>
      <c r="R161" s="77"/>
      <c r="S161" s="77"/>
      <c r="T161" s="81" t="s">
        <v>567</v>
      </c>
      <c r="U161" s="80" t="str">
        <f>HYPERLINK("https://pbs.twimg.com/media/Fn0cNc_aQAAeetl.jpg")</f>
        <v>https://pbs.twimg.com/media/Fn0cNc_aQAAeetl.jpg</v>
      </c>
      <c r="V161" s="80" t="str">
        <f>HYPERLINK("https://pbs.twimg.com/media/Fn0cNc_aQAAeetl.jpg")</f>
        <v>https://pbs.twimg.com/media/Fn0cNc_aQAAeetl.jpg</v>
      </c>
      <c r="W161" s="79">
        <v>44966.30280092593</v>
      </c>
      <c r="X161" s="84">
        <v>44966</v>
      </c>
      <c r="Y161" s="81" t="s">
        <v>685</v>
      </c>
      <c r="Z161" s="80" t="str">
        <f>HYPERLINK("https://twitter.com/akkaufman/status/1623581474682474496")</f>
        <v>https://twitter.com/akkaufman/status/1623581474682474496</v>
      </c>
      <c r="AA161" s="77"/>
      <c r="AB161" s="77"/>
      <c r="AC161" s="81" t="s">
        <v>841</v>
      </c>
      <c r="AD161" s="77"/>
      <c r="AE161" s="77" t="b">
        <v>0</v>
      </c>
      <c r="AF161" s="77">
        <v>0</v>
      </c>
      <c r="AG161" s="81" t="s">
        <v>916</v>
      </c>
      <c r="AH161" s="77" t="b">
        <v>0</v>
      </c>
      <c r="AI161" s="77" t="s">
        <v>950</v>
      </c>
      <c r="AJ161" s="77"/>
      <c r="AK161" s="81" t="s">
        <v>916</v>
      </c>
      <c r="AL161" s="77" t="b">
        <v>0</v>
      </c>
      <c r="AM161" s="77">
        <v>9</v>
      </c>
      <c r="AN161" s="81" t="s">
        <v>840</v>
      </c>
      <c r="AO161" s="81" t="s">
        <v>957</v>
      </c>
      <c r="AP161" s="77" t="b">
        <v>0</v>
      </c>
      <c r="AQ161" s="81" t="s">
        <v>840</v>
      </c>
      <c r="AR161" s="77" t="s">
        <v>207</v>
      </c>
      <c r="AS161" s="77">
        <v>0</v>
      </c>
      <c r="AT161" s="77">
        <v>0</v>
      </c>
      <c r="AU161" s="77"/>
      <c r="AV161" s="77"/>
      <c r="AW161" s="77"/>
      <c r="AX161" s="77"/>
      <c r="AY161" s="77"/>
      <c r="AZ161" s="77"/>
      <c r="BA161" s="77"/>
      <c r="BB161" s="77"/>
      <c r="BC161">
        <v>1</v>
      </c>
      <c r="BD161" s="76" t="str">
        <f>REPLACE(INDEX(GroupVertices[Group],MATCH(Edges[[#This Row],[Vertex 1]],GroupVertices[Vertex],0)),1,1,"")</f>
        <v>18</v>
      </c>
      <c r="BE161" s="76" t="str">
        <f>REPLACE(INDEX(GroupVertices[Group],MATCH(Edges[[#This Row],[Vertex 2]],GroupVertices[Vertex],0)),1,1,"")</f>
        <v>18</v>
      </c>
      <c r="BF161" s="31"/>
      <c r="BG161" s="31"/>
      <c r="BH161" s="31"/>
      <c r="BI161" s="31"/>
      <c r="BJ161" s="31"/>
      <c r="BK161" s="31"/>
      <c r="BL161" s="31"/>
      <c r="BM161" s="31"/>
      <c r="BN161" s="31"/>
    </row>
    <row r="162" spans="1:66" ht="15">
      <c r="A162" s="61" t="s">
        <v>344</v>
      </c>
      <c r="B162" s="61" t="s">
        <v>345</v>
      </c>
      <c r="C162" s="62"/>
      <c r="D162" s="63"/>
      <c r="E162" s="64"/>
      <c r="F162" s="65"/>
      <c r="G162" s="62"/>
      <c r="H162" s="66"/>
      <c r="I162" s="67"/>
      <c r="J162" s="67"/>
      <c r="K162" s="31" t="s">
        <v>65</v>
      </c>
      <c r="L162" s="75">
        <v>162</v>
      </c>
      <c r="M162" s="75"/>
      <c r="N162" s="69"/>
      <c r="O162" s="77" t="s">
        <v>447</v>
      </c>
      <c r="P162" s="79">
        <v>44966.40414351852</v>
      </c>
      <c r="Q162" s="77" t="s">
        <v>517</v>
      </c>
      <c r="R162" s="80" t="str">
        <f>HYPERLINK("https://thenewdaily.com.au/life/tech/2023/02/09/chatgpt-ai-future-kohler/")</f>
        <v>https://thenewdaily.com.au/life/tech/2023/02/09/chatgpt-ai-future-kohler/</v>
      </c>
      <c r="S162" s="77" t="s">
        <v>552</v>
      </c>
      <c r="T162" s="81" t="s">
        <v>569</v>
      </c>
      <c r="U162" s="77"/>
      <c r="V162" s="80" t="str">
        <f>HYPERLINK("https://abs.twimg.com/sticky/default_profile_images/default_profile_normal.png")</f>
        <v>https://abs.twimg.com/sticky/default_profile_images/default_profile_normal.png</v>
      </c>
      <c r="W162" s="79">
        <v>44966.40414351852</v>
      </c>
      <c r="X162" s="84">
        <v>44966</v>
      </c>
      <c r="Y162" s="81" t="s">
        <v>686</v>
      </c>
      <c r="Z162" s="80" t="str">
        <f>HYPERLINK("https://twitter.com/newsoft53759560/status/1623618197726396416")</f>
        <v>https://twitter.com/newsoft53759560/status/1623618197726396416</v>
      </c>
      <c r="AA162" s="77"/>
      <c r="AB162" s="77"/>
      <c r="AC162" s="81" t="s">
        <v>842</v>
      </c>
      <c r="AD162" s="77"/>
      <c r="AE162" s="77" t="b">
        <v>0</v>
      </c>
      <c r="AF162" s="77">
        <v>0</v>
      </c>
      <c r="AG162" s="81" t="s">
        <v>916</v>
      </c>
      <c r="AH162" s="77" t="b">
        <v>0</v>
      </c>
      <c r="AI162" s="77" t="s">
        <v>950</v>
      </c>
      <c r="AJ162" s="77"/>
      <c r="AK162" s="81" t="s">
        <v>916</v>
      </c>
      <c r="AL162" s="77" t="b">
        <v>0</v>
      </c>
      <c r="AM162" s="77">
        <v>2</v>
      </c>
      <c r="AN162" s="81" t="s">
        <v>843</v>
      </c>
      <c r="AO162" s="81" t="s">
        <v>958</v>
      </c>
      <c r="AP162" s="77" t="b">
        <v>0</v>
      </c>
      <c r="AQ162" s="81" t="s">
        <v>843</v>
      </c>
      <c r="AR162" s="77" t="s">
        <v>207</v>
      </c>
      <c r="AS162" s="77">
        <v>0</v>
      </c>
      <c r="AT162" s="77">
        <v>0</v>
      </c>
      <c r="AU162" s="77"/>
      <c r="AV162" s="77"/>
      <c r="AW162" s="77"/>
      <c r="AX162" s="77"/>
      <c r="AY162" s="77"/>
      <c r="AZ162" s="77"/>
      <c r="BA162" s="77"/>
      <c r="BB162" s="77"/>
      <c r="BC162">
        <v>1</v>
      </c>
      <c r="BD162" s="76" t="str">
        <f>REPLACE(INDEX(GroupVertices[Group],MATCH(Edges[[#This Row],[Vertex 1]],GroupVertices[Vertex],0)),1,1,"")</f>
        <v>17</v>
      </c>
      <c r="BE162" s="76" t="str">
        <f>REPLACE(INDEX(GroupVertices[Group],MATCH(Edges[[#This Row],[Vertex 2]],GroupVertices[Vertex],0)),1,1,"")</f>
        <v>17</v>
      </c>
      <c r="BF162" s="31"/>
      <c r="BG162" s="31"/>
      <c r="BH162" s="31"/>
      <c r="BI162" s="31"/>
      <c r="BJ162" s="31"/>
      <c r="BK162" s="31"/>
      <c r="BL162" s="31"/>
      <c r="BM162" s="31"/>
      <c r="BN162" s="31"/>
    </row>
    <row r="163" spans="1:66" ht="15">
      <c r="A163" s="61" t="s">
        <v>345</v>
      </c>
      <c r="B163" s="61" t="s">
        <v>345</v>
      </c>
      <c r="C163" s="62"/>
      <c r="D163" s="63"/>
      <c r="E163" s="64"/>
      <c r="F163" s="65"/>
      <c r="G163" s="62"/>
      <c r="H163" s="66"/>
      <c r="I163" s="67"/>
      <c r="J163" s="67"/>
      <c r="K163" s="31" t="s">
        <v>65</v>
      </c>
      <c r="L163" s="75">
        <v>163</v>
      </c>
      <c r="M163" s="75"/>
      <c r="N163" s="69"/>
      <c r="O163" s="77" t="s">
        <v>207</v>
      </c>
      <c r="P163" s="79">
        <v>44966.20141203704</v>
      </c>
      <c r="Q163" s="77" t="s">
        <v>517</v>
      </c>
      <c r="R163" s="80" t="str">
        <f>HYPERLINK("https://thenewdaily.com.au/life/tech/2023/02/09/chatgpt-ai-future-kohler/")</f>
        <v>https://thenewdaily.com.au/life/tech/2023/02/09/chatgpt-ai-future-kohler/</v>
      </c>
      <c r="S163" s="77" t="s">
        <v>552</v>
      </c>
      <c r="T163" s="81" t="s">
        <v>569</v>
      </c>
      <c r="U163" s="77"/>
      <c r="V163" s="80" t="str">
        <f>HYPERLINK("https://pbs.twimg.com/profile_images/1392879518122012679/aG32Qshp_normal.jpg")</f>
        <v>https://pbs.twimg.com/profile_images/1392879518122012679/aG32Qshp_normal.jpg</v>
      </c>
      <c r="W163" s="79">
        <v>44966.20141203704</v>
      </c>
      <c r="X163" s="84">
        <v>44966</v>
      </c>
      <c r="Y163" s="81" t="s">
        <v>687</v>
      </c>
      <c r="Z163" s="80" t="str">
        <f>HYPERLINK("https://twitter.com/roboticsainews/status/1623544730947837954")</f>
        <v>https://twitter.com/roboticsainews/status/1623544730947837954</v>
      </c>
      <c r="AA163" s="77"/>
      <c r="AB163" s="77"/>
      <c r="AC163" s="81" t="s">
        <v>843</v>
      </c>
      <c r="AD163" s="77"/>
      <c r="AE163" s="77" t="b">
        <v>0</v>
      </c>
      <c r="AF163" s="77">
        <v>4</v>
      </c>
      <c r="AG163" s="81" t="s">
        <v>916</v>
      </c>
      <c r="AH163" s="77" t="b">
        <v>0</v>
      </c>
      <c r="AI163" s="77" t="s">
        <v>950</v>
      </c>
      <c r="AJ163" s="77"/>
      <c r="AK163" s="81" t="s">
        <v>916</v>
      </c>
      <c r="AL163" s="77" t="b">
        <v>0</v>
      </c>
      <c r="AM163" s="77">
        <v>2</v>
      </c>
      <c r="AN163" s="81" t="s">
        <v>916</v>
      </c>
      <c r="AO163" s="81" t="s">
        <v>965</v>
      </c>
      <c r="AP163" s="77" t="b">
        <v>0</v>
      </c>
      <c r="AQ163" s="81" t="s">
        <v>843</v>
      </c>
      <c r="AR163" s="77" t="s">
        <v>207</v>
      </c>
      <c r="AS163" s="77">
        <v>0</v>
      </c>
      <c r="AT163" s="77">
        <v>0</v>
      </c>
      <c r="AU163" s="77"/>
      <c r="AV163" s="77"/>
      <c r="AW163" s="77"/>
      <c r="AX163" s="77"/>
      <c r="AY163" s="77"/>
      <c r="AZ163" s="77"/>
      <c r="BA163" s="77"/>
      <c r="BB163" s="77"/>
      <c r="BC163">
        <v>1</v>
      </c>
      <c r="BD163" s="76" t="str">
        <f>REPLACE(INDEX(GroupVertices[Group],MATCH(Edges[[#This Row],[Vertex 1]],GroupVertices[Vertex],0)),1,1,"")</f>
        <v>17</v>
      </c>
      <c r="BE163" s="76" t="str">
        <f>REPLACE(INDEX(GroupVertices[Group],MATCH(Edges[[#This Row],[Vertex 2]],GroupVertices[Vertex],0)),1,1,"")</f>
        <v>17</v>
      </c>
      <c r="BF163" s="31"/>
      <c r="BG163" s="31"/>
      <c r="BH163" s="31"/>
      <c r="BI163" s="31"/>
      <c r="BJ163" s="31"/>
      <c r="BK163" s="31"/>
      <c r="BL163" s="31"/>
      <c r="BM163" s="31"/>
      <c r="BN163" s="31"/>
    </row>
    <row r="164" spans="1:66" ht="15">
      <c r="A164" s="61" t="s">
        <v>346</v>
      </c>
      <c r="B164" s="61" t="s">
        <v>345</v>
      </c>
      <c r="C164" s="62"/>
      <c r="D164" s="63"/>
      <c r="E164" s="64"/>
      <c r="F164" s="65"/>
      <c r="G164" s="62"/>
      <c r="H164" s="66"/>
      <c r="I164" s="67"/>
      <c r="J164" s="67"/>
      <c r="K164" s="31" t="s">
        <v>65</v>
      </c>
      <c r="L164" s="75">
        <v>164</v>
      </c>
      <c r="M164" s="75"/>
      <c r="N164" s="69"/>
      <c r="O164" s="77" t="s">
        <v>447</v>
      </c>
      <c r="P164" s="79">
        <v>44966.404178240744</v>
      </c>
      <c r="Q164" s="77" t="s">
        <v>517</v>
      </c>
      <c r="R164" s="80" t="str">
        <f>HYPERLINK("https://thenewdaily.com.au/life/tech/2023/02/09/chatgpt-ai-future-kohler/")</f>
        <v>https://thenewdaily.com.au/life/tech/2023/02/09/chatgpt-ai-future-kohler/</v>
      </c>
      <c r="S164" s="77" t="s">
        <v>552</v>
      </c>
      <c r="T164" s="81" t="s">
        <v>569</v>
      </c>
      <c r="U164" s="77"/>
      <c r="V164" s="80" t="str">
        <f>HYPERLINK("https://pbs.twimg.com/profile_images/1177588974753325056/nUQ2fqPB_normal.jpg")</f>
        <v>https://pbs.twimg.com/profile_images/1177588974753325056/nUQ2fqPB_normal.jpg</v>
      </c>
      <c r="W164" s="79">
        <v>44966.404178240744</v>
      </c>
      <c r="X164" s="84">
        <v>44966</v>
      </c>
      <c r="Y164" s="81" t="s">
        <v>688</v>
      </c>
      <c r="Z164" s="80" t="str">
        <f>HYPERLINK("https://twitter.com/analogique2018/status/1623618211689254913")</f>
        <v>https://twitter.com/analogique2018/status/1623618211689254913</v>
      </c>
      <c r="AA164" s="77"/>
      <c r="AB164" s="77"/>
      <c r="AC164" s="81" t="s">
        <v>844</v>
      </c>
      <c r="AD164" s="77"/>
      <c r="AE164" s="77" t="b">
        <v>0</v>
      </c>
      <c r="AF164" s="77">
        <v>0</v>
      </c>
      <c r="AG164" s="81" t="s">
        <v>916</v>
      </c>
      <c r="AH164" s="77" t="b">
        <v>0</v>
      </c>
      <c r="AI164" s="77" t="s">
        <v>950</v>
      </c>
      <c r="AJ164" s="77"/>
      <c r="AK164" s="81" t="s">
        <v>916</v>
      </c>
      <c r="AL164" s="77" t="b">
        <v>0</v>
      </c>
      <c r="AM164" s="77">
        <v>2</v>
      </c>
      <c r="AN164" s="81" t="s">
        <v>843</v>
      </c>
      <c r="AO164" s="81" t="s">
        <v>966</v>
      </c>
      <c r="AP164" s="77" t="b">
        <v>0</v>
      </c>
      <c r="AQ164" s="81" t="s">
        <v>843</v>
      </c>
      <c r="AR164" s="77" t="s">
        <v>207</v>
      </c>
      <c r="AS164" s="77">
        <v>0</v>
      </c>
      <c r="AT164" s="77">
        <v>0</v>
      </c>
      <c r="AU164" s="77"/>
      <c r="AV164" s="77"/>
      <c r="AW164" s="77"/>
      <c r="AX164" s="77"/>
      <c r="AY164" s="77"/>
      <c r="AZ164" s="77"/>
      <c r="BA164" s="77"/>
      <c r="BB164" s="77"/>
      <c r="BC164">
        <v>1</v>
      </c>
      <c r="BD164" s="76" t="str">
        <f>REPLACE(INDEX(GroupVertices[Group],MATCH(Edges[[#This Row],[Vertex 1]],GroupVertices[Vertex],0)),1,1,"")</f>
        <v>17</v>
      </c>
      <c r="BE164" s="76" t="str">
        <f>REPLACE(INDEX(GroupVertices[Group],MATCH(Edges[[#This Row],[Vertex 2]],GroupVertices[Vertex],0)),1,1,"")</f>
        <v>17</v>
      </c>
      <c r="BF164" s="31"/>
      <c r="BG164" s="31"/>
      <c r="BH164" s="31"/>
      <c r="BI164" s="31"/>
      <c r="BJ164" s="31"/>
      <c r="BK164" s="31"/>
      <c r="BL164" s="31"/>
      <c r="BM164" s="31"/>
      <c r="BN164" s="31"/>
    </row>
    <row r="165" spans="1:66" ht="15">
      <c r="A165" s="61" t="s">
        <v>347</v>
      </c>
      <c r="B165" s="61" t="s">
        <v>349</v>
      </c>
      <c r="C165" s="62"/>
      <c r="D165" s="63"/>
      <c r="E165" s="64"/>
      <c r="F165" s="65"/>
      <c r="G165" s="62"/>
      <c r="H165" s="66"/>
      <c r="I165" s="67"/>
      <c r="J165" s="67"/>
      <c r="K165" s="31" t="s">
        <v>65</v>
      </c>
      <c r="L165" s="75">
        <v>165</v>
      </c>
      <c r="M165" s="75"/>
      <c r="N165" s="69"/>
      <c r="O165" s="77" t="s">
        <v>447</v>
      </c>
      <c r="P165" s="79">
        <v>44966.4178125</v>
      </c>
      <c r="Q165" s="77" t="s">
        <v>469</v>
      </c>
      <c r="R165" s="80" t="str">
        <f>HYPERLINK("https://interestingengineering.com/innovation/chatgpt-ai-will-help-cure-diseases-and-solve-climate-change-chatbot-says")</f>
        <v>https://interestingengineering.com/innovation/chatgpt-ai-will-help-cure-diseases-and-solve-climate-change-chatbot-says</v>
      </c>
      <c r="S165" s="77" t="s">
        <v>550</v>
      </c>
      <c r="T165" s="81" t="s">
        <v>563</v>
      </c>
      <c r="U165" s="77"/>
      <c r="V165" s="80" t="str">
        <f>HYPERLINK("https://pbs.twimg.com/profile_images/1218779685355524096/ZU0vGsik_normal.jpg")</f>
        <v>https://pbs.twimg.com/profile_images/1218779685355524096/ZU0vGsik_normal.jpg</v>
      </c>
      <c r="W165" s="79">
        <v>44966.4178125</v>
      </c>
      <c r="X165" s="84">
        <v>44966</v>
      </c>
      <c r="Y165" s="81" t="s">
        <v>689</v>
      </c>
      <c r="Z165" s="80" t="str">
        <f>HYPERLINK("https://twitter.com/ishagshafeeg/status/1623623150473973761")</f>
        <v>https://twitter.com/ishagshafeeg/status/1623623150473973761</v>
      </c>
      <c r="AA165" s="77"/>
      <c r="AB165" s="77"/>
      <c r="AC165" s="81" t="s">
        <v>845</v>
      </c>
      <c r="AD165" s="77"/>
      <c r="AE165" s="77" t="b">
        <v>0</v>
      </c>
      <c r="AF165" s="77">
        <v>0</v>
      </c>
      <c r="AG165" s="81" t="s">
        <v>916</v>
      </c>
      <c r="AH165" s="77" t="b">
        <v>0</v>
      </c>
      <c r="AI165" s="77" t="s">
        <v>950</v>
      </c>
      <c r="AJ165" s="77"/>
      <c r="AK165" s="81" t="s">
        <v>916</v>
      </c>
      <c r="AL165" s="77" t="b">
        <v>0</v>
      </c>
      <c r="AM165" s="77">
        <v>3</v>
      </c>
      <c r="AN165" s="81" t="s">
        <v>850</v>
      </c>
      <c r="AO165" s="81" t="s">
        <v>959</v>
      </c>
      <c r="AP165" s="77" t="b">
        <v>0</v>
      </c>
      <c r="AQ165" s="81" t="s">
        <v>850</v>
      </c>
      <c r="AR165" s="77" t="s">
        <v>207</v>
      </c>
      <c r="AS165" s="77">
        <v>0</v>
      </c>
      <c r="AT165" s="77">
        <v>0</v>
      </c>
      <c r="AU165" s="77"/>
      <c r="AV165" s="77"/>
      <c r="AW165" s="77"/>
      <c r="AX165" s="77"/>
      <c r="AY165" s="77"/>
      <c r="AZ165" s="77"/>
      <c r="BA165" s="77"/>
      <c r="BB165" s="77"/>
      <c r="BC165">
        <v>1</v>
      </c>
      <c r="BD165" s="76" t="str">
        <f>REPLACE(INDEX(GroupVertices[Group],MATCH(Edges[[#This Row],[Vertex 1]],GroupVertices[Vertex],0)),1,1,"")</f>
        <v>9</v>
      </c>
      <c r="BE165" s="76" t="str">
        <f>REPLACE(INDEX(GroupVertices[Group],MATCH(Edges[[#This Row],[Vertex 2]],GroupVertices[Vertex],0)),1,1,"")</f>
        <v>9</v>
      </c>
      <c r="BF165" s="31"/>
      <c r="BG165" s="31"/>
      <c r="BH165" s="31"/>
      <c r="BI165" s="31"/>
      <c r="BJ165" s="31"/>
      <c r="BK165" s="31"/>
      <c r="BL165" s="31"/>
      <c r="BM165" s="31"/>
      <c r="BN165" s="31"/>
    </row>
    <row r="166" spans="1:66" ht="15">
      <c r="A166" s="61" t="s">
        <v>348</v>
      </c>
      <c r="B166" s="61" t="s">
        <v>348</v>
      </c>
      <c r="C166" s="62"/>
      <c r="D166" s="63"/>
      <c r="E166" s="64"/>
      <c r="F166" s="65"/>
      <c r="G166" s="62"/>
      <c r="H166" s="66"/>
      <c r="I166" s="67"/>
      <c r="J166" s="67"/>
      <c r="K166" s="31" t="s">
        <v>65</v>
      </c>
      <c r="L166" s="75">
        <v>166</v>
      </c>
      <c r="M166" s="75"/>
      <c r="N166" s="69"/>
      <c r="O166" s="77" t="s">
        <v>207</v>
      </c>
      <c r="P166" s="79">
        <v>44966.45107638889</v>
      </c>
      <c r="Q166" s="77" t="s">
        <v>518</v>
      </c>
      <c r="R166" s="77"/>
      <c r="S166" s="77"/>
      <c r="T166" s="77"/>
      <c r="U166" s="77"/>
      <c r="V166" s="80" t="str">
        <f>HYPERLINK("https://pbs.twimg.com/profile_images/1039502206586834944/uTRvEL1q_normal.jpg")</f>
        <v>https://pbs.twimg.com/profile_images/1039502206586834944/uTRvEL1q_normal.jpg</v>
      </c>
      <c r="W166" s="79">
        <v>44966.45107638889</v>
      </c>
      <c r="X166" s="84">
        <v>44966</v>
      </c>
      <c r="Y166" s="81" t="s">
        <v>690</v>
      </c>
      <c r="Z166" s="80" t="str">
        <f>HYPERLINK("https://twitter.com/neilcanham/status/1623635207332003840")</f>
        <v>https://twitter.com/neilcanham/status/1623635207332003840</v>
      </c>
      <c r="AA166" s="77"/>
      <c r="AB166" s="77"/>
      <c r="AC166" s="81" t="s">
        <v>846</v>
      </c>
      <c r="AD166" s="77"/>
      <c r="AE166" s="77" t="b">
        <v>0</v>
      </c>
      <c r="AF166" s="77">
        <v>3</v>
      </c>
      <c r="AG166" s="81" t="s">
        <v>916</v>
      </c>
      <c r="AH166" s="77" t="b">
        <v>0</v>
      </c>
      <c r="AI166" s="77" t="s">
        <v>950</v>
      </c>
      <c r="AJ166" s="77"/>
      <c r="AK166" s="81" t="s">
        <v>916</v>
      </c>
      <c r="AL166" s="77" t="b">
        <v>0</v>
      </c>
      <c r="AM166" s="77">
        <v>0</v>
      </c>
      <c r="AN166" s="81" t="s">
        <v>916</v>
      </c>
      <c r="AO166" s="81" t="s">
        <v>958</v>
      </c>
      <c r="AP166" s="77" t="b">
        <v>0</v>
      </c>
      <c r="AQ166" s="81" t="s">
        <v>846</v>
      </c>
      <c r="AR166" s="77" t="s">
        <v>207</v>
      </c>
      <c r="AS166" s="77">
        <v>0</v>
      </c>
      <c r="AT166" s="77">
        <v>0</v>
      </c>
      <c r="AU166" s="77"/>
      <c r="AV166" s="77"/>
      <c r="AW166" s="77"/>
      <c r="AX166" s="77"/>
      <c r="AY166" s="77"/>
      <c r="AZ166" s="77"/>
      <c r="BA166" s="77"/>
      <c r="BB166" s="77"/>
      <c r="BC166">
        <v>1</v>
      </c>
      <c r="BD166" s="76" t="str">
        <f>REPLACE(INDEX(GroupVertices[Group],MATCH(Edges[[#This Row],[Vertex 1]],GroupVertices[Vertex],0)),1,1,"")</f>
        <v>57</v>
      </c>
      <c r="BE166" s="76" t="str">
        <f>REPLACE(INDEX(GroupVertices[Group],MATCH(Edges[[#This Row],[Vertex 2]],GroupVertices[Vertex],0)),1,1,"")</f>
        <v>57</v>
      </c>
      <c r="BF166" s="31"/>
      <c r="BG166" s="31"/>
      <c r="BH166" s="31"/>
      <c r="BI166" s="31"/>
      <c r="BJ166" s="31"/>
      <c r="BK166" s="31"/>
      <c r="BL166" s="31"/>
      <c r="BM166" s="31"/>
      <c r="BN166" s="31"/>
    </row>
    <row r="167" spans="1:66" ht="15">
      <c r="A167" s="61" t="s">
        <v>349</v>
      </c>
      <c r="B167" s="61" t="s">
        <v>349</v>
      </c>
      <c r="C167" s="62"/>
      <c r="D167" s="63"/>
      <c r="E167" s="64"/>
      <c r="F167" s="65"/>
      <c r="G167" s="62"/>
      <c r="H167" s="66"/>
      <c r="I167" s="67"/>
      <c r="J167" s="67"/>
      <c r="K167" s="31" t="s">
        <v>65</v>
      </c>
      <c r="L167" s="75">
        <v>167</v>
      </c>
      <c r="M167" s="75"/>
      <c r="N167" s="69"/>
      <c r="O167" s="77" t="s">
        <v>207</v>
      </c>
      <c r="P167" s="79">
        <v>44963.692974537036</v>
      </c>
      <c r="Q167" s="77" t="s">
        <v>469</v>
      </c>
      <c r="R167" s="80" t="str">
        <f>HYPERLINK("https://interestingengineering.com/innovation/chatgpt-ai-will-help-cure-diseases-and-solve-climate-change-chatbot-says")</f>
        <v>https://interestingengineering.com/innovation/chatgpt-ai-will-help-cure-diseases-and-solve-climate-change-chatbot-says</v>
      </c>
      <c r="S167" s="77" t="s">
        <v>550</v>
      </c>
      <c r="T167" s="81" t="s">
        <v>563</v>
      </c>
      <c r="U167" s="77"/>
      <c r="V167" s="80" t="str">
        <f>HYPERLINK("https://pbs.twimg.com/profile_images/989066461435097088/AQZSFyuk_normal.jpg")</f>
        <v>https://pbs.twimg.com/profile_images/989066461435097088/AQZSFyuk_normal.jpg</v>
      </c>
      <c r="W167" s="79">
        <v>44963.692974537036</v>
      </c>
      <c r="X167" s="84">
        <v>44963</v>
      </c>
      <c r="Y167" s="81" t="s">
        <v>691</v>
      </c>
      <c r="Z167" s="80" t="str">
        <f>HYPERLINK("https://twitter.com/datascience__/status/1622635703099162624")</f>
        <v>https://twitter.com/datascience__/status/1622635703099162624</v>
      </c>
      <c r="AA167" s="77"/>
      <c r="AB167" s="77"/>
      <c r="AC167" s="81" t="s">
        <v>847</v>
      </c>
      <c r="AD167" s="77"/>
      <c r="AE167" s="77" t="b">
        <v>0</v>
      </c>
      <c r="AF167" s="77">
        <v>2</v>
      </c>
      <c r="AG167" s="81" t="s">
        <v>916</v>
      </c>
      <c r="AH167" s="77" t="b">
        <v>0</v>
      </c>
      <c r="AI167" s="77" t="s">
        <v>950</v>
      </c>
      <c r="AJ167" s="77"/>
      <c r="AK167" s="81" t="s">
        <v>916</v>
      </c>
      <c r="AL167" s="77" t="b">
        <v>0</v>
      </c>
      <c r="AM167" s="77">
        <v>1</v>
      </c>
      <c r="AN167" s="81" t="s">
        <v>916</v>
      </c>
      <c r="AO167" s="81" t="s">
        <v>961</v>
      </c>
      <c r="AP167" s="77" t="b">
        <v>0</v>
      </c>
      <c r="AQ167" s="81" t="s">
        <v>847</v>
      </c>
      <c r="AR167" s="77" t="s">
        <v>207</v>
      </c>
      <c r="AS167" s="77">
        <v>0</v>
      </c>
      <c r="AT167" s="77">
        <v>0</v>
      </c>
      <c r="AU167" s="77"/>
      <c r="AV167" s="77"/>
      <c r="AW167" s="77"/>
      <c r="AX167" s="77"/>
      <c r="AY167" s="77"/>
      <c r="AZ167" s="77"/>
      <c r="BA167" s="77"/>
      <c r="BB167" s="77"/>
      <c r="BC167">
        <v>4</v>
      </c>
      <c r="BD167" s="76" t="str">
        <f>REPLACE(INDEX(GroupVertices[Group],MATCH(Edges[[#This Row],[Vertex 1]],GroupVertices[Vertex],0)),1,1,"")</f>
        <v>9</v>
      </c>
      <c r="BE167" s="76" t="str">
        <f>REPLACE(INDEX(GroupVertices[Group],MATCH(Edges[[#This Row],[Vertex 2]],GroupVertices[Vertex],0)),1,1,"")</f>
        <v>9</v>
      </c>
      <c r="BF167" s="31"/>
      <c r="BG167" s="31"/>
      <c r="BH167" s="31"/>
      <c r="BI167" s="31"/>
      <c r="BJ167" s="31"/>
      <c r="BK167" s="31"/>
      <c r="BL167" s="31"/>
      <c r="BM167" s="31"/>
      <c r="BN167" s="31"/>
    </row>
    <row r="168" spans="1:66" ht="15">
      <c r="A168" s="61" t="s">
        <v>349</v>
      </c>
      <c r="B168" s="61" t="s">
        <v>349</v>
      </c>
      <c r="C168" s="62"/>
      <c r="D168" s="63"/>
      <c r="E168" s="64"/>
      <c r="F168" s="65"/>
      <c r="G168" s="62"/>
      <c r="H168" s="66"/>
      <c r="I168" s="67"/>
      <c r="J168" s="67"/>
      <c r="K168" s="31" t="s">
        <v>65</v>
      </c>
      <c r="L168" s="75">
        <v>168</v>
      </c>
      <c r="M168" s="75"/>
      <c r="N168" s="69"/>
      <c r="O168" s="77" t="s">
        <v>207</v>
      </c>
      <c r="P168" s="79">
        <v>44964.60561342593</v>
      </c>
      <c r="Q168" s="77" t="s">
        <v>469</v>
      </c>
      <c r="R168" s="80" t="str">
        <f>HYPERLINK("https://interestingengineering.com/innovation/chatgpt-ai-will-help-cure-diseases-and-solve-climate-change-chatbot-says")</f>
        <v>https://interestingengineering.com/innovation/chatgpt-ai-will-help-cure-diseases-and-solve-climate-change-chatbot-says</v>
      </c>
      <c r="S168" s="77" t="s">
        <v>550</v>
      </c>
      <c r="T168" s="81" t="s">
        <v>563</v>
      </c>
      <c r="U168" s="77"/>
      <c r="V168" s="80" t="str">
        <f>HYPERLINK("https://pbs.twimg.com/profile_images/989066461435097088/AQZSFyuk_normal.jpg")</f>
        <v>https://pbs.twimg.com/profile_images/989066461435097088/AQZSFyuk_normal.jpg</v>
      </c>
      <c r="W168" s="79">
        <v>44964.60561342593</v>
      </c>
      <c r="X168" s="84">
        <v>44964</v>
      </c>
      <c r="Y168" s="81" t="s">
        <v>692</v>
      </c>
      <c r="Z168" s="80" t="str">
        <f>HYPERLINK("https://twitter.com/datascience__/status/1622966431297011714")</f>
        <v>https://twitter.com/datascience__/status/1622966431297011714</v>
      </c>
      <c r="AA168" s="77"/>
      <c r="AB168" s="77"/>
      <c r="AC168" s="81" t="s">
        <v>848</v>
      </c>
      <c r="AD168" s="77"/>
      <c r="AE168" s="77" t="b">
        <v>0</v>
      </c>
      <c r="AF168" s="77">
        <v>0</v>
      </c>
      <c r="AG168" s="81" t="s">
        <v>916</v>
      </c>
      <c r="AH168" s="77" t="b">
        <v>0</v>
      </c>
      <c r="AI168" s="77" t="s">
        <v>950</v>
      </c>
      <c r="AJ168" s="77"/>
      <c r="AK168" s="81" t="s">
        <v>916</v>
      </c>
      <c r="AL168" s="77" t="b">
        <v>0</v>
      </c>
      <c r="AM168" s="77">
        <v>0</v>
      </c>
      <c r="AN168" s="81" t="s">
        <v>916</v>
      </c>
      <c r="AO168" s="81" t="s">
        <v>961</v>
      </c>
      <c r="AP168" s="77" t="b">
        <v>0</v>
      </c>
      <c r="AQ168" s="81" t="s">
        <v>848</v>
      </c>
      <c r="AR168" s="77" t="s">
        <v>207</v>
      </c>
      <c r="AS168" s="77">
        <v>0</v>
      </c>
      <c r="AT168" s="77">
        <v>0</v>
      </c>
      <c r="AU168" s="77"/>
      <c r="AV168" s="77"/>
      <c r="AW168" s="77"/>
      <c r="AX168" s="77"/>
      <c r="AY168" s="77"/>
      <c r="AZ168" s="77"/>
      <c r="BA168" s="77"/>
      <c r="BB168" s="77"/>
      <c r="BC168">
        <v>4</v>
      </c>
      <c r="BD168" s="76" t="str">
        <f>REPLACE(INDEX(GroupVertices[Group],MATCH(Edges[[#This Row],[Vertex 1]],GroupVertices[Vertex],0)),1,1,"")</f>
        <v>9</v>
      </c>
      <c r="BE168" s="76" t="str">
        <f>REPLACE(INDEX(GroupVertices[Group],MATCH(Edges[[#This Row],[Vertex 2]],GroupVertices[Vertex],0)),1,1,"")</f>
        <v>9</v>
      </c>
      <c r="BF168" s="31"/>
      <c r="BG168" s="31"/>
      <c r="BH168" s="31"/>
      <c r="BI168" s="31"/>
      <c r="BJ168" s="31"/>
      <c r="BK168" s="31"/>
      <c r="BL168" s="31"/>
      <c r="BM168" s="31"/>
      <c r="BN168" s="31"/>
    </row>
    <row r="169" spans="1:66" ht="15">
      <c r="A169" s="61" t="s">
        <v>349</v>
      </c>
      <c r="B169" s="61" t="s">
        <v>349</v>
      </c>
      <c r="C169" s="62"/>
      <c r="D169" s="63"/>
      <c r="E169" s="64"/>
      <c r="F169" s="65"/>
      <c r="G169" s="62"/>
      <c r="H169" s="66"/>
      <c r="I169" s="67"/>
      <c r="J169" s="67"/>
      <c r="K169" s="31" t="s">
        <v>65</v>
      </c>
      <c r="L169" s="75">
        <v>169</v>
      </c>
      <c r="M169" s="75"/>
      <c r="N169" s="69"/>
      <c r="O169" s="77" t="s">
        <v>207</v>
      </c>
      <c r="P169" s="79">
        <v>44965.698541666665</v>
      </c>
      <c r="Q169" s="77" t="s">
        <v>469</v>
      </c>
      <c r="R169" s="80" t="str">
        <f>HYPERLINK("https://interestingengineering.com/innovation/chatgpt-ai-will-help-cure-diseases-and-solve-climate-change-chatbot-says")</f>
        <v>https://interestingengineering.com/innovation/chatgpt-ai-will-help-cure-diseases-and-solve-climate-change-chatbot-says</v>
      </c>
      <c r="S169" s="77" t="s">
        <v>550</v>
      </c>
      <c r="T169" s="81" t="s">
        <v>563</v>
      </c>
      <c r="U169" s="77"/>
      <c r="V169" s="80" t="str">
        <f>HYPERLINK("https://pbs.twimg.com/profile_images/989066461435097088/AQZSFyuk_normal.jpg")</f>
        <v>https://pbs.twimg.com/profile_images/989066461435097088/AQZSFyuk_normal.jpg</v>
      </c>
      <c r="W169" s="79">
        <v>44965.698541666665</v>
      </c>
      <c r="X169" s="84">
        <v>44965</v>
      </c>
      <c r="Y169" s="81" t="s">
        <v>693</v>
      </c>
      <c r="Z169" s="80" t="str">
        <f>HYPERLINK("https://twitter.com/datascience__/status/1623362494759636999")</f>
        <v>https://twitter.com/datascience__/status/1623362494759636999</v>
      </c>
      <c r="AA169" s="77"/>
      <c r="AB169" s="77"/>
      <c r="AC169" s="81" t="s">
        <v>849</v>
      </c>
      <c r="AD169" s="77"/>
      <c r="AE169" s="77" t="b">
        <v>0</v>
      </c>
      <c r="AF169" s="77">
        <v>1</v>
      </c>
      <c r="AG169" s="81" t="s">
        <v>916</v>
      </c>
      <c r="AH169" s="77" t="b">
        <v>0</v>
      </c>
      <c r="AI169" s="77" t="s">
        <v>950</v>
      </c>
      <c r="AJ169" s="77"/>
      <c r="AK169" s="81" t="s">
        <v>916</v>
      </c>
      <c r="AL169" s="77" t="b">
        <v>0</v>
      </c>
      <c r="AM169" s="77">
        <v>0</v>
      </c>
      <c r="AN169" s="81" t="s">
        <v>916</v>
      </c>
      <c r="AO169" s="81" t="s">
        <v>961</v>
      </c>
      <c r="AP169" s="77" t="b">
        <v>0</v>
      </c>
      <c r="AQ169" s="81" t="s">
        <v>849</v>
      </c>
      <c r="AR169" s="77" t="s">
        <v>207</v>
      </c>
      <c r="AS169" s="77">
        <v>0</v>
      </c>
      <c r="AT169" s="77">
        <v>0</v>
      </c>
      <c r="AU169" s="77"/>
      <c r="AV169" s="77"/>
      <c r="AW169" s="77"/>
      <c r="AX169" s="77"/>
      <c r="AY169" s="77"/>
      <c r="AZ169" s="77"/>
      <c r="BA169" s="77"/>
      <c r="BB169" s="77"/>
      <c r="BC169">
        <v>4</v>
      </c>
      <c r="BD169" s="76" t="str">
        <f>REPLACE(INDEX(GroupVertices[Group],MATCH(Edges[[#This Row],[Vertex 1]],GroupVertices[Vertex],0)),1,1,"")</f>
        <v>9</v>
      </c>
      <c r="BE169" s="76" t="str">
        <f>REPLACE(INDEX(GroupVertices[Group],MATCH(Edges[[#This Row],[Vertex 2]],GroupVertices[Vertex],0)),1,1,"")</f>
        <v>9</v>
      </c>
      <c r="BF169" s="31"/>
      <c r="BG169" s="31"/>
      <c r="BH169" s="31"/>
      <c r="BI169" s="31"/>
      <c r="BJ169" s="31"/>
      <c r="BK169" s="31"/>
      <c r="BL169" s="31"/>
      <c r="BM169" s="31"/>
      <c r="BN169" s="31"/>
    </row>
    <row r="170" spans="1:66" ht="15">
      <c r="A170" s="61" t="s">
        <v>349</v>
      </c>
      <c r="B170" s="61" t="s">
        <v>349</v>
      </c>
      <c r="C170" s="62"/>
      <c r="D170" s="63"/>
      <c r="E170" s="64"/>
      <c r="F170" s="65"/>
      <c r="G170" s="62"/>
      <c r="H170" s="66"/>
      <c r="I170" s="67"/>
      <c r="J170" s="67"/>
      <c r="K170" s="31" t="s">
        <v>65</v>
      </c>
      <c r="L170" s="75">
        <v>170</v>
      </c>
      <c r="M170" s="75"/>
      <c r="N170" s="69"/>
      <c r="O170" s="77" t="s">
        <v>207</v>
      </c>
      <c r="P170" s="79">
        <v>44966.41540509259</v>
      </c>
      <c r="Q170" s="77" t="s">
        <v>469</v>
      </c>
      <c r="R170" s="80" t="str">
        <f>HYPERLINK("https://interestingengineering.com/innovation/chatgpt-ai-will-help-cure-diseases-and-solve-climate-change-chatbot-says")</f>
        <v>https://interestingengineering.com/innovation/chatgpt-ai-will-help-cure-diseases-and-solve-climate-change-chatbot-says</v>
      </c>
      <c r="S170" s="77" t="s">
        <v>550</v>
      </c>
      <c r="T170" s="81" t="s">
        <v>563</v>
      </c>
      <c r="U170" s="77"/>
      <c r="V170" s="80" t="str">
        <f>HYPERLINK("https://pbs.twimg.com/profile_images/989066461435097088/AQZSFyuk_normal.jpg")</f>
        <v>https://pbs.twimg.com/profile_images/989066461435097088/AQZSFyuk_normal.jpg</v>
      </c>
      <c r="W170" s="79">
        <v>44966.41540509259</v>
      </c>
      <c r="X170" s="84">
        <v>44966</v>
      </c>
      <c r="Y170" s="81" t="s">
        <v>694</v>
      </c>
      <c r="Z170" s="80" t="str">
        <f>HYPERLINK("https://twitter.com/datascience__/status/1623622280122081285")</f>
        <v>https://twitter.com/datascience__/status/1623622280122081285</v>
      </c>
      <c r="AA170" s="77"/>
      <c r="AB170" s="77"/>
      <c r="AC170" s="81" t="s">
        <v>850</v>
      </c>
      <c r="AD170" s="77"/>
      <c r="AE170" s="77" t="b">
        <v>0</v>
      </c>
      <c r="AF170" s="77">
        <v>5</v>
      </c>
      <c r="AG170" s="81" t="s">
        <v>916</v>
      </c>
      <c r="AH170" s="77" t="b">
        <v>0</v>
      </c>
      <c r="AI170" s="77" t="s">
        <v>950</v>
      </c>
      <c r="AJ170" s="77"/>
      <c r="AK170" s="81" t="s">
        <v>916</v>
      </c>
      <c r="AL170" s="77" t="b">
        <v>0</v>
      </c>
      <c r="AM170" s="77">
        <v>3</v>
      </c>
      <c r="AN170" s="81" t="s">
        <v>916</v>
      </c>
      <c r="AO170" s="81" t="s">
        <v>961</v>
      </c>
      <c r="AP170" s="77" t="b">
        <v>0</v>
      </c>
      <c r="AQ170" s="81" t="s">
        <v>850</v>
      </c>
      <c r="AR170" s="77" t="s">
        <v>207</v>
      </c>
      <c r="AS170" s="77">
        <v>0</v>
      </c>
      <c r="AT170" s="77">
        <v>0</v>
      </c>
      <c r="AU170" s="77"/>
      <c r="AV170" s="77"/>
      <c r="AW170" s="77"/>
      <c r="AX170" s="77"/>
      <c r="AY170" s="77"/>
      <c r="AZ170" s="77"/>
      <c r="BA170" s="77"/>
      <c r="BB170" s="77"/>
      <c r="BC170">
        <v>4</v>
      </c>
      <c r="BD170" s="76" t="str">
        <f>REPLACE(INDEX(GroupVertices[Group],MATCH(Edges[[#This Row],[Vertex 1]],GroupVertices[Vertex],0)),1,1,"")</f>
        <v>9</v>
      </c>
      <c r="BE170" s="76" t="str">
        <f>REPLACE(INDEX(GroupVertices[Group],MATCH(Edges[[#This Row],[Vertex 2]],GroupVertices[Vertex],0)),1,1,"")</f>
        <v>9</v>
      </c>
      <c r="BF170" s="31"/>
      <c r="BG170" s="31"/>
      <c r="BH170" s="31"/>
      <c r="BI170" s="31"/>
      <c r="BJ170" s="31"/>
      <c r="BK170" s="31"/>
      <c r="BL170" s="31"/>
      <c r="BM170" s="31"/>
      <c r="BN170" s="31"/>
    </row>
    <row r="171" spans="1:66" ht="15">
      <c r="A171" s="61" t="s">
        <v>350</v>
      </c>
      <c r="B171" s="61" t="s">
        <v>349</v>
      </c>
      <c r="C171" s="62"/>
      <c r="D171" s="63"/>
      <c r="E171" s="64"/>
      <c r="F171" s="65"/>
      <c r="G171" s="62"/>
      <c r="H171" s="66"/>
      <c r="I171" s="67"/>
      <c r="J171" s="67"/>
      <c r="K171" s="31" t="s">
        <v>65</v>
      </c>
      <c r="L171" s="75">
        <v>171</v>
      </c>
      <c r="M171" s="75"/>
      <c r="N171" s="69"/>
      <c r="O171" s="77" t="s">
        <v>447</v>
      </c>
      <c r="P171" s="79">
        <v>44966.63313657408</v>
      </c>
      <c r="Q171" s="77" t="s">
        <v>469</v>
      </c>
      <c r="R171" s="80" t="str">
        <f>HYPERLINK("https://interestingengineering.com/innovation/chatgpt-ai-will-help-cure-diseases-and-solve-climate-change-chatbot-says")</f>
        <v>https://interestingengineering.com/innovation/chatgpt-ai-will-help-cure-diseases-and-solve-climate-change-chatbot-says</v>
      </c>
      <c r="S171" s="77" t="s">
        <v>550</v>
      </c>
      <c r="T171" s="81" t="s">
        <v>563</v>
      </c>
      <c r="U171" s="77"/>
      <c r="V171" s="80" t="str">
        <f>HYPERLINK("https://pbs.twimg.com/profile_images/1609916008197668865/dq_eOEOk_normal.jpg")</f>
        <v>https://pbs.twimg.com/profile_images/1609916008197668865/dq_eOEOk_normal.jpg</v>
      </c>
      <c r="W171" s="79">
        <v>44966.63313657408</v>
      </c>
      <c r="X171" s="84">
        <v>44966</v>
      </c>
      <c r="Y171" s="81" t="s">
        <v>695</v>
      </c>
      <c r="Z171" s="80" t="str">
        <f>HYPERLINK("https://twitter.com/datasciencedojo/status/1623701183381610496")</f>
        <v>https://twitter.com/datasciencedojo/status/1623701183381610496</v>
      </c>
      <c r="AA171" s="77"/>
      <c r="AB171" s="77"/>
      <c r="AC171" s="81" t="s">
        <v>851</v>
      </c>
      <c r="AD171" s="77"/>
      <c r="AE171" s="77" t="b">
        <v>0</v>
      </c>
      <c r="AF171" s="77">
        <v>0</v>
      </c>
      <c r="AG171" s="81" t="s">
        <v>916</v>
      </c>
      <c r="AH171" s="77" t="b">
        <v>0</v>
      </c>
      <c r="AI171" s="77" t="s">
        <v>950</v>
      </c>
      <c r="AJ171" s="77"/>
      <c r="AK171" s="81" t="s">
        <v>916</v>
      </c>
      <c r="AL171" s="77" t="b">
        <v>0</v>
      </c>
      <c r="AM171" s="77">
        <v>3</v>
      </c>
      <c r="AN171" s="81" t="s">
        <v>850</v>
      </c>
      <c r="AO171" s="81" t="s">
        <v>958</v>
      </c>
      <c r="AP171" s="77" t="b">
        <v>0</v>
      </c>
      <c r="AQ171" s="81" t="s">
        <v>850</v>
      </c>
      <c r="AR171" s="77" t="s">
        <v>207</v>
      </c>
      <c r="AS171" s="77">
        <v>0</v>
      </c>
      <c r="AT171" s="77">
        <v>0</v>
      </c>
      <c r="AU171" s="77"/>
      <c r="AV171" s="77"/>
      <c r="AW171" s="77"/>
      <c r="AX171" s="77"/>
      <c r="AY171" s="77"/>
      <c r="AZ171" s="77"/>
      <c r="BA171" s="77"/>
      <c r="BB171" s="77"/>
      <c r="BC171">
        <v>1</v>
      </c>
      <c r="BD171" s="76" t="str">
        <f>REPLACE(INDEX(GroupVertices[Group],MATCH(Edges[[#This Row],[Vertex 1]],GroupVertices[Vertex],0)),1,1,"")</f>
        <v>9</v>
      </c>
      <c r="BE171" s="76" t="str">
        <f>REPLACE(INDEX(GroupVertices[Group],MATCH(Edges[[#This Row],[Vertex 2]],GroupVertices[Vertex],0)),1,1,"")</f>
        <v>9</v>
      </c>
      <c r="BF171" s="31"/>
      <c r="BG171" s="31"/>
      <c r="BH171" s="31"/>
      <c r="BI171" s="31"/>
      <c r="BJ171" s="31"/>
      <c r="BK171" s="31"/>
      <c r="BL171" s="31"/>
      <c r="BM171" s="31"/>
      <c r="BN171" s="31"/>
    </row>
    <row r="172" spans="1:66" ht="15">
      <c r="A172" s="61" t="s">
        <v>351</v>
      </c>
      <c r="B172" s="61" t="s">
        <v>351</v>
      </c>
      <c r="C172" s="62"/>
      <c r="D172" s="63"/>
      <c r="E172" s="64"/>
      <c r="F172" s="65"/>
      <c r="G172" s="62"/>
      <c r="H172" s="66"/>
      <c r="I172" s="67"/>
      <c r="J172" s="67"/>
      <c r="K172" s="31" t="s">
        <v>65</v>
      </c>
      <c r="L172" s="75">
        <v>172</v>
      </c>
      <c r="M172" s="75"/>
      <c r="N172" s="69"/>
      <c r="O172" s="77" t="s">
        <v>207</v>
      </c>
      <c r="P172" s="79">
        <v>44948.87262731481</v>
      </c>
      <c r="Q172" s="77" t="s">
        <v>519</v>
      </c>
      <c r="R172" s="77"/>
      <c r="S172" s="77"/>
      <c r="T172" s="77"/>
      <c r="U172" s="77"/>
      <c r="V172" s="80" t="str">
        <f>HYPERLINK("https://pbs.twimg.com/profile_images/1301177347203162112/C0NASV40_normal.jpg")</f>
        <v>https://pbs.twimg.com/profile_images/1301177347203162112/C0NASV40_normal.jpg</v>
      </c>
      <c r="W172" s="79">
        <v>44948.87262731481</v>
      </c>
      <c r="X172" s="84">
        <v>44948</v>
      </c>
      <c r="Y172" s="81" t="s">
        <v>696</v>
      </c>
      <c r="Z172" s="80" t="str">
        <f>HYPERLINK("https://twitter.com/kooshiar/status/1617264987717926913")</f>
        <v>https://twitter.com/kooshiar/status/1617264987717926913</v>
      </c>
      <c r="AA172" s="77"/>
      <c r="AB172" s="77"/>
      <c r="AC172" s="81" t="s">
        <v>852</v>
      </c>
      <c r="AD172" s="77"/>
      <c r="AE172" s="77" t="b">
        <v>0</v>
      </c>
      <c r="AF172" s="77">
        <v>262</v>
      </c>
      <c r="AG172" s="81" t="s">
        <v>916</v>
      </c>
      <c r="AH172" s="77" t="b">
        <v>0</v>
      </c>
      <c r="AI172" s="77" t="s">
        <v>950</v>
      </c>
      <c r="AJ172" s="77"/>
      <c r="AK172" s="81" t="s">
        <v>916</v>
      </c>
      <c r="AL172" s="77" t="b">
        <v>0</v>
      </c>
      <c r="AM172" s="77">
        <v>12</v>
      </c>
      <c r="AN172" s="81" t="s">
        <v>916</v>
      </c>
      <c r="AO172" s="81" t="s">
        <v>958</v>
      </c>
      <c r="AP172" s="77" t="b">
        <v>0</v>
      </c>
      <c r="AQ172" s="81" t="s">
        <v>852</v>
      </c>
      <c r="AR172" s="77" t="s">
        <v>447</v>
      </c>
      <c r="AS172" s="77">
        <v>0</v>
      </c>
      <c r="AT172" s="77">
        <v>0</v>
      </c>
      <c r="AU172" s="77"/>
      <c r="AV172" s="77"/>
      <c r="AW172" s="77"/>
      <c r="AX172" s="77"/>
      <c r="AY172" s="77"/>
      <c r="AZ172" s="77"/>
      <c r="BA172" s="77"/>
      <c r="BB172" s="77"/>
      <c r="BC172">
        <v>1</v>
      </c>
      <c r="BD172" s="76" t="str">
        <f>REPLACE(INDEX(GroupVertices[Group],MATCH(Edges[[#This Row],[Vertex 1]],GroupVertices[Vertex],0)),1,1,"")</f>
        <v>30</v>
      </c>
      <c r="BE172" s="76" t="str">
        <f>REPLACE(INDEX(GroupVertices[Group],MATCH(Edges[[#This Row],[Vertex 2]],GroupVertices[Vertex],0)),1,1,"")</f>
        <v>30</v>
      </c>
      <c r="BF172" s="31"/>
      <c r="BG172" s="31"/>
      <c r="BH172" s="31"/>
      <c r="BI172" s="31"/>
      <c r="BJ172" s="31"/>
      <c r="BK172" s="31"/>
      <c r="BL172" s="31"/>
      <c r="BM172" s="31"/>
      <c r="BN172" s="31"/>
    </row>
    <row r="173" spans="1:66" ht="15">
      <c r="A173" s="61" t="s">
        <v>352</v>
      </c>
      <c r="B173" s="61" t="s">
        <v>351</v>
      </c>
      <c r="C173" s="62"/>
      <c r="D173" s="63"/>
      <c r="E173" s="64"/>
      <c r="F173" s="65"/>
      <c r="G173" s="62"/>
      <c r="H173" s="66"/>
      <c r="I173" s="67"/>
      <c r="J173" s="67"/>
      <c r="K173" s="31" t="s">
        <v>65</v>
      </c>
      <c r="L173" s="75">
        <v>173</v>
      </c>
      <c r="M173" s="75"/>
      <c r="N173" s="69"/>
      <c r="O173" s="77" t="s">
        <v>447</v>
      </c>
      <c r="P173" s="79">
        <v>44967.39517361111</v>
      </c>
      <c r="Q173" s="77" t="s">
        <v>519</v>
      </c>
      <c r="R173" s="77"/>
      <c r="S173" s="77"/>
      <c r="T173" s="77"/>
      <c r="U173" s="77"/>
      <c r="V173" s="80" t="str">
        <f>HYPERLINK("https://pbs.twimg.com/profile_images/1573971098324148227/W_IWmZZG_normal.jpg")</f>
        <v>https://pbs.twimg.com/profile_images/1573971098324148227/W_IWmZZG_normal.jpg</v>
      </c>
      <c r="W173" s="79">
        <v>44967.39517361111</v>
      </c>
      <c r="X173" s="84">
        <v>44967</v>
      </c>
      <c r="Y173" s="81" t="s">
        <v>697</v>
      </c>
      <c r="Z173" s="80" t="str">
        <f>HYPERLINK("https://twitter.com/m5563m/status/1623977334045917185")</f>
        <v>https://twitter.com/m5563m/status/1623977334045917185</v>
      </c>
      <c r="AA173" s="77"/>
      <c r="AB173" s="77"/>
      <c r="AC173" s="81" t="s">
        <v>853</v>
      </c>
      <c r="AD173" s="77"/>
      <c r="AE173" s="77" t="b">
        <v>0</v>
      </c>
      <c r="AF173" s="77">
        <v>0</v>
      </c>
      <c r="AG173" s="81" t="s">
        <v>916</v>
      </c>
      <c r="AH173" s="77" t="b">
        <v>0</v>
      </c>
      <c r="AI173" s="77" t="s">
        <v>950</v>
      </c>
      <c r="AJ173" s="77"/>
      <c r="AK173" s="81" t="s">
        <v>916</v>
      </c>
      <c r="AL173" s="77" t="b">
        <v>0</v>
      </c>
      <c r="AM173" s="77">
        <v>12</v>
      </c>
      <c r="AN173" s="81" t="s">
        <v>852</v>
      </c>
      <c r="AO173" s="81" t="s">
        <v>959</v>
      </c>
      <c r="AP173" s="77" t="b">
        <v>0</v>
      </c>
      <c r="AQ173" s="81" t="s">
        <v>852</v>
      </c>
      <c r="AR173" s="77" t="s">
        <v>207</v>
      </c>
      <c r="AS173" s="77">
        <v>0</v>
      </c>
      <c r="AT173" s="77">
        <v>0</v>
      </c>
      <c r="AU173" s="77"/>
      <c r="AV173" s="77"/>
      <c r="AW173" s="77"/>
      <c r="AX173" s="77"/>
      <c r="AY173" s="77"/>
      <c r="AZ173" s="77"/>
      <c r="BA173" s="77"/>
      <c r="BB173" s="77"/>
      <c r="BC173">
        <v>1</v>
      </c>
      <c r="BD173" s="76" t="str">
        <f>REPLACE(INDEX(GroupVertices[Group],MATCH(Edges[[#This Row],[Vertex 1]],GroupVertices[Vertex],0)),1,1,"")</f>
        <v>30</v>
      </c>
      <c r="BE173" s="76" t="str">
        <f>REPLACE(INDEX(GroupVertices[Group],MATCH(Edges[[#This Row],[Vertex 2]],GroupVertices[Vertex],0)),1,1,"")</f>
        <v>30</v>
      </c>
      <c r="BF173" s="31"/>
      <c r="BG173" s="31"/>
      <c r="BH173" s="31"/>
      <c r="BI173" s="31"/>
      <c r="BJ173" s="31"/>
      <c r="BK173" s="31"/>
      <c r="BL173" s="31"/>
      <c r="BM173" s="31"/>
      <c r="BN173" s="31"/>
    </row>
    <row r="174" spans="1:66" ht="15">
      <c r="A174" s="61" t="s">
        <v>353</v>
      </c>
      <c r="B174" s="61" t="s">
        <v>429</v>
      </c>
      <c r="C174" s="62"/>
      <c r="D174" s="63"/>
      <c r="E174" s="64"/>
      <c r="F174" s="65"/>
      <c r="G174" s="62"/>
      <c r="H174" s="66"/>
      <c r="I174" s="67"/>
      <c r="J174" s="67"/>
      <c r="K174" s="31" t="s">
        <v>65</v>
      </c>
      <c r="L174" s="75">
        <v>174</v>
      </c>
      <c r="M174" s="75"/>
      <c r="N174" s="69"/>
      <c r="O174" s="77" t="s">
        <v>446</v>
      </c>
      <c r="P174" s="79">
        <v>44967.442557870374</v>
      </c>
      <c r="Q174" s="77" t="s">
        <v>520</v>
      </c>
      <c r="R174" s="77"/>
      <c r="S174" s="77"/>
      <c r="T174" s="77"/>
      <c r="U174" s="77"/>
      <c r="V174" s="80" t="str">
        <f>HYPERLINK("https://pbs.twimg.com/profile_images/1607832531713376257/5lp_1krD_normal.jpg")</f>
        <v>https://pbs.twimg.com/profile_images/1607832531713376257/5lp_1krD_normal.jpg</v>
      </c>
      <c r="W174" s="79">
        <v>44967.442557870374</v>
      </c>
      <c r="X174" s="84">
        <v>44967</v>
      </c>
      <c r="Y174" s="81" t="s">
        <v>698</v>
      </c>
      <c r="Z174" s="80" t="str">
        <f>HYPERLINK("https://twitter.com/study_shows/status/1623994506939957252")</f>
        <v>https://twitter.com/study_shows/status/1623994506939957252</v>
      </c>
      <c r="AA174" s="77"/>
      <c r="AB174" s="77"/>
      <c r="AC174" s="81" t="s">
        <v>854</v>
      </c>
      <c r="AD174" s="81" t="s">
        <v>909</v>
      </c>
      <c r="AE174" s="77" t="b">
        <v>0</v>
      </c>
      <c r="AF174" s="77">
        <v>1</v>
      </c>
      <c r="AG174" s="81" t="s">
        <v>942</v>
      </c>
      <c r="AH174" s="77" t="b">
        <v>0</v>
      </c>
      <c r="AI174" s="77" t="s">
        <v>950</v>
      </c>
      <c r="AJ174" s="77"/>
      <c r="AK174" s="81" t="s">
        <v>916</v>
      </c>
      <c r="AL174" s="77" t="b">
        <v>0</v>
      </c>
      <c r="AM174" s="77">
        <v>0</v>
      </c>
      <c r="AN174" s="81" t="s">
        <v>916</v>
      </c>
      <c r="AO174" s="81" t="s">
        <v>958</v>
      </c>
      <c r="AP174" s="77" t="b">
        <v>0</v>
      </c>
      <c r="AQ174" s="81" t="s">
        <v>909</v>
      </c>
      <c r="AR174" s="77" t="s">
        <v>207</v>
      </c>
      <c r="AS174" s="77">
        <v>0</v>
      </c>
      <c r="AT174" s="77">
        <v>0</v>
      </c>
      <c r="AU174" s="77"/>
      <c r="AV174" s="77"/>
      <c r="AW174" s="77"/>
      <c r="AX174" s="77"/>
      <c r="AY174" s="77"/>
      <c r="AZ174" s="77"/>
      <c r="BA174" s="77"/>
      <c r="BB174" s="77"/>
      <c r="BC174">
        <v>1</v>
      </c>
      <c r="BD174" s="76" t="str">
        <f>REPLACE(INDEX(GroupVertices[Group],MATCH(Edges[[#This Row],[Vertex 1]],GroupVertices[Vertex],0)),1,1,"")</f>
        <v>29</v>
      </c>
      <c r="BE174" s="76" t="str">
        <f>REPLACE(INDEX(GroupVertices[Group],MATCH(Edges[[#This Row],[Vertex 2]],GroupVertices[Vertex],0)),1,1,"")</f>
        <v>29</v>
      </c>
      <c r="BF174" s="31"/>
      <c r="BG174" s="31"/>
      <c r="BH174" s="31"/>
      <c r="BI174" s="31"/>
      <c r="BJ174" s="31"/>
      <c r="BK174" s="31"/>
      <c r="BL174" s="31"/>
      <c r="BM174" s="31"/>
      <c r="BN174" s="31"/>
    </row>
    <row r="175" spans="1:66" ht="15">
      <c r="A175" s="61" t="s">
        <v>354</v>
      </c>
      <c r="B175" s="61" t="s">
        <v>354</v>
      </c>
      <c r="C175" s="62"/>
      <c r="D175" s="63"/>
      <c r="E175" s="64"/>
      <c r="F175" s="65"/>
      <c r="G175" s="62"/>
      <c r="H175" s="66"/>
      <c r="I175" s="67"/>
      <c r="J175" s="67"/>
      <c r="K175" s="31" t="s">
        <v>65</v>
      </c>
      <c r="L175" s="75">
        <v>175</v>
      </c>
      <c r="M175" s="75"/>
      <c r="N175" s="69"/>
      <c r="O175" s="77" t="s">
        <v>207</v>
      </c>
      <c r="P175" s="79">
        <v>44967.50021990741</v>
      </c>
      <c r="Q175" s="77" t="s">
        <v>521</v>
      </c>
      <c r="R175" s="80" t="str">
        <f>HYPERLINK("https://twitter.com/disclosetv/status/1623990338724429824")</f>
        <v>https://twitter.com/disclosetv/status/1623990338724429824</v>
      </c>
      <c r="S175" s="77" t="s">
        <v>551</v>
      </c>
      <c r="T175" s="77"/>
      <c r="U175" s="77"/>
      <c r="V175" s="80" t="str">
        <f>HYPERLINK("https://pbs.twimg.com/profile_images/1552984824503320577/CnqFBqqJ_normal.jpg")</f>
        <v>https://pbs.twimg.com/profile_images/1552984824503320577/CnqFBqqJ_normal.jpg</v>
      </c>
      <c r="W175" s="79">
        <v>44967.50021990741</v>
      </c>
      <c r="X175" s="84">
        <v>44967</v>
      </c>
      <c r="Y175" s="81" t="s">
        <v>699</v>
      </c>
      <c r="Z175" s="80" t="str">
        <f>HYPERLINK("https://twitter.com/redeemthenews/status/1624015403247882240")</f>
        <v>https://twitter.com/redeemthenews/status/1624015403247882240</v>
      </c>
      <c r="AA175" s="77"/>
      <c r="AB175" s="77"/>
      <c r="AC175" s="81" t="s">
        <v>855</v>
      </c>
      <c r="AD175" s="77"/>
      <c r="AE175" s="77" t="b">
        <v>0</v>
      </c>
      <c r="AF175" s="77">
        <v>0</v>
      </c>
      <c r="AG175" s="81" t="s">
        <v>916</v>
      </c>
      <c r="AH175" s="77" t="b">
        <v>1</v>
      </c>
      <c r="AI175" s="77" t="s">
        <v>950</v>
      </c>
      <c r="AJ175" s="77"/>
      <c r="AK175" s="81" t="s">
        <v>956</v>
      </c>
      <c r="AL175" s="77" t="b">
        <v>0</v>
      </c>
      <c r="AM175" s="77">
        <v>0</v>
      </c>
      <c r="AN175" s="81" t="s">
        <v>916</v>
      </c>
      <c r="AO175" s="81" t="s">
        <v>958</v>
      </c>
      <c r="AP175" s="77" t="b">
        <v>0</v>
      </c>
      <c r="AQ175" s="81" t="s">
        <v>855</v>
      </c>
      <c r="AR175" s="77" t="s">
        <v>207</v>
      </c>
      <c r="AS175" s="77">
        <v>0</v>
      </c>
      <c r="AT175" s="77">
        <v>0</v>
      </c>
      <c r="AU175" s="77"/>
      <c r="AV175" s="77"/>
      <c r="AW175" s="77"/>
      <c r="AX175" s="77"/>
      <c r="AY175" s="77"/>
      <c r="AZ175" s="77"/>
      <c r="BA175" s="77"/>
      <c r="BB175" s="77"/>
      <c r="BC175">
        <v>1</v>
      </c>
      <c r="BD175" s="76" t="str">
        <f>REPLACE(INDEX(GroupVertices[Group],MATCH(Edges[[#This Row],[Vertex 1]],GroupVertices[Vertex],0)),1,1,"")</f>
        <v>56</v>
      </c>
      <c r="BE175" s="76" t="str">
        <f>REPLACE(INDEX(GroupVertices[Group],MATCH(Edges[[#This Row],[Vertex 2]],GroupVertices[Vertex],0)),1,1,"")</f>
        <v>56</v>
      </c>
      <c r="BF175" s="31"/>
      <c r="BG175" s="31"/>
      <c r="BH175" s="31"/>
      <c r="BI175" s="31"/>
      <c r="BJ175" s="31"/>
      <c r="BK175" s="31"/>
      <c r="BL175" s="31"/>
      <c r="BM175" s="31"/>
      <c r="BN175" s="31"/>
    </row>
    <row r="176" spans="1:66" ht="15">
      <c r="A176" s="61" t="s">
        <v>355</v>
      </c>
      <c r="B176" s="61" t="s">
        <v>355</v>
      </c>
      <c r="C176" s="62"/>
      <c r="D176" s="63"/>
      <c r="E176" s="64"/>
      <c r="F176" s="65"/>
      <c r="G176" s="62"/>
      <c r="H176" s="66"/>
      <c r="I176" s="67"/>
      <c r="J176" s="67"/>
      <c r="K176" s="31" t="s">
        <v>65</v>
      </c>
      <c r="L176" s="75">
        <v>176</v>
      </c>
      <c r="M176" s="75"/>
      <c r="N176" s="69"/>
      <c r="O176" s="77" t="s">
        <v>207</v>
      </c>
      <c r="P176" s="79">
        <v>44967.525625</v>
      </c>
      <c r="Q176" s="77" t="s">
        <v>522</v>
      </c>
      <c r="R176" s="80" t="str">
        <f>HYPERLINK("https://www.washingtonpost.com/climate-environment/2023/02/08/space-dust-moon-climate-change/")</f>
        <v>https://www.washingtonpost.com/climate-environment/2023/02/08/space-dust-moon-climate-change/</v>
      </c>
      <c r="S176" s="77" t="s">
        <v>556</v>
      </c>
      <c r="T176" s="77"/>
      <c r="U176" s="77"/>
      <c r="V176" s="80" t="str">
        <f>HYPERLINK("https://pbs.twimg.com/profile_images/1617923989430493186/odlkwvjR_normal.jpg")</f>
        <v>https://pbs.twimg.com/profile_images/1617923989430493186/odlkwvjR_normal.jpg</v>
      </c>
      <c r="W176" s="79">
        <v>44967.525625</v>
      </c>
      <c r="X176" s="84">
        <v>44967</v>
      </c>
      <c r="Y176" s="81" t="s">
        <v>700</v>
      </c>
      <c r="Z176" s="80" t="str">
        <f>HYPERLINK("https://twitter.com/lfsmoura/status/1624024609774309378")</f>
        <v>https://twitter.com/lfsmoura/status/1624024609774309378</v>
      </c>
      <c r="AA176" s="77"/>
      <c r="AB176" s="77"/>
      <c r="AC176" s="81" t="s">
        <v>856</v>
      </c>
      <c r="AD176" s="77"/>
      <c r="AE176" s="77" t="b">
        <v>0</v>
      </c>
      <c r="AF176" s="77">
        <v>0</v>
      </c>
      <c r="AG176" s="81" t="s">
        <v>916</v>
      </c>
      <c r="AH176" s="77" t="b">
        <v>0</v>
      </c>
      <c r="AI176" s="77" t="s">
        <v>950</v>
      </c>
      <c r="AJ176" s="77"/>
      <c r="AK176" s="81" t="s">
        <v>916</v>
      </c>
      <c r="AL176" s="77" t="b">
        <v>0</v>
      </c>
      <c r="AM176" s="77">
        <v>0</v>
      </c>
      <c r="AN176" s="81" t="s">
        <v>916</v>
      </c>
      <c r="AO176" s="81" t="s">
        <v>958</v>
      </c>
      <c r="AP176" s="77" t="b">
        <v>0</v>
      </c>
      <c r="AQ176" s="81" t="s">
        <v>856</v>
      </c>
      <c r="AR176" s="77" t="s">
        <v>207</v>
      </c>
      <c r="AS176" s="77">
        <v>0</v>
      </c>
      <c r="AT176" s="77">
        <v>0</v>
      </c>
      <c r="AU176" s="77"/>
      <c r="AV176" s="77"/>
      <c r="AW176" s="77"/>
      <c r="AX176" s="77"/>
      <c r="AY176" s="77"/>
      <c r="AZ176" s="77"/>
      <c r="BA176" s="77"/>
      <c r="BB176" s="77"/>
      <c r="BC176">
        <v>1</v>
      </c>
      <c r="BD176" s="76" t="str">
        <f>REPLACE(INDEX(GroupVertices[Group],MATCH(Edges[[#This Row],[Vertex 1]],GroupVertices[Vertex],0)),1,1,"")</f>
        <v>55</v>
      </c>
      <c r="BE176" s="76" t="str">
        <f>REPLACE(INDEX(GroupVertices[Group],MATCH(Edges[[#This Row],[Vertex 2]],GroupVertices[Vertex],0)),1,1,"")</f>
        <v>55</v>
      </c>
      <c r="BF176" s="31"/>
      <c r="BG176" s="31"/>
      <c r="BH176" s="31"/>
      <c r="BI176" s="31"/>
      <c r="BJ176" s="31"/>
      <c r="BK176" s="31"/>
      <c r="BL176" s="31"/>
      <c r="BM176" s="31"/>
      <c r="BN176" s="31"/>
    </row>
    <row r="177" spans="1:66" ht="15">
      <c r="A177" s="61" t="s">
        <v>356</v>
      </c>
      <c r="B177" s="61" t="s">
        <v>356</v>
      </c>
      <c r="C177" s="62"/>
      <c r="D177" s="63"/>
      <c r="E177" s="64"/>
      <c r="F177" s="65"/>
      <c r="G177" s="62"/>
      <c r="H177" s="66"/>
      <c r="I177" s="67"/>
      <c r="J177" s="67"/>
      <c r="K177" s="31" t="s">
        <v>65</v>
      </c>
      <c r="L177" s="75">
        <v>177</v>
      </c>
      <c r="M177" s="75"/>
      <c r="N177" s="69"/>
      <c r="O177" s="77" t="s">
        <v>207</v>
      </c>
      <c r="P177" s="79">
        <v>44967.70631944444</v>
      </c>
      <c r="Q177" s="77" t="s">
        <v>523</v>
      </c>
      <c r="R177" s="77"/>
      <c r="S177" s="77"/>
      <c r="T177" s="81" t="s">
        <v>428</v>
      </c>
      <c r="U177" s="80" t="str">
        <f>HYPERLINK("https://pbs.twimg.com/media/FontDvOXoAAMp4h.png")</f>
        <v>https://pbs.twimg.com/media/FontDvOXoAAMp4h.png</v>
      </c>
      <c r="V177" s="80" t="str">
        <f>HYPERLINK("https://pbs.twimg.com/media/FontDvOXoAAMp4h.png")</f>
        <v>https://pbs.twimg.com/media/FontDvOXoAAMp4h.png</v>
      </c>
      <c r="W177" s="79">
        <v>44967.70631944444</v>
      </c>
      <c r="X177" s="84">
        <v>44967</v>
      </c>
      <c r="Y177" s="81" t="s">
        <v>701</v>
      </c>
      <c r="Z177" s="80" t="str">
        <f>HYPERLINK("https://twitter.com/theaustindixon/status/1624090092263419914")</f>
        <v>https://twitter.com/theaustindixon/status/1624090092263419914</v>
      </c>
      <c r="AA177" s="77"/>
      <c r="AB177" s="77"/>
      <c r="AC177" s="81" t="s">
        <v>857</v>
      </c>
      <c r="AD177" s="77"/>
      <c r="AE177" s="77" t="b">
        <v>0</v>
      </c>
      <c r="AF177" s="77">
        <v>0</v>
      </c>
      <c r="AG177" s="81" t="s">
        <v>916</v>
      </c>
      <c r="AH177" s="77" t="b">
        <v>0</v>
      </c>
      <c r="AI177" s="77" t="s">
        <v>950</v>
      </c>
      <c r="AJ177" s="77"/>
      <c r="AK177" s="81" t="s">
        <v>916</v>
      </c>
      <c r="AL177" s="77" t="b">
        <v>0</v>
      </c>
      <c r="AM177" s="77">
        <v>0</v>
      </c>
      <c r="AN177" s="81" t="s">
        <v>916</v>
      </c>
      <c r="AO177" s="81" t="s">
        <v>958</v>
      </c>
      <c r="AP177" s="77" t="b">
        <v>0</v>
      </c>
      <c r="AQ177" s="81" t="s">
        <v>857</v>
      </c>
      <c r="AR177" s="77" t="s">
        <v>207</v>
      </c>
      <c r="AS177" s="77">
        <v>0</v>
      </c>
      <c r="AT177" s="77">
        <v>0</v>
      </c>
      <c r="AU177" s="77"/>
      <c r="AV177" s="77"/>
      <c r="AW177" s="77"/>
      <c r="AX177" s="77"/>
      <c r="AY177" s="77"/>
      <c r="AZ177" s="77"/>
      <c r="BA177" s="77"/>
      <c r="BB177" s="77"/>
      <c r="BC177">
        <v>1</v>
      </c>
      <c r="BD177" s="76" t="str">
        <f>REPLACE(INDEX(GroupVertices[Group],MATCH(Edges[[#This Row],[Vertex 1]],GroupVertices[Vertex],0)),1,1,"")</f>
        <v>54</v>
      </c>
      <c r="BE177" s="76" t="str">
        <f>REPLACE(INDEX(GroupVertices[Group],MATCH(Edges[[#This Row],[Vertex 2]],GroupVertices[Vertex],0)),1,1,"")</f>
        <v>54</v>
      </c>
      <c r="BF177" s="31"/>
      <c r="BG177" s="31"/>
      <c r="BH177" s="31"/>
      <c r="BI177" s="31"/>
      <c r="BJ177" s="31"/>
      <c r="BK177" s="31"/>
      <c r="BL177" s="31"/>
      <c r="BM177" s="31"/>
      <c r="BN177" s="31"/>
    </row>
    <row r="178" spans="1:66" ht="15">
      <c r="A178" s="61" t="s">
        <v>357</v>
      </c>
      <c r="B178" s="61" t="s">
        <v>357</v>
      </c>
      <c r="C178" s="62"/>
      <c r="D178" s="63"/>
      <c r="E178" s="64"/>
      <c r="F178" s="65"/>
      <c r="G178" s="62"/>
      <c r="H178" s="66"/>
      <c r="I178" s="67"/>
      <c r="J178" s="67"/>
      <c r="K178" s="31" t="s">
        <v>65</v>
      </c>
      <c r="L178" s="75">
        <v>178</v>
      </c>
      <c r="M178" s="75"/>
      <c r="N178" s="69"/>
      <c r="O178" s="77" t="s">
        <v>207</v>
      </c>
      <c r="P178" s="79">
        <v>44967.78821759259</v>
      </c>
      <c r="Q178" s="77" t="s">
        <v>524</v>
      </c>
      <c r="R178" s="80" t="str">
        <f>HYPERLINK("https://thesocialinstitute.com/newsletter/")</f>
        <v>https://thesocialinstitute.com/newsletter/</v>
      </c>
      <c r="S178" s="77" t="s">
        <v>557</v>
      </c>
      <c r="T178" s="77"/>
      <c r="U178" s="80" t="str">
        <f>HYPERLINK("https://pbs.twimg.com/media/FooIR4YWAAAAE78.jpg")</f>
        <v>https://pbs.twimg.com/media/FooIR4YWAAAAE78.jpg</v>
      </c>
      <c r="V178" s="80" t="str">
        <f>HYPERLINK("https://pbs.twimg.com/media/FooIR4YWAAAAE78.jpg")</f>
        <v>https://pbs.twimg.com/media/FooIR4YWAAAAE78.jpg</v>
      </c>
      <c r="W178" s="79">
        <v>44967.78821759259</v>
      </c>
      <c r="X178" s="84">
        <v>44967</v>
      </c>
      <c r="Y178" s="81" t="s">
        <v>702</v>
      </c>
      <c r="Z178" s="80" t="str">
        <f>HYPERLINK("https://twitter.com/thesocialinst/status/1624119769333891085")</f>
        <v>https://twitter.com/thesocialinst/status/1624119769333891085</v>
      </c>
      <c r="AA178" s="77"/>
      <c r="AB178" s="77"/>
      <c r="AC178" s="81" t="s">
        <v>858</v>
      </c>
      <c r="AD178" s="77"/>
      <c r="AE178" s="77" t="b">
        <v>0</v>
      </c>
      <c r="AF178" s="77">
        <v>1</v>
      </c>
      <c r="AG178" s="81" t="s">
        <v>916</v>
      </c>
      <c r="AH178" s="77" t="b">
        <v>0</v>
      </c>
      <c r="AI178" s="77" t="s">
        <v>950</v>
      </c>
      <c r="AJ178" s="77"/>
      <c r="AK178" s="81" t="s">
        <v>916</v>
      </c>
      <c r="AL178" s="77" t="b">
        <v>0</v>
      </c>
      <c r="AM178" s="77">
        <v>0</v>
      </c>
      <c r="AN178" s="81" t="s">
        <v>916</v>
      </c>
      <c r="AO178" s="81" t="s">
        <v>958</v>
      </c>
      <c r="AP178" s="77" t="b">
        <v>0</v>
      </c>
      <c r="AQ178" s="81" t="s">
        <v>858</v>
      </c>
      <c r="AR178" s="77" t="s">
        <v>207</v>
      </c>
      <c r="AS178" s="77">
        <v>0</v>
      </c>
      <c r="AT178" s="77">
        <v>0</v>
      </c>
      <c r="AU178" s="77"/>
      <c r="AV178" s="77"/>
      <c r="AW178" s="77"/>
      <c r="AX178" s="77"/>
      <c r="AY178" s="77"/>
      <c r="AZ178" s="77"/>
      <c r="BA178" s="77"/>
      <c r="BB178" s="77"/>
      <c r="BC178">
        <v>1</v>
      </c>
      <c r="BD178" s="76" t="str">
        <f>REPLACE(INDEX(GroupVertices[Group],MATCH(Edges[[#This Row],[Vertex 1]],GroupVertices[Vertex],0)),1,1,"")</f>
        <v>53</v>
      </c>
      <c r="BE178" s="76" t="str">
        <f>REPLACE(INDEX(GroupVertices[Group],MATCH(Edges[[#This Row],[Vertex 2]],GroupVertices[Vertex],0)),1,1,"")</f>
        <v>53</v>
      </c>
      <c r="BF178" s="31"/>
      <c r="BG178" s="31"/>
      <c r="BH178" s="31"/>
      <c r="BI178" s="31"/>
      <c r="BJ178" s="31"/>
      <c r="BK178" s="31"/>
      <c r="BL178" s="31"/>
      <c r="BM178" s="31"/>
      <c r="BN178" s="31"/>
    </row>
    <row r="179" spans="1:66" ht="15">
      <c r="A179" s="61" t="s">
        <v>358</v>
      </c>
      <c r="B179" s="61" t="s">
        <v>430</v>
      </c>
      <c r="C179" s="62"/>
      <c r="D179" s="63"/>
      <c r="E179" s="64"/>
      <c r="F179" s="65"/>
      <c r="G179" s="62"/>
      <c r="H179" s="66"/>
      <c r="I179" s="67"/>
      <c r="J179" s="67"/>
      <c r="K179" s="31" t="s">
        <v>65</v>
      </c>
      <c r="L179" s="75">
        <v>179</v>
      </c>
      <c r="M179" s="75"/>
      <c r="N179" s="69"/>
      <c r="O179" s="77" t="s">
        <v>448</v>
      </c>
      <c r="P179" s="79">
        <v>44967.7928125</v>
      </c>
      <c r="Q179" s="77" t="s">
        <v>525</v>
      </c>
      <c r="R179" s="77"/>
      <c r="S179" s="77"/>
      <c r="T179" s="77"/>
      <c r="U179" s="80" t="str">
        <f>HYPERLINK("https://pbs.twimg.com/media/FooJzCHaMAAd_s0.png")</f>
        <v>https://pbs.twimg.com/media/FooJzCHaMAAd_s0.png</v>
      </c>
      <c r="V179" s="80" t="str">
        <f>HYPERLINK("https://pbs.twimg.com/media/FooJzCHaMAAd_s0.png")</f>
        <v>https://pbs.twimg.com/media/FooJzCHaMAAd_s0.png</v>
      </c>
      <c r="W179" s="79">
        <v>44967.7928125</v>
      </c>
      <c r="X179" s="84">
        <v>44967</v>
      </c>
      <c r="Y179" s="81" t="s">
        <v>703</v>
      </c>
      <c r="Z179" s="80" t="str">
        <f>HYPERLINK("https://twitter.com/brockwarkentin/status/1624121434305089536")</f>
        <v>https://twitter.com/brockwarkentin/status/1624121434305089536</v>
      </c>
      <c r="AA179" s="77"/>
      <c r="AB179" s="77"/>
      <c r="AC179" s="81" t="s">
        <v>859</v>
      </c>
      <c r="AD179" s="77"/>
      <c r="AE179" s="77" t="b">
        <v>0</v>
      </c>
      <c r="AF179" s="77">
        <v>2</v>
      </c>
      <c r="AG179" s="81" t="s">
        <v>916</v>
      </c>
      <c r="AH179" s="77" t="b">
        <v>0</v>
      </c>
      <c r="AI179" s="77" t="s">
        <v>950</v>
      </c>
      <c r="AJ179" s="77"/>
      <c r="AK179" s="81" t="s">
        <v>916</v>
      </c>
      <c r="AL179" s="77" t="b">
        <v>0</v>
      </c>
      <c r="AM179" s="77">
        <v>0</v>
      </c>
      <c r="AN179" s="81" t="s">
        <v>916</v>
      </c>
      <c r="AO179" s="81" t="s">
        <v>958</v>
      </c>
      <c r="AP179" s="77" t="b">
        <v>0</v>
      </c>
      <c r="AQ179" s="81" t="s">
        <v>859</v>
      </c>
      <c r="AR179" s="77" t="s">
        <v>207</v>
      </c>
      <c r="AS179" s="77">
        <v>0</v>
      </c>
      <c r="AT179" s="77">
        <v>0</v>
      </c>
      <c r="AU179" s="77"/>
      <c r="AV179" s="77"/>
      <c r="AW179" s="77"/>
      <c r="AX179" s="77"/>
      <c r="AY179" s="77"/>
      <c r="AZ179" s="77"/>
      <c r="BA179" s="77"/>
      <c r="BB179" s="77"/>
      <c r="BC179">
        <v>1</v>
      </c>
      <c r="BD179" s="76" t="str">
        <f>REPLACE(INDEX(GroupVertices[Group],MATCH(Edges[[#This Row],[Vertex 1]],GroupVertices[Vertex],0)),1,1,"")</f>
        <v>8</v>
      </c>
      <c r="BE179" s="76" t="str">
        <f>REPLACE(INDEX(GroupVertices[Group],MATCH(Edges[[#This Row],[Vertex 2]],GroupVertices[Vertex],0)),1,1,"")</f>
        <v>8</v>
      </c>
      <c r="BF179" s="31"/>
      <c r="BG179" s="31"/>
      <c r="BH179" s="31"/>
      <c r="BI179" s="31"/>
      <c r="BJ179" s="31"/>
      <c r="BK179" s="31"/>
      <c r="BL179" s="31"/>
      <c r="BM179" s="31"/>
      <c r="BN179" s="31"/>
    </row>
    <row r="180" spans="1:66" ht="15">
      <c r="A180" s="61" t="s">
        <v>358</v>
      </c>
      <c r="B180" s="61" t="s">
        <v>431</v>
      </c>
      <c r="C180" s="62"/>
      <c r="D180" s="63"/>
      <c r="E180" s="64"/>
      <c r="F180" s="65"/>
      <c r="G180" s="62"/>
      <c r="H180" s="66"/>
      <c r="I180" s="67"/>
      <c r="J180" s="67"/>
      <c r="K180" s="31" t="s">
        <v>65</v>
      </c>
      <c r="L180" s="75">
        <v>180</v>
      </c>
      <c r="M180" s="75"/>
      <c r="N180" s="69"/>
      <c r="O180" s="77" t="s">
        <v>448</v>
      </c>
      <c r="P180" s="79">
        <v>44967.7928125</v>
      </c>
      <c r="Q180" s="77" t="s">
        <v>525</v>
      </c>
      <c r="R180" s="77"/>
      <c r="S180" s="77"/>
      <c r="T180" s="77"/>
      <c r="U180" s="80" t="str">
        <f>HYPERLINK("https://pbs.twimg.com/media/FooJzCHaMAAd_s0.png")</f>
        <v>https://pbs.twimg.com/media/FooJzCHaMAAd_s0.png</v>
      </c>
      <c r="V180" s="80" t="str">
        <f>HYPERLINK("https://pbs.twimg.com/media/FooJzCHaMAAd_s0.png")</f>
        <v>https://pbs.twimg.com/media/FooJzCHaMAAd_s0.png</v>
      </c>
      <c r="W180" s="79">
        <v>44967.7928125</v>
      </c>
      <c r="X180" s="84">
        <v>44967</v>
      </c>
      <c r="Y180" s="81" t="s">
        <v>703</v>
      </c>
      <c r="Z180" s="80" t="str">
        <f>HYPERLINK("https://twitter.com/brockwarkentin/status/1624121434305089536")</f>
        <v>https://twitter.com/brockwarkentin/status/1624121434305089536</v>
      </c>
      <c r="AA180" s="77"/>
      <c r="AB180" s="77"/>
      <c r="AC180" s="81" t="s">
        <v>859</v>
      </c>
      <c r="AD180" s="77"/>
      <c r="AE180" s="77" t="b">
        <v>0</v>
      </c>
      <c r="AF180" s="77">
        <v>2</v>
      </c>
      <c r="AG180" s="81" t="s">
        <v>916</v>
      </c>
      <c r="AH180" s="77" t="b">
        <v>0</v>
      </c>
      <c r="AI180" s="77" t="s">
        <v>950</v>
      </c>
      <c r="AJ180" s="77"/>
      <c r="AK180" s="81" t="s">
        <v>916</v>
      </c>
      <c r="AL180" s="77" t="b">
        <v>0</v>
      </c>
      <c r="AM180" s="77">
        <v>0</v>
      </c>
      <c r="AN180" s="81" t="s">
        <v>916</v>
      </c>
      <c r="AO180" s="81" t="s">
        <v>958</v>
      </c>
      <c r="AP180" s="77" t="b">
        <v>0</v>
      </c>
      <c r="AQ180" s="81" t="s">
        <v>859</v>
      </c>
      <c r="AR180" s="77" t="s">
        <v>207</v>
      </c>
      <c r="AS180" s="77">
        <v>0</v>
      </c>
      <c r="AT180" s="77">
        <v>0</v>
      </c>
      <c r="AU180" s="77"/>
      <c r="AV180" s="77"/>
      <c r="AW180" s="77"/>
      <c r="AX180" s="77"/>
      <c r="AY180" s="77"/>
      <c r="AZ180" s="77"/>
      <c r="BA180" s="77"/>
      <c r="BB180" s="77"/>
      <c r="BC180">
        <v>1</v>
      </c>
      <c r="BD180" s="76" t="str">
        <f>REPLACE(INDEX(GroupVertices[Group],MATCH(Edges[[#This Row],[Vertex 1]],GroupVertices[Vertex],0)),1,1,"")</f>
        <v>8</v>
      </c>
      <c r="BE180" s="76" t="str">
        <f>REPLACE(INDEX(GroupVertices[Group],MATCH(Edges[[#This Row],[Vertex 2]],GroupVertices[Vertex],0)),1,1,"")</f>
        <v>8</v>
      </c>
      <c r="BF180" s="31"/>
      <c r="BG180" s="31"/>
      <c r="BH180" s="31"/>
      <c r="BI180" s="31"/>
      <c r="BJ180" s="31"/>
      <c r="BK180" s="31"/>
      <c r="BL180" s="31"/>
      <c r="BM180" s="31"/>
      <c r="BN180" s="31"/>
    </row>
    <row r="181" spans="1:66" ht="15">
      <c r="A181" s="61" t="s">
        <v>358</v>
      </c>
      <c r="B181" s="61" t="s">
        <v>432</v>
      </c>
      <c r="C181" s="62"/>
      <c r="D181" s="63"/>
      <c r="E181" s="64"/>
      <c r="F181" s="65"/>
      <c r="G181" s="62"/>
      <c r="H181" s="66"/>
      <c r="I181" s="67"/>
      <c r="J181" s="67"/>
      <c r="K181" s="31" t="s">
        <v>65</v>
      </c>
      <c r="L181" s="75">
        <v>181</v>
      </c>
      <c r="M181" s="75"/>
      <c r="N181" s="69"/>
      <c r="O181" s="77" t="s">
        <v>448</v>
      </c>
      <c r="P181" s="79">
        <v>44967.7928125</v>
      </c>
      <c r="Q181" s="77" t="s">
        <v>525</v>
      </c>
      <c r="R181" s="77"/>
      <c r="S181" s="77"/>
      <c r="T181" s="77"/>
      <c r="U181" s="80" t="str">
        <f>HYPERLINK("https://pbs.twimg.com/media/FooJzCHaMAAd_s0.png")</f>
        <v>https://pbs.twimg.com/media/FooJzCHaMAAd_s0.png</v>
      </c>
      <c r="V181" s="80" t="str">
        <f>HYPERLINK("https://pbs.twimg.com/media/FooJzCHaMAAd_s0.png")</f>
        <v>https://pbs.twimg.com/media/FooJzCHaMAAd_s0.png</v>
      </c>
      <c r="W181" s="79">
        <v>44967.7928125</v>
      </c>
      <c r="X181" s="84">
        <v>44967</v>
      </c>
      <c r="Y181" s="81" t="s">
        <v>703</v>
      </c>
      <c r="Z181" s="80" t="str">
        <f>HYPERLINK("https://twitter.com/brockwarkentin/status/1624121434305089536")</f>
        <v>https://twitter.com/brockwarkentin/status/1624121434305089536</v>
      </c>
      <c r="AA181" s="77"/>
      <c r="AB181" s="77"/>
      <c r="AC181" s="81" t="s">
        <v>859</v>
      </c>
      <c r="AD181" s="77"/>
      <c r="AE181" s="77" t="b">
        <v>0</v>
      </c>
      <c r="AF181" s="77">
        <v>2</v>
      </c>
      <c r="AG181" s="81" t="s">
        <v>916</v>
      </c>
      <c r="AH181" s="77" t="b">
        <v>0</v>
      </c>
      <c r="AI181" s="77" t="s">
        <v>950</v>
      </c>
      <c r="AJ181" s="77"/>
      <c r="AK181" s="81" t="s">
        <v>916</v>
      </c>
      <c r="AL181" s="77" t="b">
        <v>0</v>
      </c>
      <c r="AM181" s="77">
        <v>0</v>
      </c>
      <c r="AN181" s="81" t="s">
        <v>916</v>
      </c>
      <c r="AO181" s="81" t="s">
        <v>958</v>
      </c>
      <c r="AP181" s="77" t="b">
        <v>0</v>
      </c>
      <c r="AQ181" s="81" t="s">
        <v>859</v>
      </c>
      <c r="AR181" s="77" t="s">
        <v>207</v>
      </c>
      <c r="AS181" s="77">
        <v>0</v>
      </c>
      <c r="AT181" s="77">
        <v>0</v>
      </c>
      <c r="AU181" s="77"/>
      <c r="AV181" s="77"/>
      <c r="AW181" s="77"/>
      <c r="AX181" s="77"/>
      <c r="AY181" s="77"/>
      <c r="AZ181" s="77"/>
      <c r="BA181" s="77"/>
      <c r="BB181" s="77"/>
      <c r="BC181">
        <v>1</v>
      </c>
      <c r="BD181" s="76" t="str">
        <f>REPLACE(INDEX(GroupVertices[Group],MATCH(Edges[[#This Row],[Vertex 1]],GroupVertices[Vertex],0)),1,1,"")</f>
        <v>8</v>
      </c>
      <c r="BE181" s="76" t="str">
        <f>REPLACE(INDEX(GroupVertices[Group],MATCH(Edges[[#This Row],[Vertex 2]],GroupVertices[Vertex],0)),1,1,"")</f>
        <v>8</v>
      </c>
      <c r="BF181" s="31"/>
      <c r="BG181" s="31"/>
      <c r="BH181" s="31"/>
      <c r="BI181" s="31"/>
      <c r="BJ181" s="31"/>
      <c r="BK181" s="31"/>
      <c r="BL181" s="31"/>
      <c r="BM181" s="31"/>
      <c r="BN181" s="31"/>
    </row>
    <row r="182" spans="1:66" ht="15">
      <c r="A182" s="61" t="s">
        <v>359</v>
      </c>
      <c r="B182" s="61" t="s">
        <v>359</v>
      </c>
      <c r="C182" s="62"/>
      <c r="D182" s="63"/>
      <c r="E182" s="64"/>
      <c r="F182" s="65"/>
      <c r="G182" s="62"/>
      <c r="H182" s="66"/>
      <c r="I182" s="67"/>
      <c r="J182" s="67"/>
      <c r="K182" s="31" t="s">
        <v>65</v>
      </c>
      <c r="L182" s="75">
        <v>182</v>
      </c>
      <c r="M182" s="75"/>
      <c r="N182" s="69"/>
      <c r="O182" s="77" t="s">
        <v>207</v>
      </c>
      <c r="P182" s="79">
        <v>44968.11798611111</v>
      </c>
      <c r="Q182" s="77" t="s">
        <v>526</v>
      </c>
      <c r="R182" s="77"/>
      <c r="S182" s="77"/>
      <c r="T182" s="77"/>
      <c r="U182" s="80" t="str">
        <f>HYPERLINK("https://pbs.twimg.com/tweet_video_thumb/Fop1AetXsAIWqA9.jpg")</f>
        <v>https://pbs.twimg.com/tweet_video_thumb/Fop1AetXsAIWqA9.jpg</v>
      </c>
      <c r="V182" s="80" t="str">
        <f>HYPERLINK("https://pbs.twimg.com/tweet_video_thumb/Fop1AetXsAIWqA9.jpg")</f>
        <v>https://pbs.twimg.com/tweet_video_thumb/Fop1AetXsAIWqA9.jpg</v>
      </c>
      <c r="W182" s="79">
        <v>44968.11798611111</v>
      </c>
      <c r="X182" s="84">
        <v>44968</v>
      </c>
      <c r="Y182" s="81" t="s">
        <v>704</v>
      </c>
      <c r="Z182" s="80" t="str">
        <f>HYPERLINK("https://twitter.com/sheanscienceirl/status/1624239273590259718")</f>
        <v>https://twitter.com/sheanscienceirl/status/1624239273590259718</v>
      </c>
      <c r="AA182" s="77"/>
      <c r="AB182" s="77"/>
      <c r="AC182" s="81" t="s">
        <v>860</v>
      </c>
      <c r="AD182" s="77"/>
      <c r="AE182" s="77" t="b">
        <v>0</v>
      </c>
      <c r="AF182" s="77">
        <v>0</v>
      </c>
      <c r="AG182" s="81" t="s">
        <v>916</v>
      </c>
      <c r="AH182" s="77" t="b">
        <v>0</v>
      </c>
      <c r="AI182" s="77" t="s">
        <v>950</v>
      </c>
      <c r="AJ182" s="77"/>
      <c r="AK182" s="81" t="s">
        <v>916</v>
      </c>
      <c r="AL182" s="77" t="b">
        <v>0</v>
      </c>
      <c r="AM182" s="77">
        <v>0</v>
      </c>
      <c r="AN182" s="81" t="s">
        <v>916</v>
      </c>
      <c r="AO182" s="81" t="s">
        <v>958</v>
      </c>
      <c r="AP182" s="77" t="b">
        <v>0</v>
      </c>
      <c r="AQ182" s="81" t="s">
        <v>860</v>
      </c>
      <c r="AR182" s="77" t="s">
        <v>207</v>
      </c>
      <c r="AS182" s="77">
        <v>0</v>
      </c>
      <c r="AT182" s="77">
        <v>0</v>
      </c>
      <c r="AU182" s="77"/>
      <c r="AV182" s="77"/>
      <c r="AW182" s="77"/>
      <c r="AX182" s="77"/>
      <c r="AY182" s="77"/>
      <c r="AZ182" s="77"/>
      <c r="BA182" s="77"/>
      <c r="BB182" s="77"/>
      <c r="BC182">
        <v>1</v>
      </c>
      <c r="BD182" s="76" t="str">
        <f>REPLACE(INDEX(GroupVertices[Group],MATCH(Edges[[#This Row],[Vertex 1]],GroupVertices[Vertex],0)),1,1,"")</f>
        <v>52</v>
      </c>
      <c r="BE182" s="76" t="str">
        <f>REPLACE(INDEX(GroupVertices[Group],MATCH(Edges[[#This Row],[Vertex 2]],GroupVertices[Vertex],0)),1,1,"")</f>
        <v>52</v>
      </c>
      <c r="BF182" s="31"/>
      <c r="BG182" s="31"/>
      <c r="BH182" s="31"/>
      <c r="BI182" s="31"/>
      <c r="BJ182" s="31"/>
      <c r="BK182" s="31"/>
      <c r="BL182" s="31"/>
      <c r="BM182" s="31"/>
      <c r="BN182" s="31"/>
    </row>
    <row r="183" spans="1:66" ht="15">
      <c r="A183" s="61" t="s">
        <v>360</v>
      </c>
      <c r="B183" s="61" t="s">
        <v>433</v>
      </c>
      <c r="C183" s="62"/>
      <c r="D183" s="63"/>
      <c r="E183" s="64"/>
      <c r="F183" s="65"/>
      <c r="G183" s="62"/>
      <c r="H183" s="66"/>
      <c r="I183" s="67"/>
      <c r="J183" s="67"/>
      <c r="K183" s="31" t="s">
        <v>65</v>
      </c>
      <c r="L183" s="75">
        <v>183</v>
      </c>
      <c r="M183" s="75"/>
      <c r="N183" s="69"/>
      <c r="O183" s="77" t="s">
        <v>448</v>
      </c>
      <c r="P183" s="79">
        <v>44968.16159722222</v>
      </c>
      <c r="Q183" s="77" t="s">
        <v>527</v>
      </c>
      <c r="R183" s="80" t="str">
        <f>HYPERLINK("https://www.youtube.com/watch?v=NxsNz3uc_4g&amp;feature=youtu.be")</f>
        <v>https://www.youtube.com/watch?v=NxsNz3uc_4g&amp;feature=youtu.be</v>
      </c>
      <c r="S183" s="77" t="s">
        <v>554</v>
      </c>
      <c r="T183" s="77"/>
      <c r="U183" s="77"/>
      <c r="V183" s="80" t="str">
        <f>HYPERLINK("https://pbs.twimg.com/profile_images/1606697226939637762/UBpxUesC_normal.jpg")</f>
        <v>https://pbs.twimg.com/profile_images/1606697226939637762/UBpxUesC_normal.jpg</v>
      </c>
      <c r="W183" s="79">
        <v>44968.16159722222</v>
      </c>
      <c r="X183" s="84">
        <v>44968</v>
      </c>
      <c r="Y183" s="81" t="s">
        <v>705</v>
      </c>
      <c r="Z183" s="80" t="str">
        <f>HYPERLINK("https://twitter.com/d36623348/status/1624255078486999042")</f>
        <v>https://twitter.com/d36623348/status/1624255078486999042</v>
      </c>
      <c r="AA183" s="77"/>
      <c r="AB183" s="77"/>
      <c r="AC183" s="81" t="s">
        <v>861</v>
      </c>
      <c r="AD183" s="77"/>
      <c r="AE183" s="77" t="b">
        <v>0</v>
      </c>
      <c r="AF183" s="77">
        <v>0</v>
      </c>
      <c r="AG183" s="81" t="s">
        <v>916</v>
      </c>
      <c r="AH183" s="77" t="b">
        <v>0</v>
      </c>
      <c r="AI183" s="77" t="s">
        <v>950</v>
      </c>
      <c r="AJ183" s="77"/>
      <c r="AK183" s="81" t="s">
        <v>916</v>
      </c>
      <c r="AL183" s="77" t="b">
        <v>0</v>
      </c>
      <c r="AM183" s="77">
        <v>0</v>
      </c>
      <c r="AN183" s="81" t="s">
        <v>916</v>
      </c>
      <c r="AO183" s="81" t="s">
        <v>958</v>
      </c>
      <c r="AP183" s="77" t="b">
        <v>0</v>
      </c>
      <c r="AQ183" s="81" t="s">
        <v>861</v>
      </c>
      <c r="AR183" s="77" t="s">
        <v>207</v>
      </c>
      <c r="AS183" s="77">
        <v>0</v>
      </c>
      <c r="AT183" s="77">
        <v>0</v>
      </c>
      <c r="AU183" s="77"/>
      <c r="AV183" s="77"/>
      <c r="AW183" s="77"/>
      <c r="AX183" s="77"/>
      <c r="AY183" s="77"/>
      <c r="AZ183" s="77"/>
      <c r="BA183" s="77"/>
      <c r="BB183" s="77"/>
      <c r="BC183">
        <v>1</v>
      </c>
      <c r="BD183" s="76" t="str">
        <f>REPLACE(INDEX(GroupVertices[Group],MATCH(Edges[[#This Row],[Vertex 1]],GroupVertices[Vertex],0)),1,1,"")</f>
        <v>28</v>
      </c>
      <c r="BE183" s="76" t="str">
        <f>REPLACE(INDEX(GroupVertices[Group],MATCH(Edges[[#This Row],[Vertex 2]],GroupVertices[Vertex],0)),1,1,"")</f>
        <v>28</v>
      </c>
      <c r="BF183" s="31"/>
      <c r="BG183" s="31"/>
      <c r="BH183" s="31"/>
      <c r="BI183" s="31"/>
      <c r="BJ183" s="31"/>
      <c r="BK183" s="31"/>
      <c r="BL183" s="31"/>
      <c r="BM183" s="31"/>
      <c r="BN183" s="31"/>
    </row>
    <row r="184" spans="1:66" ht="15">
      <c r="A184" s="61" t="s">
        <v>361</v>
      </c>
      <c r="B184" s="61" t="s">
        <v>361</v>
      </c>
      <c r="C184" s="62"/>
      <c r="D184" s="63"/>
      <c r="E184" s="64"/>
      <c r="F184" s="65"/>
      <c r="G184" s="62"/>
      <c r="H184" s="66"/>
      <c r="I184" s="67"/>
      <c r="J184" s="67"/>
      <c r="K184" s="31" t="s">
        <v>65</v>
      </c>
      <c r="L184" s="75">
        <v>184</v>
      </c>
      <c r="M184" s="75"/>
      <c r="N184" s="69"/>
      <c r="O184" s="77" t="s">
        <v>207</v>
      </c>
      <c r="P184" s="79">
        <v>44954.71271990741</v>
      </c>
      <c r="Q184" s="77" t="s">
        <v>528</v>
      </c>
      <c r="R184" s="77"/>
      <c r="S184" s="77"/>
      <c r="T184" s="77"/>
      <c r="U184" s="77"/>
      <c r="V184" s="80" t="str">
        <f>HYPERLINK("https://pbs.twimg.com/profile_images/1597286059859185670/fogJpkfg_normal.jpg")</f>
        <v>https://pbs.twimg.com/profile_images/1597286059859185670/fogJpkfg_normal.jpg</v>
      </c>
      <c r="W184" s="79">
        <v>44954.71271990741</v>
      </c>
      <c r="X184" s="84">
        <v>44954</v>
      </c>
      <c r="Y184" s="81" t="s">
        <v>706</v>
      </c>
      <c r="Z184" s="80" t="str">
        <f>HYPERLINK("https://twitter.com/menrywy/status/1619381368768827392")</f>
        <v>https://twitter.com/menrywy/status/1619381368768827392</v>
      </c>
      <c r="AA184" s="77"/>
      <c r="AB184" s="77"/>
      <c r="AC184" s="81" t="s">
        <v>862</v>
      </c>
      <c r="AD184" s="77"/>
      <c r="AE184" s="77" t="b">
        <v>0</v>
      </c>
      <c r="AF184" s="77">
        <v>137</v>
      </c>
      <c r="AG184" s="81" t="s">
        <v>916</v>
      </c>
      <c r="AH184" s="77" t="b">
        <v>0</v>
      </c>
      <c r="AI184" s="77" t="s">
        <v>950</v>
      </c>
      <c r="AJ184" s="77"/>
      <c r="AK184" s="81" t="s">
        <v>916</v>
      </c>
      <c r="AL184" s="77" t="b">
        <v>0</v>
      </c>
      <c r="AM184" s="77">
        <v>13</v>
      </c>
      <c r="AN184" s="81" t="s">
        <v>916</v>
      </c>
      <c r="AO184" s="81" t="s">
        <v>957</v>
      </c>
      <c r="AP184" s="77" t="b">
        <v>0</v>
      </c>
      <c r="AQ184" s="81" t="s">
        <v>862</v>
      </c>
      <c r="AR184" s="77" t="s">
        <v>447</v>
      </c>
      <c r="AS184" s="77">
        <v>0</v>
      </c>
      <c r="AT184" s="77">
        <v>0</v>
      </c>
      <c r="AU184" s="77"/>
      <c r="AV184" s="77"/>
      <c r="AW184" s="77"/>
      <c r="AX184" s="77"/>
      <c r="AY184" s="77"/>
      <c r="AZ184" s="77"/>
      <c r="BA184" s="77"/>
      <c r="BB184" s="77"/>
      <c r="BC184">
        <v>1</v>
      </c>
      <c r="BD184" s="76" t="str">
        <f>REPLACE(INDEX(GroupVertices[Group],MATCH(Edges[[#This Row],[Vertex 1]],GroupVertices[Vertex],0)),1,1,"")</f>
        <v>27</v>
      </c>
      <c r="BE184" s="76" t="str">
        <f>REPLACE(INDEX(GroupVertices[Group],MATCH(Edges[[#This Row],[Vertex 2]],GroupVertices[Vertex],0)),1,1,"")</f>
        <v>27</v>
      </c>
      <c r="BF184" s="31"/>
      <c r="BG184" s="31"/>
      <c r="BH184" s="31"/>
      <c r="BI184" s="31"/>
      <c r="BJ184" s="31"/>
      <c r="BK184" s="31"/>
      <c r="BL184" s="31"/>
      <c r="BM184" s="31"/>
      <c r="BN184" s="31"/>
    </row>
    <row r="185" spans="1:66" ht="15">
      <c r="A185" s="61" t="s">
        <v>362</v>
      </c>
      <c r="B185" s="61" t="s">
        <v>361</v>
      </c>
      <c r="C185" s="62"/>
      <c r="D185" s="63"/>
      <c r="E185" s="64"/>
      <c r="F185" s="65"/>
      <c r="G185" s="62"/>
      <c r="H185" s="66"/>
      <c r="I185" s="67"/>
      <c r="J185" s="67"/>
      <c r="K185" s="31" t="s">
        <v>65</v>
      </c>
      <c r="L185" s="75">
        <v>185</v>
      </c>
      <c r="M185" s="75"/>
      <c r="N185" s="69"/>
      <c r="O185" s="77" t="s">
        <v>447</v>
      </c>
      <c r="P185" s="79">
        <v>44968.42008101852</v>
      </c>
      <c r="Q185" s="77" t="s">
        <v>528</v>
      </c>
      <c r="R185" s="77"/>
      <c r="S185" s="77"/>
      <c r="T185" s="77"/>
      <c r="U185" s="77"/>
      <c r="V185" s="80" t="str">
        <f>HYPERLINK("https://pbs.twimg.com/profile_images/962401332438106114/huAtQVJ__normal.jpg")</f>
        <v>https://pbs.twimg.com/profile_images/962401332438106114/huAtQVJ__normal.jpg</v>
      </c>
      <c r="W185" s="79">
        <v>44968.42008101852</v>
      </c>
      <c r="X185" s="84">
        <v>44968</v>
      </c>
      <c r="Y185" s="81" t="s">
        <v>707</v>
      </c>
      <c r="Z185" s="80" t="str">
        <f>HYPERLINK("https://twitter.com/pishypotty/status/1624348749312000006")</f>
        <v>https://twitter.com/pishypotty/status/1624348749312000006</v>
      </c>
      <c r="AA185" s="77"/>
      <c r="AB185" s="77"/>
      <c r="AC185" s="81" t="s">
        <v>863</v>
      </c>
      <c r="AD185" s="77"/>
      <c r="AE185" s="77" t="b">
        <v>0</v>
      </c>
      <c r="AF185" s="77">
        <v>0</v>
      </c>
      <c r="AG185" s="81" t="s">
        <v>916</v>
      </c>
      <c r="AH185" s="77" t="b">
        <v>0</v>
      </c>
      <c r="AI185" s="77" t="s">
        <v>950</v>
      </c>
      <c r="AJ185" s="77"/>
      <c r="AK185" s="81" t="s">
        <v>916</v>
      </c>
      <c r="AL185" s="77" t="b">
        <v>0</v>
      </c>
      <c r="AM185" s="77">
        <v>13</v>
      </c>
      <c r="AN185" s="81" t="s">
        <v>862</v>
      </c>
      <c r="AO185" s="81" t="s">
        <v>957</v>
      </c>
      <c r="AP185" s="77" t="b">
        <v>0</v>
      </c>
      <c r="AQ185" s="81" t="s">
        <v>862</v>
      </c>
      <c r="AR185" s="77" t="s">
        <v>207</v>
      </c>
      <c r="AS185" s="77">
        <v>0</v>
      </c>
      <c r="AT185" s="77">
        <v>0</v>
      </c>
      <c r="AU185" s="77"/>
      <c r="AV185" s="77"/>
      <c r="AW185" s="77"/>
      <c r="AX185" s="77"/>
      <c r="AY185" s="77"/>
      <c r="AZ185" s="77"/>
      <c r="BA185" s="77"/>
      <c r="BB185" s="77"/>
      <c r="BC185">
        <v>1</v>
      </c>
      <c r="BD185" s="76" t="str">
        <f>REPLACE(INDEX(GroupVertices[Group],MATCH(Edges[[#This Row],[Vertex 1]],GroupVertices[Vertex],0)),1,1,"")</f>
        <v>27</v>
      </c>
      <c r="BE185" s="76" t="str">
        <f>REPLACE(INDEX(GroupVertices[Group],MATCH(Edges[[#This Row],[Vertex 2]],GroupVertices[Vertex],0)),1,1,"")</f>
        <v>27</v>
      </c>
      <c r="BF185" s="31"/>
      <c r="BG185" s="31"/>
      <c r="BH185" s="31"/>
      <c r="BI185" s="31"/>
      <c r="BJ185" s="31"/>
      <c r="BK185" s="31"/>
      <c r="BL185" s="31"/>
      <c r="BM185" s="31"/>
      <c r="BN185" s="31"/>
    </row>
    <row r="186" spans="1:66" ht="15">
      <c r="A186" s="61" t="s">
        <v>363</v>
      </c>
      <c r="B186" s="61" t="s">
        <v>363</v>
      </c>
      <c r="C186" s="62"/>
      <c r="D186" s="63"/>
      <c r="E186" s="64"/>
      <c r="F186" s="65"/>
      <c r="G186" s="62"/>
      <c r="H186" s="66"/>
      <c r="I186" s="67"/>
      <c r="J186" s="67"/>
      <c r="K186" s="31" t="s">
        <v>65</v>
      </c>
      <c r="L186" s="75">
        <v>186</v>
      </c>
      <c r="M186" s="75"/>
      <c r="N186" s="69"/>
      <c r="O186" s="77" t="s">
        <v>207</v>
      </c>
      <c r="P186" s="79">
        <v>44968.57986111111</v>
      </c>
      <c r="Q186" s="77" t="s">
        <v>529</v>
      </c>
      <c r="R186" s="80" t="str">
        <f>HYPERLINK("https://www.foxbusiness.com/technology/bill-gates-says-chatgpt-will-change-world-make-jobs-more-efficient")</f>
        <v>https://www.foxbusiness.com/technology/bill-gates-says-chatgpt-will-change-world-make-jobs-more-efficient</v>
      </c>
      <c r="S186" s="77" t="s">
        <v>558</v>
      </c>
      <c r="T186" s="77"/>
      <c r="U186" s="77"/>
      <c r="V186" s="80" t="str">
        <f>HYPERLINK("https://pbs.twimg.com/profile_images/1589257086281650176/1PpG0Yim_normal.jpg")</f>
        <v>https://pbs.twimg.com/profile_images/1589257086281650176/1PpG0Yim_normal.jpg</v>
      </c>
      <c r="W186" s="79">
        <v>44968.57986111111</v>
      </c>
      <c r="X186" s="84">
        <v>44968</v>
      </c>
      <c r="Y186" s="81" t="s">
        <v>708</v>
      </c>
      <c r="Z186" s="80" t="str">
        <f>HYPERLINK("https://twitter.com/hozernumber1/status/1624406651502579713")</f>
        <v>https://twitter.com/hozernumber1/status/1624406651502579713</v>
      </c>
      <c r="AA186" s="77"/>
      <c r="AB186" s="77"/>
      <c r="AC186" s="81" t="s">
        <v>864</v>
      </c>
      <c r="AD186" s="77"/>
      <c r="AE186" s="77" t="b">
        <v>0</v>
      </c>
      <c r="AF186" s="77">
        <v>0</v>
      </c>
      <c r="AG186" s="81" t="s">
        <v>916</v>
      </c>
      <c r="AH186" s="77" t="b">
        <v>0</v>
      </c>
      <c r="AI186" s="77" t="s">
        <v>950</v>
      </c>
      <c r="AJ186" s="77"/>
      <c r="AK186" s="81" t="s">
        <v>916</v>
      </c>
      <c r="AL186" s="77" t="b">
        <v>0</v>
      </c>
      <c r="AM186" s="77">
        <v>0</v>
      </c>
      <c r="AN186" s="81" t="s">
        <v>916</v>
      </c>
      <c r="AO186" s="81" t="s">
        <v>959</v>
      </c>
      <c r="AP186" s="77" t="b">
        <v>0</v>
      </c>
      <c r="AQ186" s="81" t="s">
        <v>864</v>
      </c>
      <c r="AR186" s="77" t="s">
        <v>207</v>
      </c>
      <c r="AS186" s="77">
        <v>0</v>
      </c>
      <c r="AT186" s="77">
        <v>0</v>
      </c>
      <c r="AU186" s="77"/>
      <c r="AV186" s="77"/>
      <c r="AW186" s="77"/>
      <c r="AX186" s="77"/>
      <c r="AY186" s="77"/>
      <c r="AZ186" s="77"/>
      <c r="BA186" s="77"/>
      <c r="BB186" s="77"/>
      <c r="BC186">
        <v>1</v>
      </c>
      <c r="BD186" s="76" t="str">
        <f>REPLACE(INDEX(GroupVertices[Group],MATCH(Edges[[#This Row],[Vertex 1]],GroupVertices[Vertex],0)),1,1,"")</f>
        <v>51</v>
      </c>
      <c r="BE186" s="76" t="str">
        <f>REPLACE(INDEX(GroupVertices[Group],MATCH(Edges[[#This Row],[Vertex 2]],GroupVertices[Vertex],0)),1,1,"")</f>
        <v>51</v>
      </c>
      <c r="BF186" s="31"/>
      <c r="BG186" s="31"/>
      <c r="BH186" s="31"/>
      <c r="BI186" s="31"/>
      <c r="BJ186" s="31"/>
      <c r="BK186" s="31"/>
      <c r="BL186" s="31"/>
      <c r="BM186" s="31"/>
      <c r="BN186" s="31"/>
    </row>
    <row r="187" spans="1:66" ht="15">
      <c r="A187" s="61" t="s">
        <v>364</v>
      </c>
      <c r="B187" s="61" t="s">
        <v>434</v>
      </c>
      <c r="C187" s="62"/>
      <c r="D187" s="63"/>
      <c r="E187" s="64"/>
      <c r="F187" s="65"/>
      <c r="G187" s="62"/>
      <c r="H187" s="66"/>
      <c r="I187" s="67"/>
      <c r="J187" s="67"/>
      <c r="K187" s="31" t="s">
        <v>65</v>
      </c>
      <c r="L187" s="75">
        <v>187</v>
      </c>
      <c r="M187" s="75"/>
      <c r="N187" s="69"/>
      <c r="O187" s="77" t="s">
        <v>446</v>
      </c>
      <c r="P187" s="79">
        <v>44968.69358796296</v>
      </c>
      <c r="Q187" s="77" t="s">
        <v>530</v>
      </c>
      <c r="R187" s="77"/>
      <c r="S187" s="77"/>
      <c r="T187" s="77"/>
      <c r="U187" s="77"/>
      <c r="V187" s="80" t="str">
        <f>HYPERLINK("https://pbs.twimg.com/profile_images/1128404820761632768/Fo88NQf5_normal.jpg")</f>
        <v>https://pbs.twimg.com/profile_images/1128404820761632768/Fo88NQf5_normal.jpg</v>
      </c>
      <c r="W187" s="79">
        <v>44968.69358796296</v>
      </c>
      <c r="X187" s="84">
        <v>44968</v>
      </c>
      <c r="Y187" s="81" t="s">
        <v>709</v>
      </c>
      <c r="Z187" s="80" t="str">
        <f>HYPERLINK("https://twitter.com/tomostapchuk/status/1624447864297463811")</f>
        <v>https://twitter.com/tomostapchuk/status/1624447864297463811</v>
      </c>
      <c r="AA187" s="77"/>
      <c r="AB187" s="77"/>
      <c r="AC187" s="81" t="s">
        <v>865</v>
      </c>
      <c r="AD187" s="77"/>
      <c r="AE187" s="77" t="b">
        <v>0</v>
      </c>
      <c r="AF187" s="77">
        <v>0</v>
      </c>
      <c r="AG187" s="81" t="s">
        <v>943</v>
      </c>
      <c r="AH187" s="77" t="b">
        <v>0</v>
      </c>
      <c r="AI187" s="77" t="s">
        <v>950</v>
      </c>
      <c r="AJ187" s="77"/>
      <c r="AK187" s="81" t="s">
        <v>916</v>
      </c>
      <c r="AL187" s="77" t="b">
        <v>0</v>
      </c>
      <c r="AM187" s="77">
        <v>0</v>
      </c>
      <c r="AN187" s="81" t="s">
        <v>916</v>
      </c>
      <c r="AO187" s="81" t="s">
        <v>958</v>
      </c>
      <c r="AP187" s="77" t="b">
        <v>0</v>
      </c>
      <c r="AQ187" s="81" t="s">
        <v>865</v>
      </c>
      <c r="AR187" s="77" t="s">
        <v>207</v>
      </c>
      <c r="AS187" s="77">
        <v>0</v>
      </c>
      <c r="AT187" s="77">
        <v>0</v>
      </c>
      <c r="AU187" s="77"/>
      <c r="AV187" s="77"/>
      <c r="AW187" s="77"/>
      <c r="AX187" s="77"/>
      <c r="AY187" s="77"/>
      <c r="AZ187" s="77"/>
      <c r="BA187" s="77"/>
      <c r="BB187" s="77"/>
      <c r="BC187">
        <v>1</v>
      </c>
      <c r="BD187" s="76" t="str">
        <f>REPLACE(INDEX(GroupVertices[Group],MATCH(Edges[[#This Row],[Vertex 1]],GroupVertices[Vertex],0)),1,1,"")</f>
        <v>26</v>
      </c>
      <c r="BE187" s="76" t="str">
        <f>REPLACE(INDEX(GroupVertices[Group],MATCH(Edges[[#This Row],[Vertex 2]],GroupVertices[Vertex],0)),1,1,"")</f>
        <v>26</v>
      </c>
      <c r="BF187" s="31"/>
      <c r="BG187" s="31"/>
      <c r="BH187" s="31"/>
      <c r="BI187" s="31"/>
      <c r="BJ187" s="31"/>
      <c r="BK187" s="31"/>
      <c r="BL187" s="31"/>
      <c r="BM187" s="31"/>
      <c r="BN187" s="31"/>
    </row>
    <row r="188" spans="1:66" ht="15">
      <c r="A188" s="61" t="s">
        <v>365</v>
      </c>
      <c r="B188" s="61" t="s">
        <v>365</v>
      </c>
      <c r="C188" s="62"/>
      <c r="D188" s="63"/>
      <c r="E188" s="64"/>
      <c r="F188" s="65"/>
      <c r="G188" s="62"/>
      <c r="H188" s="66"/>
      <c r="I188" s="67"/>
      <c r="J188" s="67"/>
      <c r="K188" s="31" t="s">
        <v>65</v>
      </c>
      <c r="L188" s="75">
        <v>188</v>
      </c>
      <c r="M188" s="75"/>
      <c r="N188" s="69"/>
      <c r="O188" s="77" t="s">
        <v>207</v>
      </c>
      <c r="P188" s="79">
        <v>44968.71775462963</v>
      </c>
      <c r="Q188" s="77" t="s">
        <v>531</v>
      </c>
      <c r="R188" s="77"/>
      <c r="S188" s="77"/>
      <c r="T188" s="81" t="s">
        <v>570</v>
      </c>
      <c r="U188" s="77"/>
      <c r="V188" s="80" t="str">
        <f>HYPERLINK("https://pbs.twimg.com/profile_images/1750390122/slide_fox_normal.jpg")</f>
        <v>https://pbs.twimg.com/profile_images/1750390122/slide_fox_normal.jpg</v>
      </c>
      <c r="W188" s="79">
        <v>44968.71775462963</v>
      </c>
      <c r="X188" s="84">
        <v>44968</v>
      </c>
      <c r="Y188" s="81" t="s">
        <v>710</v>
      </c>
      <c r="Z188" s="80" t="str">
        <f>HYPERLINK("https://twitter.com/andjohnson4all/status/1624456624361422849")</f>
        <v>https://twitter.com/andjohnson4all/status/1624456624361422849</v>
      </c>
      <c r="AA188" s="77"/>
      <c r="AB188" s="77"/>
      <c r="AC188" s="81" t="s">
        <v>866</v>
      </c>
      <c r="AD188" s="77"/>
      <c r="AE188" s="77" t="b">
        <v>0</v>
      </c>
      <c r="AF188" s="77">
        <v>0</v>
      </c>
      <c r="AG188" s="81" t="s">
        <v>916</v>
      </c>
      <c r="AH188" s="77" t="b">
        <v>0</v>
      </c>
      <c r="AI188" s="77" t="s">
        <v>950</v>
      </c>
      <c r="AJ188" s="77"/>
      <c r="AK188" s="81" t="s">
        <v>916</v>
      </c>
      <c r="AL188" s="77" t="b">
        <v>0</v>
      </c>
      <c r="AM188" s="77">
        <v>0</v>
      </c>
      <c r="AN188" s="81" t="s">
        <v>916</v>
      </c>
      <c r="AO188" s="81" t="s">
        <v>957</v>
      </c>
      <c r="AP188" s="77" t="b">
        <v>0</v>
      </c>
      <c r="AQ188" s="81" t="s">
        <v>866</v>
      </c>
      <c r="AR188" s="77" t="s">
        <v>207</v>
      </c>
      <c r="AS188" s="77">
        <v>0</v>
      </c>
      <c r="AT188" s="77">
        <v>0</v>
      </c>
      <c r="AU188" s="77"/>
      <c r="AV188" s="77"/>
      <c r="AW188" s="77"/>
      <c r="AX188" s="77"/>
      <c r="AY188" s="77"/>
      <c r="AZ188" s="77"/>
      <c r="BA188" s="77"/>
      <c r="BB188" s="77"/>
      <c r="BC188">
        <v>1</v>
      </c>
      <c r="BD188" s="76" t="str">
        <f>REPLACE(INDEX(GroupVertices[Group],MATCH(Edges[[#This Row],[Vertex 1]],GroupVertices[Vertex],0)),1,1,"")</f>
        <v>50</v>
      </c>
      <c r="BE188" s="76" t="str">
        <f>REPLACE(INDEX(GroupVertices[Group],MATCH(Edges[[#This Row],[Vertex 2]],GroupVertices[Vertex],0)),1,1,"")</f>
        <v>50</v>
      </c>
      <c r="BF188" s="31"/>
      <c r="BG188" s="31"/>
      <c r="BH188" s="31"/>
      <c r="BI188" s="31"/>
      <c r="BJ188" s="31"/>
      <c r="BK188" s="31"/>
      <c r="BL188" s="31"/>
      <c r="BM188" s="31"/>
      <c r="BN188" s="31"/>
    </row>
    <row r="189" spans="1:66" ht="15">
      <c r="A189" s="61" t="s">
        <v>366</v>
      </c>
      <c r="B189" s="61" t="s">
        <v>369</v>
      </c>
      <c r="C189" s="62"/>
      <c r="D189" s="63"/>
      <c r="E189" s="64"/>
      <c r="F189" s="65"/>
      <c r="G189" s="62"/>
      <c r="H189" s="66"/>
      <c r="I189" s="67"/>
      <c r="J189" s="67"/>
      <c r="K189" s="31" t="s">
        <v>65</v>
      </c>
      <c r="L189" s="75">
        <v>189</v>
      </c>
      <c r="M189" s="75"/>
      <c r="N189" s="69"/>
      <c r="O189" s="77" t="s">
        <v>447</v>
      </c>
      <c r="P189" s="79">
        <v>44968.87980324074</v>
      </c>
      <c r="Q189" s="77" t="s">
        <v>532</v>
      </c>
      <c r="R189" s="77"/>
      <c r="S189" s="77"/>
      <c r="T189" s="77"/>
      <c r="U189" s="80" t="str">
        <f>HYPERLINK("https://pbs.twimg.com/media/FotvMApakAAKNde.jpg")</f>
        <v>https://pbs.twimg.com/media/FotvMApakAAKNde.jpg</v>
      </c>
      <c r="V189" s="80" t="str">
        <f>HYPERLINK("https://pbs.twimg.com/media/FotvMApakAAKNde.jpg")</f>
        <v>https://pbs.twimg.com/media/FotvMApakAAKNde.jpg</v>
      </c>
      <c r="W189" s="79">
        <v>44968.87980324074</v>
      </c>
      <c r="X189" s="84">
        <v>44968</v>
      </c>
      <c r="Y189" s="81" t="s">
        <v>711</v>
      </c>
      <c r="Z189" s="80" t="str">
        <f>HYPERLINK("https://twitter.com/geetaofa/status/1624515349071933440")</f>
        <v>https://twitter.com/geetaofa/status/1624515349071933440</v>
      </c>
      <c r="AA189" s="77"/>
      <c r="AB189" s="77"/>
      <c r="AC189" s="81" t="s">
        <v>867</v>
      </c>
      <c r="AD189" s="77"/>
      <c r="AE189" s="77" t="b">
        <v>0</v>
      </c>
      <c r="AF189" s="77">
        <v>0</v>
      </c>
      <c r="AG189" s="81" t="s">
        <v>916</v>
      </c>
      <c r="AH189" s="77" t="b">
        <v>0</v>
      </c>
      <c r="AI189" s="77" t="s">
        <v>950</v>
      </c>
      <c r="AJ189" s="77"/>
      <c r="AK189" s="81" t="s">
        <v>916</v>
      </c>
      <c r="AL189" s="77" t="b">
        <v>0</v>
      </c>
      <c r="AM189" s="77">
        <v>2</v>
      </c>
      <c r="AN189" s="81" t="s">
        <v>870</v>
      </c>
      <c r="AO189" s="81" t="s">
        <v>959</v>
      </c>
      <c r="AP189" s="77" t="b">
        <v>0</v>
      </c>
      <c r="AQ189" s="81" t="s">
        <v>870</v>
      </c>
      <c r="AR189" s="77" t="s">
        <v>207</v>
      </c>
      <c r="AS189" s="77">
        <v>0</v>
      </c>
      <c r="AT189" s="77">
        <v>0</v>
      </c>
      <c r="AU189" s="77"/>
      <c r="AV189" s="77"/>
      <c r="AW189" s="77"/>
      <c r="AX189" s="77"/>
      <c r="AY189" s="77"/>
      <c r="AZ189" s="77"/>
      <c r="BA189" s="77"/>
      <c r="BB189" s="77"/>
      <c r="BC189">
        <v>1</v>
      </c>
      <c r="BD189" s="76" t="str">
        <f>REPLACE(INDEX(GroupVertices[Group],MATCH(Edges[[#This Row],[Vertex 1]],GroupVertices[Vertex],0)),1,1,"")</f>
        <v>16</v>
      </c>
      <c r="BE189" s="76" t="str">
        <f>REPLACE(INDEX(GroupVertices[Group],MATCH(Edges[[#This Row],[Vertex 2]],GroupVertices[Vertex],0)),1,1,"")</f>
        <v>16</v>
      </c>
      <c r="BF189" s="31"/>
      <c r="BG189" s="31"/>
      <c r="BH189" s="31"/>
      <c r="BI189" s="31"/>
      <c r="BJ189" s="31"/>
      <c r="BK189" s="31"/>
      <c r="BL189" s="31"/>
      <c r="BM189" s="31"/>
      <c r="BN189" s="31"/>
    </row>
    <row r="190" spans="1:66" ht="15">
      <c r="A190" s="61" t="s">
        <v>367</v>
      </c>
      <c r="B190" s="61" t="s">
        <v>435</v>
      </c>
      <c r="C190" s="62"/>
      <c r="D190" s="63"/>
      <c r="E190" s="64"/>
      <c r="F190" s="65"/>
      <c r="G190" s="62"/>
      <c r="H190" s="66"/>
      <c r="I190" s="67"/>
      <c r="J190" s="67"/>
      <c r="K190" s="31" t="s">
        <v>65</v>
      </c>
      <c r="L190" s="75">
        <v>190</v>
      </c>
      <c r="M190" s="75"/>
      <c r="N190" s="69"/>
      <c r="O190" s="77" t="s">
        <v>446</v>
      </c>
      <c r="P190" s="79">
        <v>44968.91979166667</v>
      </c>
      <c r="Q190" s="77" t="s">
        <v>533</v>
      </c>
      <c r="R190" s="77"/>
      <c r="S190" s="77"/>
      <c r="T190" s="77"/>
      <c r="U190" s="77"/>
      <c r="V190" s="80" t="str">
        <f>HYPERLINK("https://pbs.twimg.com/profile_images/1469082133222285314/bcU4KW_x_normal.jpg")</f>
        <v>https://pbs.twimg.com/profile_images/1469082133222285314/bcU4KW_x_normal.jpg</v>
      </c>
      <c r="W190" s="79">
        <v>44968.91979166667</v>
      </c>
      <c r="X190" s="84">
        <v>44968</v>
      </c>
      <c r="Y190" s="81" t="s">
        <v>712</v>
      </c>
      <c r="Z190" s="80" t="str">
        <f>HYPERLINK("https://twitter.com/mpoessel/status/1624529837447675904")</f>
        <v>https://twitter.com/mpoessel/status/1624529837447675904</v>
      </c>
      <c r="AA190" s="77"/>
      <c r="AB190" s="77"/>
      <c r="AC190" s="81" t="s">
        <v>868</v>
      </c>
      <c r="AD190" s="81" t="s">
        <v>910</v>
      </c>
      <c r="AE190" s="77" t="b">
        <v>0</v>
      </c>
      <c r="AF190" s="77">
        <v>0</v>
      </c>
      <c r="AG190" s="81" t="s">
        <v>944</v>
      </c>
      <c r="AH190" s="77" t="b">
        <v>0</v>
      </c>
      <c r="AI190" s="77" t="s">
        <v>950</v>
      </c>
      <c r="AJ190" s="77"/>
      <c r="AK190" s="81" t="s">
        <v>916</v>
      </c>
      <c r="AL190" s="77" t="b">
        <v>0</v>
      </c>
      <c r="AM190" s="77">
        <v>0</v>
      </c>
      <c r="AN190" s="81" t="s">
        <v>916</v>
      </c>
      <c r="AO190" s="81" t="s">
        <v>958</v>
      </c>
      <c r="AP190" s="77" t="b">
        <v>0</v>
      </c>
      <c r="AQ190" s="81" t="s">
        <v>910</v>
      </c>
      <c r="AR190" s="77" t="s">
        <v>207</v>
      </c>
      <c r="AS190" s="77">
        <v>0</v>
      </c>
      <c r="AT190" s="77">
        <v>0</v>
      </c>
      <c r="AU190" s="77"/>
      <c r="AV190" s="77"/>
      <c r="AW190" s="77"/>
      <c r="AX190" s="77"/>
      <c r="AY190" s="77"/>
      <c r="AZ190" s="77"/>
      <c r="BA190" s="77"/>
      <c r="BB190" s="77"/>
      <c r="BC190">
        <v>1</v>
      </c>
      <c r="BD190" s="76" t="str">
        <f>REPLACE(INDEX(GroupVertices[Group],MATCH(Edges[[#This Row],[Vertex 1]],GroupVertices[Vertex],0)),1,1,"")</f>
        <v>25</v>
      </c>
      <c r="BE190" s="76" t="str">
        <f>REPLACE(INDEX(GroupVertices[Group],MATCH(Edges[[#This Row],[Vertex 2]],GroupVertices[Vertex],0)),1,1,"")</f>
        <v>25</v>
      </c>
      <c r="BF190" s="31"/>
      <c r="BG190" s="31"/>
      <c r="BH190" s="31"/>
      <c r="BI190" s="31"/>
      <c r="BJ190" s="31"/>
      <c r="BK190" s="31"/>
      <c r="BL190" s="31"/>
      <c r="BM190" s="31"/>
      <c r="BN190" s="31"/>
    </row>
    <row r="191" spans="1:66" ht="15">
      <c r="A191" s="61" t="s">
        <v>368</v>
      </c>
      <c r="B191" s="61" t="s">
        <v>436</v>
      </c>
      <c r="C191" s="62"/>
      <c r="D191" s="63"/>
      <c r="E191" s="64"/>
      <c r="F191" s="65"/>
      <c r="G191" s="62"/>
      <c r="H191" s="66"/>
      <c r="I191" s="67"/>
      <c r="J191" s="67"/>
      <c r="K191" s="31" t="s">
        <v>65</v>
      </c>
      <c r="L191" s="75">
        <v>191</v>
      </c>
      <c r="M191" s="75"/>
      <c r="N191" s="69"/>
      <c r="O191" s="77" t="s">
        <v>446</v>
      </c>
      <c r="P191" s="79">
        <v>44969.02255787037</v>
      </c>
      <c r="Q191" s="77" t="s">
        <v>534</v>
      </c>
      <c r="R191" s="77"/>
      <c r="S191" s="77"/>
      <c r="T191" s="77"/>
      <c r="U191" s="77"/>
      <c r="V191" s="80" t="str">
        <f>HYPERLINK("https://abs.twimg.com/sticky/default_profile_images/default_profile_normal.png")</f>
        <v>https://abs.twimg.com/sticky/default_profile_images/default_profile_normal.png</v>
      </c>
      <c r="W191" s="79">
        <v>44969.02255787037</v>
      </c>
      <c r="X191" s="84">
        <v>44969</v>
      </c>
      <c r="Y191" s="81" t="s">
        <v>713</v>
      </c>
      <c r="Z191" s="80" t="str">
        <f>HYPERLINK("https://twitter.com/bluecopybook/status/1624567081047064577")</f>
        <v>https://twitter.com/bluecopybook/status/1624567081047064577</v>
      </c>
      <c r="AA191" s="77"/>
      <c r="AB191" s="77"/>
      <c r="AC191" s="81" t="s">
        <v>869</v>
      </c>
      <c r="AD191" s="81" t="s">
        <v>911</v>
      </c>
      <c r="AE191" s="77" t="b">
        <v>0</v>
      </c>
      <c r="AF191" s="77">
        <v>0</v>
      </c>
      <c r="AG191" s="81" t="s">
        <v>945</v>
      </c>
      <c r="AH191" s="77" t="b">
        <v>0</v>
      </c>
      <c r="AI191" s="77" t="s">
        <v>950</v>
      </c>
      <c r="AJ191" s="77"/>
      <c r="AK191" s="81" t="s">
        <v>916</v>
      </c>
      <c r="AL191" s="77" t="b">
        <v>0</v>
      </c>
      <c r="AM191" s="77">
        <v>0</v>
      </c>
      <c r="AN191" s="81" t="s">
        <v>916</v>
      </c>
      <c r="AO191" s="81" t="s">
        <v>958</v>
      </c>
      <c r="AP191" s="77" t="b">
        <v>0</v>
      </c>
      <c r="AQ191" s="81" t="s">
        <v>911</v>
      </c>
      <c r="AR191" s="77" t="s">
        <v>207</v>
      </c>
      <c r="AS191" s="77">
        <v>0</v>
      </c>
      <c r="AT191" s="77">
        <v>0</v>
      </c>
      <c r="AU191" s="77"/>
      <c r="AV191" s="77"/>
      <c r="AW191" s="77"/>
      <c r="AX191" s="77"/>
      <c r="AY191" s="77"/>
      <c r="AZ191" s="77"/>
      <c r="BA191" s="77"/>
      <c r="BB191" s="77"/>
      <c r="BC191">
        <v>1</v>
      </c>
      <c r="BD191" s="76" t="str">
        <f>REPLACE(INDEX(GroupVertices[Group],MATCH(Edges[[#This Row],[Vertex 1]],GroupVertices[Vertex],0)),1,1,"")</f>
        <v>24</v>
      </c>
      <c r="BE191" s="76" t="str">
        <f>REPLACE(INDEX(GroupVertices[Group],MATCH(Edges[[#This Row],[Vertex 2]],GroupVertices[Vertex],0)),1,1,"")</f>
        <v>24</v>
      </c>
      <c r="BF191" s="31"/>
      <c r="BG191" s="31"/>
      <c r="BH191" s="31"/>
      <c r="BI191" s="31"/>
      <c r="BJ191" s="31"/>
      <c r="BK191" s="31"/>
      <c r="BL191" s="31"/>
      <c r="BM191" s="31"/>
      <c r="BN191" s="31"/>
    </row>
    <row r="192" spans="1:66" ht="15">
      <c r="A192" s="61" t="s">
        <v>369</v>
      </c>
      <c r="B192" s="61" t="s">
        <v>369</v>
      </c>
      <c r="C192" s="62"/>
      <c r="D192" s="63"/>
      <c r="E192" s="64"/>
      <c r="F192" s="65"/>
      <c r="G192" s="62"/>
      <c r="H192" s="66"/>
      <c r="I192" s="67"/>
      <c r="J192" s="67"/>
      <c r="K192" s="31" t="s">
        <v>65</v>
      </c>
      <c r="L192" s="75">
        <v>192</v>
      </c>
      <c r="M192" s="75"/>
      <c r="N192" s="69"/>
      <c r="O192" s="77" t="s">
        <v>207</v>
      </c>
      <c r="P192" s="79">
        <v>44968.87758101852</v>
      </c>
      <c r="Q192" s="77" t="s">
        <v>532</v>
      </c>
      <c r="R192" s="77"/>
      <c r="S192" s="77"/>
      <c r="T192" s="77"/>
      <c r="U192" s="80" t="str">
        <f>HYPERLINK("https://pbs.twimg.com/media/FotvMApakAAKNde.jpg")</f>
        <v>https://pbs.twimg.com/media/FotvMApakAAKNde.jpg</v>
      </c>
      <c r="V192" s="80" t="str">
        <f>HYPERLINK("https://pbs.twimg.com/media/FotvMApakAAKNde.jpg")</f>
        <v>https://pbs.twimg.com/media/FotvMApakAAKNde.jpg</v>
      </c>
      <c r="W192" s="79">
        <v>44968.87758101852</v>
      </c>
      <c r="X192" s="84">
        <v>44968</v>
      </c>
      <c r="Y192" s="81" t="s">
        <v>714</v>
      </c>
      <c r="Z192" s="80" t="str">
        <f>HYPERLINK("https://twitter.com/pseudofijian/status/1624514540577914880")</f>
        <v>https://twitter.com/pseudofijian/status/1624514540577914880</v>
      </c>
      <c r="AA192" s="77"/>
      <c r="AB192" s="77"/>
      <c r="AC192" s="81" t="s">
        <v>870</v>
      </c>
      <c r="AD192" s="77"/>
      <c r="AE192" s="77" t="b">
        <v>0</v>
      </c>
      <c r="AF192" s="77">
        <v>53</v>
      </c>
      <c r="AG192" s="81" t="s">
        <v>916</v>
      </c>
      <c r="AH192" s="77" t="b">
        <v>0</v>
      </c>
      <c r="AI192" s="77" t="s">
        <v>950</v>
      </c>
      <c r="AJ192" s="77"/>
      <c r="AK192" s="81" t="s">
        <v>916</v>
      </c>
      <c r="AL192" s="77" t="b">
        <v>0</v>
      </c>
      <c r="AM192" s="77">
        <v>2</v>
      </c>
      <c r="AN192" s="81" t="s">
        <v>916</v>
      </c>
      <c r="AO192" s="81" t="s">
        <v>957</v>
      </c>
      <c r="AP192" s="77" t="b">
        <v>0</v>
      </c>
      <c r="AQ192" s="81" t="s">
        <v>870</v>
      </c>
      <c r="AR192" s="77" t="s">
        <v>207</v>
      </c>
      <c r="AS192" s="77">
        <v>0</v>
      </c>
      <c r="AT192" s="77">
        <v>0</v>
      </c>
      <c r="AU192" s="77"/>
      <c r="AV192" s="77"/>
      <c r="AW192" s="77"/>
      <c r="AX192" s="77"/>
      <c r="AY192" s="77"/>
      <c r="AZ192" s="77"/>
      <c r="BA192" s="77"/>
      <c r="BB192" s="77"/>
      <c r="BC192">
        <v>1</v>
      </c>
      <c r="BD192" s="76" t="str">
        <f>REPLACE(INDEX(GroupVertices[Group],MATCH(Edges[[#This Row],[Vertex 1]],GroupVertices[Vertex],0)),1,1,"")</f>
        <v>16</v>
      </c>
      <c r="BE192" s="76" t="str">
        <f>REPLACE(INDEX(GroupVertices[Group],MATCH(Edges[[#This Row],[Vertex 2]],GroupVertices[Vertex],0)),1,1,"")</f>
        <v>16</v>
      </c>
      <c r="BF192" s="31"/>
      <c r="BG192" s="31"/>
      <c r="BH192" s="31"/>
      <c r="BI192" s="31"/>
      <c r="BJ192" s="31"/>
      <c r="BK192" s="31"/>
      <c r="BL192" s="31"/>
      <c r="BM192" s="31"/>
      <c r="BN192" s="31"/>
    </row>
    <row r="193" spans="1:66" ht="15">
      <c r="A193" s="61" t="s">
        <v>370</v>
      </c>
      <c r="B193" s="61" t="s">
        <v>369</v>
      </c>
      <c r="C193" s="62"/>
      <c r="D193" s="63"/>
      <c r="E193" s="64"/>
      <c r="F193" s="65"/>
      <c r="G193" s="62"/>
      <c r="H193" s="66"/>
      <c r="I193" s="67"/>
      <c r="J193" s="67"/>
      <c r="K193" s="31" t="s">
        <v>65</v>
      </c>
      <c r="L193" s="75">
        <v>193</v>
      </c>
      <c r="M193" s="75"/>
      <c r="N193" s="69"/>
      <c r="O193" s="77" t="s">
        <v>447</v>
      </c>
      <c r="P193" s="79">
        <v>44969.04869212963</v>
      </c>
      <c r="Q193" s="77" t="s">
        <v>532</v>
      </c>
      <c r="R193" s="77"/>
      <c r="S193" s="77"/>
      <c r="T193" s="77"/>
      <c r="U193" s="80" t="str">
        <f>HYPERLINK("https://pbs.twimg.com/media/FotvMApakAAKNde.jpg")</f>
        <v>https://pbs.twimg.com/media/FotvMApakAAKNde.jpg</v>
      </c>
      <c r="V193" s="80" t="str">
        <f>HYPERLINK("https://pbs.twimg.com/media/FotvMApakAAKNde.jpg")</f>
        <v>https://pbs.twimg.com/media/FotvMApakAAKNde.jpg</v>
      </c>
      <c r="W193" s="79">
        <v>44969.04869212963</v>
      </c>
      <c r="X193" s="84">
        <v>44969</v>
      </c>
      <c r="Y193" s="81" t="s">
        <v>715</v>
      </c>
      <c r="Z193" s="80" t="str">
        <f>HYPERLINK("https://twitter.com/aoneesharun/status/1624576551496060929")</f>
        <v>https://twitter.com/aoneesharun/status/1624576551496060929</v>
      </c>
      <c r="AA193" s="77"/>
      <c r="AB193" s="77"/>
      <c r="AC193" s="81" t="s">
        <v>871</v>
      </c>
      <c r="AD193" s="77"/>
      <c r="AE193" s="77" t="b">
        <v>0</v>
      </c>
      <c r="AF193" s="77">
        <v>0</v>
      </c>
      <c r="AG193" s="81" t="s">
        <v>916</v>
      </c>
      <c r="AH193" s="77" t="b">
        <v>0</v>
      </c>
      <c r="AI193" s="77" t="s">
        <v>950</v>
      </c>
      <c r="AJ193" s="77"/>
      <c r="AK193" s="81" t="s">
        <v>916</v>
      </c>
      <c r="AL193" s="77" t="b">
        <v>0</v>
      </c>
      <c r="AM193" s="77">
        <v>2</v>
      </c>
      <c r="AN193" s="81" t="s">
        <v>870</v>
      </c>
      <c r="AO193" s="81" t="s">
        <v>957</v>
      </c>
      <c r="AP193" s="77" t="b">
        <v>0</v>
      </c>
      <c r="AQ193" s="81" t="s">
        <v>870</v>
      </c>
      <c r="AR193" s="77" t="s">
        <v>207</v>
      </c>
      <c r="AS193" s="77">
        <v>0</v>
      </c>
      <c r="AT193" s="77">
        <v>0</v>
      </c>
      <c r="AU193" s="77"/>
      <c r="AV193" s="77"/>
      <c r="AW193" s="77"/>
      <c r="AX193" s="77"/>
      <c r="AY193" s="77"/>
      <c r="AZ193" s="77"/>
      <c r="BA193" s="77"/>
      <c r="BB193" s="77"/>
      <c r="BC193">
        <v>1</v>
      </c>
      <c r="BD193" s="76" t="str">
        <f>REPLACE(INDEX(GroupVertices[Group],MATCH(Edges[[#This Row],[Vertex 1]],GroupVertices[Vertex],0)),1,1,"")</f>
        <v>16</v>
      </c>
      <c r="BE193" s="76" t="str">
        <f>REPLACE(INDEX(GroupVertices[Group],MATCH(Edges[[#This Row],[Vertex 2]],GroupVertices[Vertex],0)),1,1,"")</f>
        <v>16</v>
      </c>
      <c r="BF193" s="31"/>
      <c r="BG193" s="31"/>
      <c r="BH193" s="31"/>
      <c r="BI193" s="31"/>
      <c r="BJ193" s="31"/>
      <c r="BK193" s="31"/>
      <c r="BL193" s="31"/>
      <c r="BM193" s="31"/>
      <c r="BN193" s="31"/>
    </row>
    <row r="194" spans="1:66" ht="15">
      <c r="A194" s="61" t="s">
        <v>371</v>
      </c>
      <c r="B194" s="61" t="s">
        <v>437</v>
      </c>
      <c r="C194" s="62"/>
      <c r="D194" s="63"/>
      <c r="E194" s="64"/>
      <c r="F194" s="65"/>
      <c r="G194" s="62"/>
      <c r="H194" s="66"/>
      <c r="I194" s="67"/>
      <c r="J194" s="67"/>
      <c r="K194" s="31" t="s">
        <v>65</v>
      </c>
      <c r="L194" s="75">
        <v>194</v>
      </c>
      <c r="M194" s="75"/>
      <c r="N194" s="69"/>
      <c r="O194" s="77" t="s">
        <v>446</v>
      </c>
      <c r="P194" s="79">
        <v>44969.14465277778</v>
      </c>
      <c r="Q194" s="77" t="s">
        <v>535</v>
      </c>
      <c r="R194" s="77"/>
      <c r="S194" s="77"/>
      <c r="T194" s="81" t="s">
        <v>428</v>
      </c>
      <c r="U194" s="77"/>
      <c r="V194" s="80" t="str">
        <f>HYPERLINK("https://pbs.twimg.com/profile_images/1603716483217231877/o1LDPNiV_normal.jpg")</f>
        <v>https://pbs.twimg.com/profile_images/1603716483217231877/o1LDPNiV_normal.jpg</v>
      </c>
      <c r="W194" s="79">
        <v>44969.14465277778</v>
      </c>
      <c r="X194" s="84">
        <v>44969</v>
      </c>
      <c r="Y194" s="81" t="s">
        <v>716</v>
      </c>
      <c r="Z194" s="80" t="str">
        <f>HYPERLINK("https://twitter.com/abraxasulysses/status/1624611326449586178")</f>
        <v>https://twitter.com/abraxasulysses/status/1624611326449586178</v>
      </c>
      <c r="AA194" s="77"/>
      <c r="AB194" s="77"/>
      <c r="AC194" s="81" t="s">
        <v>872</v>
      </c>
      <c r="AD194" s="81" t="s">
        <v>912</v>
      </c>
      <c r="AE194" s="77" t="b">
        <v>0</v>
      </c>
      <c r="AF194" s="77">
        <v>0</v>
      </c>
      <c r="AG194" s="81" t="s">
        <v>946</v>
      </c>
      <c r="AH194" s="77" t="b">
        <v>0</v>
      </c>
      <c r="AI194" s="77" t="s">
        <v>950</v>
      </c>
      <c r="AJ194" s="77"/>
      <c r="AK194" s="81" t="s">
        <v>916</v>
      </c>
      <c r="AL194" s="77" t="b">
        <v>0</v>
      </c>
      <c r="AM194" s="77">
        <v>0</v>
      </c>
      <c r="AN194" s="81" t="s">
        <v>916</v>
      </c>
      <c r="AO194" s="81" t="s">
        <v>959</v>
      </c>
      <c r="AP194" s="77" t="b">
        <v>0</v>
      </c>
      <c r="AQ194" s="81" t="s">
        <v>912</v>
      </c>
      <c r="AR194" s="77" t="s">
        <v>207</v>
      </c>
      <c r="AS194" s="77">
        <v>0</v>
      </c>
      <c r="AT194" s="77">
        <v>0</v>
      </c>
      <c r="AU194" s="77"/>
      <c r="AV194" s="77"/>
      <c r="AW194" s="77"/>
      <c r="AX194" s="77"/>
      <c r="AY194" s="77"/>
      <c r="AZ194" s="77"/>
      <c r="BA194" s="77"/>
      <c r="BB194" s="77"/>
      <c r="BC194">
        <v>1</v>
      </c>
      <c r="BD194" s="76" t="str">
        <f>REPLACE(INDEX(GroupVertices[Group],MATCH(Edges[[#This Row],[Vertex 1]],GroupVertices[Vertex],0)),1,1,"")</f>
        <v>23</v>
      </c>
      <c r="BE194" s="76" t="str">
        <f>REPLACE(INDEX(GroupVertices[Group],MATCH(Edges[[#This Row],[Vertex 2]],GroupVertices[Vertex],0)),1,1,"")</f>
        <v>23</v>
      </c>
      <c r="BF194" s="31"/>
      <c r="BG194" s="31"/>
      <c r="BH194" s="31"/>
      <c r="BI194" s="31"/>
      <c r="BJ194" s="31"/>
      <c r="BK194" s="31"/>
      <c r="BL194" s="31"/>
      <c r="BM194" s="31"/>
      <c r="BN194" s="31"/>
    </row>
    <row r="195" spans="1:66" ht="15">
      <c r="A195" s="61" t="s">
        <v>372</v>
      </c>
      <c r="B195" s="61" t="s">
        <v>438</v>
      </c>
      <c r="C195" s="62"/>
      <c r="D195" s="63"/>
      <c r="E195" s="64"/>
      <c r="F195" s="65"/>
      <c r="G195" s="62"/>
      <c r="H195" s="66"/>
      <c r="I195" s="67"/>
      <c r="J195" s="67"/>
      <c r="K195" s="31" t="s">
        <v>65</v>
      </c>
      <c r="L195" s="75">
        <v>195</v>
      </c>
      <c r="M195" s="75"/>
      <c r="N195" s="69"/>
      <c r="O195" s="77" t="s">
        <v>448</v>
      </c>
      <c r="P195" s="79">
        <v>44969.28668981481</v>
      </c>
      <c r="Q195" s="77" t="s">
        <v>536</v>
      </c>
      <c r="R195" s="77"/>
      <c r="S195" s="77"/>
      <c r="T195" s="77"/>
      <c r="U195" s="77"/>
      <c r="V195" s="80" t="str">
        <f>HYPERLINK("https://pbs.twimg.com/profile_images/1610478885711249408/L1eGoilG_normal.jpg")</f>
        <v>https://pbs.twimg.com/profile_images/1610478885711249408/L1eGoilG_normal.jpg</v>
      </c>
      <c r="W195" s="79">
        <v>44969.28668981481</v>
      </c>
      <c r="X195" s="84">
        <v>44969</v>
      </c>
      <c r="Y195" s="81" t="s">
        <v>717</v>
      </c>
      <c r="Z195" s="80" t="str">
        <f>HYPERLINK("https://twitter.com/baha_tyler/status/1624662797471608832")</f>
        <v>https://twitter.com/baha_tyler/status/1624662797471608832</v>
      </c>
      <c r="AA195" s="77"/>
      <c r="AB195" s="77"/>
      <c r="AC195" s="81" t="s">
        <v>873</v>
      </c>
      <c r="AD195" s="81" t="s">
        <v>913</v>
      </c>
      <c r="AE195" s="77" t="b">
        <v>0</v>
      </c>
      <c r="AF195" s="77">
        <v>0</v>
      </c>
      <c r="AG195" s="81" t="s">
        <v>947</v>
      </c>
      <c r="AH195" s="77" t="b">
        <v>0</v>
      </c>
      <c r="AI195" s="77" t="s">
        <v>950</v>
      </c>
      <c r="AJ195" s="77"/>
      <c r="AK195" s="81" t="s">
        <v>916</v>
      </c>
      <c r="AL195" s="77" t="b">
        <v>0</v>
      </c>
      <c r="AM195" s="77">
        <v>0</v>
      </c>
      <c r="AN195" s="81" t="s">
        <v>916</v>
      </c>
      <c r="AO195" s="81" t="s">
        <v>959</v>
      </c>
      <c r="AP195" s="77" t="b">
        <v>0</v>
      </c>
      <c r="AQ195" s="81" t="s">
        <v>913</v>
      </c>
      <c r="AR195" s="77" t="s">
        <v>207</v>
      </c>
      <c r="AS195" s="77">
        <v>0</v>
      </c>
      <c r="AT195" s="77">
        <v>0</v>
      </c>
      <c r="AU195" s="77"/>
      <c r="AV195" s="77"/>
      <c r="AW195" s="77"/>
      <c r="AX195" s="77"/>
      <c r="AY195" s="77"/>
      <c r="AZ195" s="77"/>
      <c r="BA195" s="77"/>
      <c r="BB195" s="77"/>
      <c r="BC195">
        <v>1</v>
      </c>
      <c r="BD195" s="76" t="str">
        <f>REPLACE(INDEX(GroupVertices[Group],MATCH(Edges[[#This Row],[Vertex 1]],GroupVertices[Vertex],0)),1,1,"")</f>
        <v>15</v>
      </c>
      <c r="BE195" s="76" t="str">
        <f>REPLACE(INDEX(GroupVertices[Group],MATCH(Edges[[#This Row],[Vertex 2]],GroupVertices[Vertex],0)),1,1,"")</f>
        <v>15</v>
      </c>
      <c r="BF195" s="31"/>
      <c r="BG195" s="31"/>
      <c r="BH195" s="31"/>
      <c r="BI195" s="31"/>
      <c r="BJ195" s="31"/>
      <c r="BK195" s="31"/>
      <c r="BL195" s="31"/>
      <c r="BM195" s="31"/>
      <c r="BN195" s="31"/>
    </row>
    <row r="196" spans="1:66" ht="15">
      <c r="A196" s="61" t="s">
        <v>372</v>
      </c>
      <c r="B196" s="61" t="s">
        <v>439</v>
      </c>
      <c r="C196" s="62"/>
      <c r="D196" s="63"/>
      <c r="E196" s="64"/>
      <c r="F196" s="65"/>
      <c r="G196" s="62"/>
      <c r="H196" s="66"/>
      <c r="I196" s="67"/>
      <c r="J196" s="67"/>
      <c r="K196" s="31" t="s">
        <v>65</v>
      </c>
      <c r="L196" s="75">
        <v>196</v>
      </c>
      <c r="M196" s="75"/>
      <c r="N196" s="69"/>
      <c r="O196" s="77" t="s">
        <v>446</v>
      </c>
      <c r="P196" s="79">
        <v>44969.28668981481</v>
      </c>
      <c r="Q196" s="77" t="s">
        <v>536</v>
      </c>
      <c r="R196" s="77"/>
      <c r="S196" s="77"/>
      <c r="T196" s="77"/>
      <c r="U196" s="77"/>
      <c r="V196" s="80" t="str">
        <f>HYPERLINK("https://pbs.twimg.com/profile_images/1610478885711249408/L1eGoilG_normal.jpg")</f>
        <v>https://pbs.twimg.com/profile_images/1610478885711249408/L1eGoilG_normal.jpg</v>
      </c>
      <c r="W196" s="79">
        <v>44969.28668981481</v>
      </c>
      <c r="X196" s="84">
        <v>44969</v>
      </c>
      <c r="Y196" s="81" t="s">
        <v>717</v>
      </c>
      <c r="Z196" s="80" t="str">
        <f>HYPERLINK("https://twitter.com/baha_tyler/status/1624662797471608832")</f>
        <v>https://twitter.com/baha_tyler/status/1624662797471608832</v>
      </c>
      <c r="AA196" s="77"/>
      <c r="AB196" s="77"/>
      <c r="AC196" s="81" t="s">
        <v>873</v>
      </c>
      <c r="AD196" s="81" t="s">
        <v>913</v>
      </c>
      <c r="AE196" s="77" t="b">
        <v>0</v>
      </c>
      <c r="AF196" s="77">
        <v>0</v>
      </c>
      <c r="AG196" s="81" t="s">
        <v>947</v>
      </c>
      <c r="AH196" s="77" t="b">
        <v>0</v>
      </c>
      <c r="AI196" s="77" t="s">
        <v>950</v>
      </c>
      <c r="AJ196" s="77"/>
      <c r="AK196" s="81" t="s">
        <v>916</v>
      </c>
      <c r="AL196" s="77" t="b">
        <v>0</v>
      </c>
      <c r="AM196" s="77">
        <v>0</v>
      </c>
      <c r="AN196" s="81" t="s">
        <v>916</v>
      </c>
      <c r="AO196" s="81" t="s">
        <v>959</v>
      </c>
      <c r="AP196" s="77" t="b">
        <v>0</v>
      </c>
      <c r="AQ196" s="81" t="s">
        <v>913</v>
      </c>
      <c r="AR196" s="77" t="s">
        <v>207</v>
      </c>
      <c r="AS196" s="77">
        <v>0</v>
      </c>
      <c r="AT196" s="77">
        <v>0</v>
      </c>
      <c r="AU196" s="77"/>
      <c r="AV196" s="77"/>
      <c r="AW196" s="77"/>
      <c r="AX196" s="77"/>
      <c r="AY196" s="77"/>
      <c r="AZ196" s="77"/>
      <c r="BA196" s="77"/>
      <c r="BB196" s="77"/>
      <c r="BC196">
        <v>1</v>
      </c>
      <c r="BD196" s="76" t="str">
        <f>REPLACE(INDEX(GroupVertices[Group],MATCH(Edges[[#This Row],[Vertex 1]],GroupVertices[Vertex],0)),1,1,"")</f>
        <v>15</v>
      </c>
      <c r="BE196" s="76" t="str">
        <f>REPLACE(INDEX(GroupVertices[Group],MATCH(Edges[[#This Row],[Vertex 2]],GroupVertices[Vertex],0)),1,1,"")</f>
        <v>15</v>
      </c>
      <c r="BF196" s="31"/>
      <c r="BG196" s="31"/>
      <c r="BH196" s="31"/>
      <c r="BI196" s="31"/>
      <c r="BJ196" s="31"/>
      <c r="BK196" s="31"/>
      <c r="BL196" s="31"/>
      <c r="BM196" s="31"/>
      <c r="BN196" s="31"/>
    </row>
    <row r="197" spans="1:66" ht="15">
      <c r="A197" s="61" t="s">
        <v>373</v>
      </c>
      <c r="B197" s="61" t="s">
        <v>373</v>
      </c>
      <c r="C197" s="62"/>
      <c r="D197" s="63"/>
      <c r="E197" s="64"/>
      <c r="F197" s="65"/>
      <c r="G197" s="62"/>
      <c r="H197" s="66"/>
      <c r="I197" s="67"/>
      <c r="J197" s="67"/>
      <c r="K197" s="31" t="s">
        <v>65</v>
      </c>
      <c r="L197" s="75">
        <v>197</v>
      </c>
      <c r="M197" s="75"/>
      <c r="N197" s="69"/>
      <c r="O197" s="77" t="s">
        <v>207</v>
      </c>
      <c r="P197" s="79">
        <v>44969.38815972222</v>
      </c>
      <c r="Q197" s="77" t="s">
        <v>537</v>
      </c>
      <c r="R197" s="80" t="str">
        <f>HYPERLINK("https://thenewdaily.com.au/life/tech/2023/02/09/chatgpt-ai-future-kohler/")</f>
        <v>https://thenewdaily.com.au/life/tech/2023/02/09/chatgpt-ai-future-kohler/</v>
      </c>
      <c r="S197" s="77" t="s">
        <v>552</v>
      </c>
      <c r="T197" s="77"/>
      <c r="U197" s="77"/>
      <c r="V197" s="80" t="str">
        <f>HYPERLINK("https://pbs.twimg.com/profile_images/1298390669766008832/lIfDJ0sB_normal.jpg")</f>
        <v>https://pbs.twimg.com/profile_images/1298390669766008832/lIfDJ0sB_normal.jpg</v>
      </c>
      <c r="W197" s="79">
        <v>44969.38815972222</v>
      </c>
      <c r="X197" s="84">
        <v>44969</v>
      </c>
      <c r="Y197" s="81" t="s">
        <v>718</v>
      </c>
      <c r="Z197" s="80" t="str">
        <f>HYPERLINK("https://twitter.com/alexdunnin/status/1624699568691748865")</f>
        <v>https://twitter.com/alexdunnin/status/1624699568691748865</v>
      </c>
      <c r="AA197" s="77"/>
      <c r="AB197" s="77"/>
      <c r="AC197" s="81" t="s">
        <v>874</v>
      </c>
      <c r="AD197" s="77"/>
      <c r="AE197" s="77" t="b">
        <v>0</v>
      </c>
      <c r="AF197" s="77">
        <v>0</v>
      </c>
      <c r="AG197" s="81" t="s">
        <v>916</v>
      </c>
      <c r="AH197" s="77" t="b">
        <v>0</v>
      </c>
      <c r="AI197" s="77" t="s">
        <v>950</v>
      </c>
      <c r="AJ197" s="77"/>
      <c r="AK197" s="81" t="s">
        <v>916</v>
      </c>
      <c r="AL197" s="77" t="b">
        <v>0</v>
      </c>
      <c r="AM197" s="77">
        <v>0</v>
      </c>
      <c r="AN197" s="81" t="s">
        <v>916</v>
      </c>
      <c r="AO197" s="81" t="s">
        <v>957</v>
      </c>
      <c r="AP197" s="77" t="b">
        <v>0</v>
      </c>
      <c r="AQ197" s="81" t="s">
        <v>874</v>
      </c>
      <c r="AR197" s="77" t="s">
        <v>207</v>
      </c>
      <c r="AS197" s="77">
        <v>0</v>
      </c>
      <c r="AT197" s="77">
        <v>0</v>
      </c>
      <c r="AU197" s="77"/>
      <c r="AV197" s="77"/>
      <c r="AW197" s="77"/>
      <c r="AX197" s="77"/>
      <c r="AY197" s="77"/>
      <c r="AZ197" s="77"/>
      <c r="BA197" s="77"/>
      <c r="BB197" s="77"/>
      <c r="BC197">
        <v>1</v>
      </c>
      <c r="BD197" s="76" t="str">
        <f>REPLACE(INDEX(GroupVertices[Group],MATCH(Edges[[#This Row],[Vertex 1]],GroupVertices[Vertex],0)),1,1,"")</f>
        <v>49</v>
      </c>
      <c r="BE197" s="76" t="str">
        <f>REPLACE(INDEX(GroupVertices[Group],MATCH(Edges[[#This Row],[Vertex 2]],GroupVertices[Vertex],0)),1,1,"")</f>
        <v>49</v>
      </c>
      <c r="BF197" s="31"/>
      <c r="BG197" s="31"/>
      <c r="BH197" s="31"/>
      <c r="BI197" s="31"/>
      <c r="BJ197" s="31"/>
      <c r="BK197" s="31"/>
      <c r="BL197" s="31"/>
      <c r="BM197" s="31"/>
      <c r="BN197" s="31"/>
    </row>
    <row r="198" spans="1:66" ht="15">
      <c r="A198" s="61" t="s">
        <v>374</v>
      </c>
      <c r="B198" s="61" t="s">
        <v>388</v>
      </c>
      <c r="C198" s="62"/>
      <c r="D198" s="63"/>
      <c r="E198" s="64"/>
      <c r="F198" s="65"/>
      <c r="G198" s="62"/>
      <c r="H198" s="66"/>
      <c r="I198" s="67"/>
      <c r="J198" s="67"/>
      <c r="K198" s="31" t="s">
        <v>65</v>
      </c>
      <c r="L198" s="75">
        <v>198</v>
      </c>
      <c r="M198" s="75"/>
      <c r="N198" s="69"/>
      <c r="O198" s="77" t="s">
        <v>448</v>
      </c>
      <c r="P198" s="79">
        <v>44969.436319444445</v>
      </c>
      <c r="Q198" s="77" t="s">
        <v>538</v>
      </c>
      <c r="R198" s="77"/>
      <c r="S198" s="77"/>
      <c r="T198" s="81" t="s">
        <v>571</v>
      </c>
      <c r="U198" s="80" t="str">
        <f>HYPERLINK("https://pbs.twimg.com/media/FownhUxXwAA4Emi.jpg")</f>
        <v>https://pbs.twimg.com/media/FownhUxXwAA4Emi.jpg</v>
      </c>
      <c r="V198" s="80" t="str">
        <f>HYPERLINK("https://pbs.twimg.com/media/FownhUxXwAA4Emi.jpg")</f>
        <v>https://pbs.twimg.com/media/FownhUxXwAA4Emi.jpg</v>
      </c>
      <c r="W198" s="79">
        <v>44969.436319444445</v>
      </c>
      <c r="X198" s="84">
        <v>44969</v>
      </c>
      <c r="Y198" s="81" t="s">
        <v>719</v>
      </c>
      <c r="Z198" s="80" t="str">
        <f>HYPERLINK("https://twitter.com/tangeuk/status/1624717023790891014")</f>
        <v>https://twitter.com/tangeuk/status/1624717023790891014</v>
      </c>
      <c r="AA198" s="77"/>
      <c r="AB198" s="77"/>
      <c r="AC198" s="81" t="s">
        <v>875</v>
      </c>
      <c r="AD198" s="77"/>
      <c r="AE198" s="77" t="b">
        <v>0</v>
      </c>
      <c r="AF198" s="77">
        <v>5</v>
      </c>
      <c r="AG198" s="81" t="s">
        <v>916</v>
      </c>
      <c r="AH198" s="77" t="b">
        <v>0</v>
      </c>
      <c r="AI198" s="77" t="s">
        <v>950</v>
      </c>
      <c r="AJ198" s="77"/>
      <c r="AK198" s="81" t="s">
        <v>916</v>
      </c>
      <c r="AL198" s="77" t="b">
        <v>0</v>
      </c>
      <c r="AM198" s="77">
        <v>0</v>
      </c>
      <c r="AN198" s="81" t="s">
        <v>916</v>
      </c>
      <c r="AO198" s="81" t="s">
        <v>960</v>
      </c>
      <c r="AP198" s="77" t="b">
        <v>0</v>
      </c>
      <c r="AQ198" s="81" t="s">
        <v>875</v>
      </c>
      <c r="AR198" s="77" t="s">
        <v>207</v>
      </c>
      <c r="AS198" s="77">
        <v>0</v>
      </c>
      <c r="AT198" s="77">
        <v>0</v>
      </c>
      <c r="AU198" s="77"/>
      <c r="AV198" s="77"/>
      <c r="AW198" s="77"/>
      <c r="AX198" s="77"/>
      <c r="AY198" s="77"/>
      <c r="AZ198" s="77"/>
      <c r="BA198" s="77"/>
      <c r="BB198" s="77"/>
      <c r="BC198">
        <v>1</v>
      </c>
      <c r="BD198" s="76" t="str">
        <f>REPLACE(INDEX(GroupVertices[Group],MATCH(Edges[[#This Row],[Vertex 1]],GroupVertices[Vertex],0)),1,1,"")</f>
        <v>7</v>
      </c>
      <c r="BE198" s="76" t="str">
        <f>REPLACE(INDEX(GroupVertices[Group],MATCH(Edges[[#This Row],[Vertex 2]],GroupVertices[Vertex],0)),1,1,"")</f>
        <v>7</v>
      </c>
      <c r="BF198" s="31"/>
      <c r="BG198" s="31"/>
      <c r="BH198" s="31"/>
      <c r="BI198" s="31"/>
      <c r="BJ198" s="31"/>
      <c r="BK198" s="31"/>
      <c r="BL198" s="31"/>
      <c r="BM198" s="31"/>
      <c r="BN198" s="31"/>
    </row>
    <row r="199" spans="1:66" ht="15">
      <c r="A199" s="61" t="s">
        <v>375</v>
      </c>
      <c r="B199" s="61" t="s">
        <v>375</v>
      </c>
      <c r="C199" s="62"/>
      <c r="D199" s="63"/>
      <c r="E199" s="64"/>
      <c r="F199" s="65"/>
      <c r="G199" s="62"/>
      <c r="H199" s="66"/>
      <c r="I199" s="67"/>
      <c r="J199" s="67"/>
      <c r="K199" s="31" t="s">
        <v>65</v>
      </c>
      <c r="L199" s="75">
        <v>199</v>
      </c>
      <c r="M199" s="75"/>
      <c r="N199" s="69"/>
      <c r="O199" s="77" t="s">
        <v>207</v>
      </c>
      <c r="P199" s="79">
        <v>44969.49909722222</v>
      </c>
      <c r="Q199" s="77" t="s">
        <v>539</v>
      </c>
      <c r="R199" s="80" t="str">
        <f>HYPERLINK("https://thenewdaily.com.au/life/tech/2023/02/09/chatgpt-ai-future-kohler/")</f>
        <v>https://thenewdaily.com.au/life/tech/2023/02/09/chatgpt-ai-future-kohler/</v>
      </c>
      <c r="S199" s="77" t="s">
        <v>552</v>
      </c>
      <c r="T199" s="81" t="s">
        <v>572</v>
      </c>
      <c r="U199" s="77"/>
      <c r="V199" s="80" t="str">
        <f>HYPERLINK("https://pbs.twimg.com/profile_images/1336824938544517120/0p3LLrYe_normal.jpg")</f>
        <v>https://pbs.twimg.com/profile_images/1336824938544517120/0p3LLrYe_normal.jpg</v>
      </c>
      <c r="W199" s="79">
        <v>44969.49909722222</v>
      </c>
      <c r="X199" s="84">
        <v>44969</v>
      </c>
      <c r="Y199" s="81" t="s">
        <v>720</v>
      </c>
      <c r="Z199" s="80" t="str">
        <f>HYPERLINK("https://twitter.com/fernandolongooz/status/1624739772446154752")</f>
        <v>https://twitter.com/fernandolongooz/status/1624739772446154752</v>
      </c>
      <c r="AA199" s="77"/>
      <c r="AB199" s="77"/>
      <c r="AC199" s="81" t="s">
        <v>876</v>
      </c>
      <c r="AD199" s="77"/>
      <c r="AE199" s="77" t="b">
        <v>0</v>
      </c>
      <c r="AF199" s="77">
        <v>1</v>
      </c>
      <c r="AG199" s="81" t="s">
        <v>916</v>
      </c>
      <c r="AH199" s="77" t="b">
        <v>0</v>
      </c>
      <c r="AI199" s="77" t="s">
        <v>950</v>
      </c>
      <c r="AJ199" s="77"/>
      <c r="AK199" s="81" t="s">
        <v>916</v>
      </c>
      <c r="AL199" s="77" t="b">
        <v>0</v>
      </c>
      <c r="AM199" s="77">
        <v>1</v>
      </c>
      <c r="AN199" s="81" t="s">
        <v>916</v>
      </c>
      <c r="AO199" s="81" t="s">
        <v>958</v>
      </c>
      <c r="AP199" s="77" t="b">
        <v>0</v>
      </c>
      <c r="AQ199" s="81" t="s">
        <v>876</v>
      </c>
      <c r="AR199" s="77" t="s">
        <v>207</v>
      </c>
      <c r="AS199" s="77">
        <v>0</v>
      </c>
      <c r="AT199" s="77">
        <v>0</v>
      </c>
      <c r="AU199" s="77"/>
      <c r="AV199" s="77"/>
      <c r="AW199" s="77"/>
      <c r="AX199" s="77"/>
      <c r="AY199" s="77"/>
      <c r="AZ199" s="77"/>
      <c r="BA199" s="77"/>
      <c r="BB199" s="77"/>
      <c r="BC199">
        <v>1</v>
      </c>
      <c r="BD199" s="76" t="str">
        <f>REPLACE(INDEX(GroupVertices[Group],MATCH(Edges[[#This Row],[Vertex 1]],GroupVertices[Vertex],0)),1,1,"")</f>
        <v>22</v>
      </c>
      <c r="BE199" s="76" t="str">
        <f>REPLACE(INDEX(GroupVertices[Group],MATCH(Edges[[#This Row],[Vertex 2]],GroupVertices[Vertex],0)),1,1,"")</f>
        <v>22</v>
      </c>
      <c r="BF199" s="31"/>
      <c r="BG199" s="31"/>
      <c r="BH199" s="31"/>
      <c r="BI199" s="31"/>
      <c r="BJ199" s="31"/>
      <c r="BK199" s="31"/>
      <c r="BL199" s="31"/>
      <c r="BM199" s="31"/>
      <c r="BN199" s="31"/>
    </row>
    <row r="200" spans="1:66" ht="15">
      <c r="A200" s="61" t="s">
        <v>376</v>
      </c>
      <c r="B200" s="61" t="s">
        <v>375</v>
      </c>
      <c r="C200" s="62"/>
      <c r="D200" s="63"/>
      <c r="E200" s="64"/>
      <c r="F200" s="65"/>
      <c r="G200" s="62"/>
      <c r="H200" s="66"/>
      <c r="I200" s="67"/>
      <c r="J200" s="67"/>
      <c r="K200" s="31" t="s">
        <v>65</v>
      </c>
      <c r="L200" s="75">
        <v>200</v>
      </c>
      <c r="M200" s="75"/>
      <c r="N200" s="69"/>
      <c r="O200" s="77" t="s">
        <v>447</v>
      </c>
      <c r="P200" s="79">
        <v>44969.49927083333</v>
      </c>
      <c r="Q200" s="77" t="s">
        <v>539</v>
      </c>
      <c r="R200" s="80" t="str">
        <f>HYPERLINK("https://thenewdaily.com.au/life/tech/2023/02/09/chatgpt-ai-future-kohler/")</f>
        <v>https://thenewdaily.com.au/life/tech/2023/02/09/chatgpt-ai-future-kohler/</v>
      </c>
      <c r="S200" s="77" t="s">
        <v>552</v>
      </c>
      <c r="T200" s="81" t="s">
        <v>572</v>
      </c>
      <c r="U200" s="77"/>
      <c r="V200" s="80" t="str">
        <f>HYPERLINK("https://pbs.twimg.com/profile_images/1506985850462040066/7hF9ZxSk_normal.jpg")</f>
        <v>https://pbs.twimg.com/profile_images/1506985850462040066/7hF9ZxSk_normal.jpg</v>
      </c>
      <c r="W200" s="79">
        <v>44969.49927083333</v>
      </c>
      <c r="X200" s="84">
        <v>44969</v>
      </c>
      <c r="Y200" s="81" t="s">
        <v>721</v>
      </c>
      <c r="Z200" s="80" t="str">
        <f>HYPERLINK("https://twitter.com/richardkimphd/status/1624739833901088770")</f>
        <v>https://twitter.com/richardkimphd/status/1624739833901088770</v>
      </c>
      <c r="AA200" s="77"/>
      <c r="AB200" s="77"/>
      <c r="AC200" s="81" t="s">
        <v>877</v>
      </c>
      <c r="AD200" s="77"/>
      <c r="AE200" s="77" t="b">
        <v>0</v>
      </c>
      <c r="AF200" s="77">
        <v>0</v>
      </c>
      <c r="AG200" s="81" t="s">
        <v>916</v>
      </c>
      <c r="AH200" s="77" t="b">
        <v>0</v>
      </c>
      <c r="AI200" s="77" t="s">
        <v>950</v>
      </c>
      <c r="AJ200" s="77"/>
      <c r="AK200" s="81" t="s">
        <v>916</v>
      </c>
      <c r="AL200" s="77" t="b">
        <v>0</v>
      </c>
      <c r="AM200" s="77">
        <v>1</v>
      </c>
      <c r="AN200" s="81" t="s">
        <v>876</v>
      </c>
      <c r="AO200" s="81" t="s">
        <v>967</v>
      </c>
      <c r="AP200" s="77" t="b">
        <v>0</v>
      </c>
      <c r="AQ200" s="81" t="s">
        <v>876</v>
      </c>
      <c r="AR200" s="77" t="s">
        <v>207</v>
      </c>
      <c r="AS200" s="77">
        <v>0</v>
      </c>
      <c r="AT200" s="77">
        <v>0</v>
      </c>
      <c r="AU200" s="77"/>
      <c r="AV200" s="77"/>
      <c r="AW200" s="77"/>
      <c r="AX200" s="77"/>
      <c r="AY200" s="77"/>
      <c r="AZ200" s="77"/>
      <c r="BA200" s="77"/>
      <c r="BB200" s="77"/>
      <c r="BC200">
        <v>1</v>
      </c>
      <c r="BD200" s="76" t="str">
        <f>REPLACE(INDEX(GroupVertices[Group],MATCH(Edges[[#This Row],[Vertex 1]],GroupVertices[Vertex],0)),1,1,"")</f>
        <v>22</v>
      </c>
      <c r="BE200" s="76" t="str">
        <f>REPLACE(INDEX(GroupVertices[Group],MATCH(Edges[[#This Row],[Vertex 2]],GroupVertices[Vertex],0)),1,1,"")</f>
        <v>22</v>
      </c>
      <c r="BF200" s="31"/>
      <c r="BG200" s="31"/>
      <c r="BH200" s="31"/>
      <c r="BI200" s="31"/>
      <c r="BJ200" s="31"/>
      <c r="BK200" s="31"/>
      <c r="BL200" s="31"/>
      <c r="BM200" s="31"/>
      <c r="BN200" s="31"/>
    </row>
    <row r="201" spans="1:66" ht="15">
      <c r="A201" s="61" t="s">
        <v>377</v>
      </c>
      <c r="B201" s="61" t="s">
        <v>377</v>
      </c>
      <c r="C201" s="62"/>
      <c r="D201" s="63"/>
      <c r="E201" s="64"/>
      <c r="F201" s="65"/>
      <c r="G201" s="62"/>
      <c r="H201" s="66"/>
      <c r="I201" s="67"/>
      <c r="J201" s="67"/>
      <c r="K201" s="31" t="s">
        <v>65</v>
      </c>
      <c r="L201" s="75">
        <v>201</v>
      </c>
      <c r="M201" s="75"/>
      <c r="N201" s="69"/>
      <c r="O201" s="77" t="s">
        <v>207</v>
      </c>
      <c r="P201" s="79">
        <v>44969.751747685186</v>
      </c>
      <c r="Q201" s="77" t="s">
        <v>540</v>
      </c>
      <c r="R201" s="77"/>
      <c r="S201" s="77"/>
      <c r="T201" s="81" t="s">
        <v>428</v>
      </c>
      <c r="U201" s="80" t="str">
        <f>HYPERLINK("https://pbs.twimg.com/media/FoyPY1oWcAAzSvE.jpg")</f>
        <v>https://pbs.twimg.com/media/FoyPY1oWcAAzSvE.jpg</v>
      </c>
      <c r="V201" s="80" t="str">
        <f>HYPERLINK("https://pbs.twimg.com/media/FoyPY1oWcAAzSvE.jpg")</f>
        <v>https://pbs.twimg.com/media/FoyPY1oWcAAzSvE.jpg</v>
      </c>
      <c r="W201" s="79">
        <v>44969.751747685186</v>
      </c>
      <c r="X201" s="84">
        <v>44969</v>
      </c>
      <c r="Y201" s="81" t="s">
        <v>722</v>
      </c>
      <c r="Z201" s="80" t="str">
        <f>HYPERLINK("https://twitter.com/chris_stone_pe/status/1624831328381198336")</f>
        <v>https://twitter.com/chris_stone_pe/status/1624831328381198336</v>
      </c>
      <c r="AA201" s="77"/>
      <c r="AB201" s="77"/>
      <c r="AC201" s="81" t="s">
        <v>878</v>
      </c>
      <c r="AD201" s="77"/>
      <c r="AE201" s="77" t="b">
        <v>0</v>
      </c>
      <c r="AF201" s="77">
        <v>1</v>
      </c>
      <c r="AG201" s="81" t="s">
        <v>916</v>
      </c>
      <c r="AH201" s="77" t="b">
        <v>0</v>
      </c>
      <c r="AI201" s="77" t="s">
        <v>950</v>
      </c>
      <c r="AJ201" s="77"/>
      <c r="AK201" s="81" t="s">
        <v>916</v>
      </c>
      <c r="AL201" s="77" t="b">
        <v>0</v>
      </c>
      <c r="AM201" s="77">
        <v>0</v>
      </c>
      <c r="AN201" s="81" t="s">
        <v>916</v>
      </c>
      <c r="AO201" s="81" t="s">
        <v>958</v>
      </c>
      <c r="AP201" s="77" t="b">
        <v>0</v>
      </c>
      <c r="AQ201" s="81" t="s">
        <v>878</v>
      </c>
      <c r="AR201" s="77" t="s">
        <v>207</v>
      </c>
      <c r="AS201" s="77">
        <v>0</v>
      </c>
      <c r="AT201" s="77">
        <v>0</v>
      </c>
      <c r="AU201" s="77"/>
      <c r="AV201" s="77"/>
      <c r="AW201" s="77"/>
      <c r="AX201" s="77"/>
      <c r="AY201" s="77"/>
      <c r="AZ201" s="77"/>
      <c r="BA201" s="77"/>
      <c r="BB201" s="77"/>
      <c r="BC201">
        <v>1</v>
      </c>
      <c r="BD201" s="76" t="str">
        <f>REPLACE(INDEX(GroupVertices[Group],MATCH(Edges[[#This Row],[Vertex 1]],GroupVertices[Vertex],0)),1,1,"")</f>
        <v>48</v>
      </c>
      <c r="BE201" s="76" t="str">
        <f>REPLACE(INDEX(GroupVertices[Group],MATCH(Edges[[#This Row],[Vertex 2]],GroupVertices[Vertex],0)),1,1,"")</f>
        <v>48</v>
      </c>
      <c r="BF201" s="31"/>
      <c r="BG201" s="31"/>
      <c r="BH201" s="31"/>
      <c r="BI201" s="31"/>
      <c r="BJ201" s="31"/>
      <c r="BK201" s="31"/>
      <c r="BL201" s="31"/>
      <c r="BM201" s="31"/>
      <c r="BN201" s="31"/>
    </row>
    <row r="202" spans="1:66" ht="15">
      <c r="A202" s="61" t="s">
        <v>378</v>
      </c>
      <c r="B202" s="61" t="s">
        <v>440</v>
      </c>
      <c r="C202" s="62"/>
      <c r="D202" s="63"/>
      <c r="E202" s="64"/>
      <c r="F202" s="65"/>
      <c r="G202" s="62"/>
      <c r="H202" s="66"/>
      <c r="I202" s="67"/>
      <c r="J202" s="67"/>
      <c r="K202" s="31" t="s">
        <v>65</v>
      </c>
      <c r="L202" s="75">
        <v>202</v>
      </c>
      <c r="M202" s="75"/>
      <c r="N202" s="69"/>
      <c r="O202" s="77" t="s">
        <v>448</v>
      </c>
      <c r="P202" s="79">
        <v>44970.163090277776</v>
      </c>
      <c r="Q202" s="77" t="s">
        <v>541</v>
      </c>
      <c r="R202" s="77"/>
      <c r="S202" s="77"/>
      <c r="T202" s="77"/>
      <c r="U202" s="77"/>
      <c r="V202" s="80" t="str">
        <f>HYPERLINK("https://pbs.twimg.com/profile_images/1224556529938059266/yKI2buWV_normal.jpg")</f>
        <v>https://pbs.twimg.com/profile_images/1224556529938059266/yKI2buWV_normal.jpg</v>
      </c>
      <c r="W202" s="79">
        <v>44970.163090277776</v>
      </c>
      <c r="X202" s="84">
        <v>44970</v>
      </c>
      <c r="Y202" s="81" t="s">
        <v>723</v>
      </c>
      <c r="Z202" s="80" t="str">
        <f>HYPERLINK("https://twitter.com/mpatriot107/status/1624980396239626240")</f>
        <v>https://twitter.com/mpatriot107/status/1624980396239626240</v>
      </c>
      <c r="AA202" s="77"/>
      <c r="AB202" s="77"/>
      <c r="AC202" s="81" t="s">
        <v>879</v>
      </c>
      <c r="AD202" s="81" t="s">
        <v>914</v>
      </c>
      <c r="AE202" s="77" t="b">
        <v>0</v>
      </c>
      <c r="AF202" s="77">
        <v>0</v>
      </c>
      <c r="AG202" s="81" t="s">
        <v>948</v>
      </c>
      <c r="AH202" s="77" t="b">
        <v>0</v>
      </c>
      <c r="AI202" s="77" t="s">
        <v>950</v>
      </c>
      <c r="AJ202" s="77"/>
      <c r="AK202" s="81" t="s">
        <v>916</v>
      </c>
      <c r="AL202" s="77" t="b">
        <v>0</v>
      </c>
      <c r="AM202" s="77">
        <v>0</v>
      </c>
      <c r="AN202" s="81" t="s">
        <v>916</v>
      </c>
      <c r="AO202" s="81" t="s">
        <v>957</v>
      </c>
      <c r="AP202" s="77" t="b">
        <v>0</v>
      </c>
      <c r="AQ202" s="81" t="s">
        <v>914</v>
      </c>
      <c r="AR202" s="77" t="s">
        <v>207</v>
      </c>
      <c r="AS202" s="77">
        <v>0</v>
      </c>
      <c r="AT202" s="77">
        <v>0</v>
      </c>
      <c r="AU202" s="77"/>
      <c r="AV202" s="77"/>
      <c r="AW202" s="77"/>
      <c r="AX202" s="77"/>
      <c r="AY202" s="77"/>
      <c r="AZ202" s="77"/>
      <c r="BA202" s="77"/>
      <c r="BB202" s="77"/>
      <c r="BC202">
        <v>1</v>
      </c>
      <c r="BD202" s="76" t="str">
        <f>REPLACE(INDEX(GroupVertices[Group],MATCH(Edges[[#This Row],[Vertex 1]],GroupVertices[Vertex],0)),1,1,"")</f>
        <v>14</v>
      </c>
      <c r="BE202" s="76" t="str">
        <f>REPLACE(INDEX(GroupVertices[Group],MATCH(Edges[[#This Row],[Vertex 2]],GroupVertices[Vertex],0)),1,1,"")</f>
        <v>14</v>
      </c>
      <c r="BF202" s="31"/>
      <c r="BG202" s="31"/>
      <c r="BH202" s="31"/>
      <c r="BI202" s="31"/>
      <c r="BJ202" s="31"/>
      <c r="BK202" s="31"/>
      <c r="BL202" s="31"/>
      <c r="BM202" s="31"/>
      <c r="BN202" s="31"/>
    </row>
    <row r="203" spans="1:66" ht="15">
      <c r="A203" s="61" t="s">
        <v>378</v>
      </c>
      <c r="B203" s="61" t="s">
        <v>441</v>
      </c>
      <c r="C203" s="62"/>
      <c r="D203" s="63"/>
      <c r="E203" s="64"/>
      <c r="F203" s="65"/>
      <c r="G203" s="62"/>
      <c r="H203" s="66"/>
      <c r="I203" s="67"/>
      <c r="J203" s="67"/>
      <c r="K203" s="31" t="s">
        <v>65</v>
      </c>
      <c r="L203" s="75">
        <v>203</v>
      </c>
      <c r="M203" s="75"/>
      <c r="N203" s="69"/>
      <c r="O203" s="77" t="s">
        <v>446</v>
      </c>
      <c r="P203" s="79">
        <v>44970.163090277776</v>
      </c>
      <c r="Q203" s="77" t="s">
        <v>541</v>
      </c>
      <c r="R203" s="77"/>
      <c r="S203" s="77"/>
      <c r="T203" s="77"/>
      <c r="U203" s="77"/>
      <c r="V203" s="80" t="str">
        <f>HYPERLINK("https://pbs.twimg.com/profile_images/1224556529938059266/yKI2buWV_normal.jpg")</f>
        <v>https://pbs.twimg.com/profile_images/1224556529938059266/yKI2buWV_normal.jpg</v>
      </c>
      <c r="W203" s="79">
        <v>44970.163090277776</v>
      </c>
      <c r="X203" s="84">
        <v>44970</v>
      </c>
      <c r="Y203" s="81" t="s">
        <v>723</v>
      </c>
      <c r="Z203" s="80" t="str">
        <f>HYPERLINK("https://twitter.com/mpatriot107/status/1624980396239626240")</f>
        <v>https://twitter.com/mpatriot107/status/1624980396239626240</v>
      </c>
      <c r="AA203" s="77"/>
      <c r="AB203" s="77"/>
      <c r="AC203" s="81" t="s">
        <v>879</v>
      </c>
      <c r="AD203" s="81" t="s">
        <v>914</v>
      </c>
      <c r="AE203" s="77" t="b">
        <v>0</v>
      </c>
      <c r="AF203" s="77">
        <v>0</v>
      </c>
      <c r="AG203" s="81" t="s">
        <v>948</v>
      </c>
      <c r="AH203" s="77" t="b">
        <v>0</v>
      </c>
      <c r="AI203" s="77" t="s">
        <v>950</v>
      </c>
      <c r="AJ203" s="77"/>
      <c r="AK203" s="81" t="s">
        <v>916</v>
      </c>
      <c r="AL203" s="77" t="b">
        <v>0</v>
      </c>
      <c r="AM203" s="77">
        <v>0</v>
      </c>
      <c r="AN203" s="81" t="s">
        <v>916</v>
      </c>
      <c r="AO203" s="81" t="s">
        <v>957</v>
      </c>
      <c r="AP203" s="77" t="b">
        <v>0</v>
      </c>
      <c r="AQ203" s="81" t="s">
        <v>914</v>
      </c>
      <c r="AR203" s="77" t="s">
        <v>207</v>
      </c>
      <c r="AS203" s="77">
        <v>0</v>
      </c>
      <c r="AT203" s="77">
        <v>0</v>
      </c>
      <c r="AU203" s="77"/>
      <c r="AV203" s="77"/>
      <c r="AW203" s="77"/>
      <c r="AX203" s="77"/>
      <c r="AY203" s="77"/>
      <c r="AZ203" s="77"/>
      <c r="BA203" s="77"/>
      <c r="BB203" s="77"/>
      <c r="BC203">
        <v>1</v>
      </c>
      <c r="BD203" s="76" t="str">
        <f>REPLACE(INDEX(GroupVertices[Group],MATCH(Edges[[#This Row],[Vertex 1]],GroupVertices[Vertex],0)),1,1,"")</f>
        <v>14</v>
      </c>
      <c r="BE203" s="76" t="str">
        <f>REPLACE(INDEX(GroupVertices[Group],MATCH(Edges[[#This Row],[Vertex 2]],GroupVertices[Vertex],0)),1,1,"")</f>
        <v>14</v>
      </c>
      <c r="BF203" s="31"/>
      <c r="BG203" s="31"/>
      <c r="BH203" s="31"/>
      <c r="BI203" s="31"/>
      <c r="BJ203" s="31"/>
      <c r="BK203" s="31"/>
      <c r="BL203" s="31"/>
      <c r="BM203" s="31"/>
      <c r="BN203" s="31"/>
    </row>
    <row r="204" spans="1:66" ht="15">
      <c r="A204" s="61" t="s">
        <v>379</v>
      </c>
      <c r="B204" s="61" t="s">
        <v>387</v>
      </c>
      <c r="C204" s="62"/>
      <c r="D204" s="63"/>
      <c r="E204" s="64"/>
      <c r="F204" s="65"/>
      <c r="G204" s="62"/>
      <c r="H204" s="66"/>
      <c r="I204" s="67"/>
      <c r="J204" s="67"/>
      <c r="K204" s="31" t="s">
        <v>65</v>
      </c>
      <c r="L204" s="75">
        <v>204</v>
      </c>
      <c r="M204" s="75"/>
      <c r="N204" s="69"/>
      <c r="O204" s="77" t="s">
        <v>448</v>
      </c>
      <c r="P204" s="79">
        <v>44970.17854166667</v>
      </c>
      <c r="Q204" s="77" t="s">
        <v>542</v>
      </c>
      <c r="R204" s="77"/>
      <c r="S204" s="77"/>
      <c r="T204" s="77"/>
      <c r="U204" s="77"/>
      <c r="V204" s="80" t="str">
        <f>HYPERLINK("https://pbs.twimg.com/profile_images/1557883250068099077/WBPsw852_normal.png")</f>
        <v>https://pbs.twimg.com/profile_images/1557883250068099077/WBPsw852_normal.png</v>
      </c>
      <c r="W204" s="79">
        <v>44970.17854166667</v>
      </c>
      <c r="X204" s="84">
        <v>44970</v>
      </c>
      <c r="Y204" s="81" t="s">
        <v>724</v>
      </c>
      <c r="Z204" s="80" t="str">
        <f>HYPERLINK("https://twitter.com/legendseeker66/status/1624985993454530560")</f>
        <v>https://twitter.com/legendseeker66/status/1624985993454530560</v>
      </c>
      <c r="AA204" s="77"/>
      <c r="AB204" s="77"/>
      <c r="AC204" s="81" t="s">
        <v>880</v>
      </c>
      <c r="AD204" s="77"/>
      <c r="AE204" s="77" t="b">
        <v>0</v>
      </c>
      <c r="AF204" s="77">
        <v>0</v>
      </c>
      <c r="AG204" s="81" t="s">
        <v>916</v>
      </c>
      <c r="AH204" s="77" t="b">
        <v>0</v>
      </c>
      <c r="AI204" s="77" t="s">
        <v>950</v>
      </c>
      <c r="AJ204" s="77"/>
      <c r="AK204" s="81" t="s">
        <v>916</v>
      </c>
      <c r="AL204" s="77" t="b">
        <v>0</v>
      </c>
      <c r="AM204" s="77">
        <v>0</v>
      </c>
      <c r="AN204" s="81" t="s">
        <v>916</v>
      </c>
      <c r="AO204" s="81" t="s">
        <v>958</v>
      </c>
      <c r="AP204" s="77" t="b">
        <v>0</v>
      </c>
      <c r="AQ204" s="81" t="s">
        <v>880</v>
      </c>
      <c r="AR204" s="77" t="s">
        <v>207</v>
      </c>
      <c r="AS204" s="77">
        <v>0</v>
      </c>
      <c r="AT204" s="77">
        <v>0</v>
      </c>
      <c r="AU204" s="77"/>
      <c r="AV204" s="77"/>
      <c r="AW204" s="77"/>
      <c r="AX204" s="77"/>
      <c r="AY204" s="77"/>
      <c r="AZ204" s="77"/>
      <c r="BA204" s="77"/>
      <c r="BB204" s="77"/>
      <c r="BC204">
        <v>1</v>
      </c>
      <c r="BD204" s="76" t="str">
        <f>REPLACE(INDEX(GroupVertices[Group],MATCH(Edges[[#This Row],[Vertex 1]],GroupVertices[Vertex],0)),1,1,"")</f>
        <v>2</v>
      </c>
      <c r="BE204" s="76" t="str">
        <f>REPLACE(INDEX(GroupVertices[Group],MATCH(Edges[[#This Row],[Vertex 2]],GroupVertices[Vertex],0)),1,1,"")</f>
        <v>2</v>
      </c>
      <c r="BF204" s="31"/>
      <c r="BG204" s="31"/>
      <c r="BH204" s="31"/>
      <c r="BI204" s="31"/>
      <c r="BJ204" s="31"/>
      <c r="BK204" s="31"/>
      <c r="BL204" s="31"/>
      <c r="BM204" s="31"/>
      <c r="BN204" s="31"/>
    </row>
    <row r="205" spans="1:66" ht="15">
      <c r="A205" s="61" t="s">
        <v>379</v>
      </c>
      <c r="B205" s="61" t="s">
        <v>442</v>
      </c>
      <c r="C205" s="62"/>
      <c r="D205" s="63"/>
      <c r="E205" s="64"/>
      <c r="F205" s="65"/>
      <c r="G205" s="62"/>
      <c r="H205" s="66"/>
      <c r="I205" s="67"/>
      <c r="J205" s="67"/>
      <c r="K205" s="31" t="s">
        <v>65</v>
      </c>
      <c r="L205" s="75">
        <v>205</v>
      </c>
      <c r="M205" s="75"/>
      <c r="N205" s="69"/>
      <c r="O205" s="77" t="s">
        <v>448</v>
      </c>
      <c r="P205" s="79">
        <v>44970.17854166667</v>
      </c>
      <c r="Q205" s="77" t="s">
        <v>542</v>
      </c>
      <c r="R205" s="77"/>
      <c r="S205" s="77"/>
      <c r="T205" s="77"/>
      <c r="U205" s="77"/>
      <c r="V205" s="80" t="str">
        <f>HYPERLINK("https://pbs.twimg.com/profile_images/1557883250068099077/WBPsw852_normal.png")</f>
        <v>https://pbs.twimg.com/profile_images/1557883250068099077/WBPsw852_normal.png</v>
      </c>
      <c r="W205" s="79">
        <v>44970.17854166667</v>
      </c>
      <c r="X205" s="84">
        <v>44970</v>
      </c>
      <c r="Y205" s="81" t="s">
        <v>724</v>
      </c>
      <c r="Z205" s="80" t="str">
        <f>HYPERLINK("https://twitter.com/legendseeker66/status/1624985993454530560")</f>
        <v>https://twitter.com/legendseeker66/status/1624985993454530560</v>
      </c>
      <c r="AA205" s="77"/>
      <c r="AB205" s="77"/>
      <c r="AC205" s="81" t="s">
        <v>880</v>
      </c>
      <c r="AD205" s="77"/>
      <c r="AE205" s="77" t="b">
        <v>0</v>
      </c>
      <c r="AF205" s="77">
        <v>0</v>
      </c>
      <c r="AG205" s="81" t="s">
        <v>916</v>
      </c>
      <c r="AH205" s="77" t="b">
        <v>0</v>
      </c>
      <c r="AI205" s="77" t="s">
        <v>950</v>
      </c>
      <c r="AJ205" s="77"/>
      <c r="AK205" s="81" t="s">
        <v>916</v>
      </c>
      <c r="AL205" s="77" t="b">
        <v>0</v>
      </c>
      <c r="AM205" s="77">
        <v>0</v>
      </c>
      <c r="AN205" s="81" t="s">
        <v>916</v>
      </c>
      <c r="AO205" s="81" t="s">
        <v>958</v>
      </c>
      <c r="AP205" s="77" t="b">
        <v>0</v>
      </c>
      <c r="AQ205" s="81" t="s">
        <v>880</v>
      </c>
      <c r="AR205" s="77" t="s">
        <v>207</v>
      </c>
      <c r="AS205" s="77">
        <v>0</v>
      </c>
      <c r="AT205" s="77">
        <v>0</v>
      </c>
      <c r="AU205" s="77"/>
      <c r="AV205" s="77"/>
      <c r="AW205" s="77"/>
      <c r="AX205" s="77"/>
      <c r="AY205" s="77"/>
      <c r="AZ205" s="77"/>
      <c r="BA205" s="77"/>
      <c r="BB205" s="77"/>
      <c r="BC205">
        <v>1</v>
      </c>
      <c r="BD205" s="76" t="str">
        <f>REPLACE(INDEX(GroupVertices[Group],MATCH(Edges[[#This Row],[Vertex 1]],GroupVertices[Vertex],0)),1,1,"")</f>
        <v>2</v>
      </c>
      <c r="BE205" s="76" t="str">
        <f>REPLACE(INDEX(GroupVertices[Group],MATCH(Edges[[#This Row],[Vertex 2]],GroupVertices[Vertex],0)),1,1,"")</f>
        <v>2</v>
      </c>
      <c r="BF205" s="31"/>
      <c r="BG205" s="31"/>
      <c r="BH205" s="31"/>
      <c r="BI205" s="31"/>
      <c r="BJ205" s="31"/>
      <c r="BK205" s="31"/>
      <c r="BL205" s="31"/>
      <c r="BM205" s="31"/>
      <c r="BN205" s="31"/>
    </row>
    <row r="206" spans="1:66" ht="15">
      <c r="A206" s="61" t="s">
        <v>379</v>
      </c>
      <c r="B206" s="61" t="s">
        <v>443</v>
      </c>
      <c r="C206" s="62"/>
      <c r="D206" s="63"/>
      <c r="E206" s="64"/>
      <c r="F206" s="65"/>
      <c r="G206" s="62"/>
      <c r="H206" s="66"/>
      <c r="I206" s="67"/>
      <c r="J206" s="67"/>
      <c r="K206" s="31" t="s">
        <v>65</v>
      </c>
      <c r="L206" s="75">
        <v>206</v>
      </c>
      <c r="M206" s="75"/>
      <c r="N206" s="69"/>
      <c r="O206" s="77" t="s">
        <v>448</v>
      </c>
      <c r="P206" s="79">
        <v>44970.17854166667</v>
      </c>
      <c r="Q206" s="77" t="s">
        <v>542</v>
      </c>
      <c r="R206" s="77"/>
      <c r="S206" s="77"/>
      <c r="T206" s="77"/>
      <c r="U206" s="77"/>
      <c r="V206" s="80" t="str">
        <f>HYPERLINK("https://pbs.twimg.com/profile_images/1557883250068099077/WBPsw852_normal.png")</f>
        <v>https://pbs.twimg.com/profile_images/1557883250068099077/WBPsw852_normal.png</v>
      </c>
      <c r="W206" s="79">
        <v>44970.17854166667</v>
      </c>
      <c r="X206" s="84">
        <v>44970</v>
      </c>
      <c r="Y206" s="81" t="s">
        <v>724</v>
      </c>
      <c r="Z206" s="80" t="str">
        <f>HYPERLINK("https://twitter.com/legendseeker66/status/1624985993454530560")</f>
        <v>https://twitter.com/legendseeker66/status/1624985993454530560</v>
      </c>
      <c r="AA206" s="77"/>
      <c r="AB206" s="77"/>
      <c r="AC206" s="81" t="s">
        <v>880</v>
      </c>
      <c r="AD206" s="77"/>
      <c r="AE206" s="77" t="b">
        <v>0</v>
      </c>
      <c r="AF206" s="77">
        <v>0</v>
      </c>
      <c r="AG206" s="81" t="s">
        <v>916</v>
      </c>
      <c r="AH206" s="77" t="b">
        <v>0</v>
      </c>
      <c r="AI206" s="77" t="s">
        <v>950</v>
      </c>
      <c r="AJ206" s="77"/>
      <c r="AK206" s="81" t="s">
        <v>916</v>
      </c>
      <c r="AL206" s="77" t="b">
        <v>0</v>
      </c>
      <c r="AM206" s="77">
        <v>0</v>
      </c>
      <c r="AN206" s="81" t="s">
        <v>916</v>
      </c>
      <c r="AO206" s="81" t="s">
        <v>958</v>
      </c>
      <c r="AP206" s="77" t="b">
        <v>0</v>
      </c>
      <c r="AQ206" s="81" t="s">
        <v>880</v>
      </c>
      <c r="AR206" s="77" t="s">
        <v>207</v>
      </c>
      <c r="AS206" s="77">
        <v>0</v>
      </c>
      <c r="AT206" s="77">
        <v>0</v>
      </c>
      <c r="AU206" s="77"/>
      <c r="AV206" s="77"/>
      <c r="AW206" s="77"/>
      <c r="AX206" s="77"/>
      <c r="AY206" s="77"/>
      <c r="AZ206" s="77"/>
      <c r="BA206" s="77"/>
      <c r="BB206" s="77"/>
      <c r="BC206">
        <v>1</v>
      </c>
      <c r="BD206" s="76" t="str">
        <f>REPLACE(INDEX(GroupVertices[Group],MATCH(Edges[[#This Row],[Vertex 1]],GroupVertices[Vertex],0)),1,1,"")</f>
        <v>2</v>
      </c>
      <c r="BE206" s="76" t="str">
        <f>REPLACE(INDEX(GroupVertices[Group],MATCH(Edges[[#This Row],[Vertex 2]],GroupVertices[Vertex],0)),1,1,"")</f>
        <v>2</v>
      </c>
      <c r="BF206" s="31"/>
      <c r="BG206" s="31"/>
      <c r="BH206" s="31"/>
      <c r="BI206" s="31"/>
      <c r="BJ206" s="31"/>
      <c r="BK206" s="31"/>
      <c r="BL206" s="31"/>
      <c r="BM206" s="31"/>
      <c r="BN206" s="31"/>
    </row>
    <row r="207" spans="1:66" ht="15">
      <c r="A207" s="61" t="s">
        <v>380</v>
      </c>
      <c r="B207" s="61" t="s">
        <v>380</v>
      </c>
      <c r="C207" s="62"/>
      <c r="D207" s="63"/>
      <c r="E207" s="64"/>
      <c r="F207" s="65"/>
      <c r="G207" s="62"/>
      <c r="H207" s="66"/>
      <c r="I207" s="67"/>
      <c r="J207" s="67"/>
      <c r="K207" s="31" t="s">
        <v>65</v>
      </c>
      <c r="L207" s="75">
        <v>207</v>
      </c>
      <c r="M207" s="75"/>
      <c r="N207" s="69"/>
      <c r="O207" s="77" t="s">
        <v>207</v>
      </c>
      <c r="P207" s="79">
        <v>44970.24383101852</v>
      </c>
      <c r="Q207" s="77" t="s">
        <v>543</v>
      </c>
      <c r="R207" s="77"/>
      <c r="S207" s="77"/>
      <c r="T207" s="77"/>
      <c r="U207" s="77"/>
      <c r="V207" s="80" t="str">
        <f>HYPERLINK("https://pbs.twimg.com/profile_images/1565123715834191872/LS8mMMbn_normal.jpg")</f>
        <v>https://pbs.twimg.com/profile_images/1565123715834191872/LS8mMMbn_normal.jpg</v>
      </c>
      <c r="W207" s="79">
        <v>44970.24383101852</v>
      </c>
      <c r="X207" s="84">
        <v>44970</v>
      </c>
      <c r="Y207" s="81" t="s">
        <v>725</v>
      </c>
      <c r="Z207" s="80" t="str">
        <f>HYPERLINK("https://twitter.com/seehearspeaknow/status/1625009656262262784")</f>
        <v>https://twitter.com/seehearspeaknow/status/1625009656262262784</v>
      </c>
      <c r="AA207" s="77"/>
      <c r="AB207" s="77"/>
      <c r="AC207" s="81" t="s">
        <v>881</v>
      </c>
      <c r="AD207" s="77"/>
      <c r="AE207" s="77" t="b">
        <v>0</v>
      </c>
      <c r="AF207" s="77">
        <v>2</v>
      </c>
      <c r="AG207" s="81" t="s">
        <v>916</v>
      </c>
      <c r="AH207" s="77" t="b">
        <v>0</v>
      </c>
      <c r="AI207" s="77" t="s">
        <v>950</v>
      </c>
      <c r="AJ207" s="77"/>
      <c r="AK207" s="81" t="s">
        <v>916</v>
      </c>
      <c r="AL207" s="77" t="b">
        <v>0</v>
      </c>
      <c r="AM207" s="77">
        <v>0</v>
      </c>
      <c r="AN207" s="81" t="s">
        <v>916</v>
      </c>
      <c r="AO207" s="81" t="s">
        <v>959</v>
      </c>
      <c r="AP207" s="77" t="b">
        <v>0</v>
      </c>
      <c r="AQ207" s="81" t="s">
        <v>881</v>
      </c>
      <c r="AR207" s="77" t="s">
        <v>207</v>
      </c>
      <c r="AS207" s="77">
        <v>0</v>
      </c>
      <c r="AT207" s="77">
        <v>0</v>
      </c>
      <c r="AU207" s="77"/>
      <c r="AV207" s="77"/>
      <c r="AW207" s="77"/>
      <c r="AX207" s="77"/>
      <c r="AY207" s="77"/>
      <c r="AZ207" s="77"/>
      <c r="BA207" s="77"/>
      <c r="BB207" s="77"/>
      <c r="BC207">
        <v>1</v>
      </c>
      <c r="BD207" s="76" t="str">
        <f>REPLACE(INDEX(GroupVertices[Group],MATCH(Edges[[#This Row],[Vertex 1]],GroupVertices[Vertex],0)),1,1,"")</f>
        <v>47</v>
      </c>
      <c r="BE207" s="76" t="str">
        <f>REPLACE(INDEX(GroupVertices[Group],MATCH(Edges[[#This Row],[Vertex 2]],GroupVertices[Vertex],0)),1,1,"")</f>
        <v>47</v>
      </c>
      <c r="BF207" s="31"/>
      <c r="BG207" s="31"/>
      <c r="BH207" s="31"/>
      <c r="BI207" s="31"/>
      <c r="BJ207" s="31"/>
      <c r="BK207" s="31"/>
      <c r="BL207" s="31"/>
      <c r="BM207" s="31"/>
      <c r="BN207" s="31"/>
    </row>
    <row r="208" spans="1:66" ht="15">
      <c r="A208" s="61" t="s">
        <v>381</v>
      </c>
      <c r="B208" s="61" t="s">
        <v>444</v>
      </c>
      <c r="C208" s="62"/>
      <c r="D208" s="63"/>
      <c r="E208" s="64"/>
      <c r="F208" s="65"/>
      <c r="G208" s="62"/>
      <c r="H208" s="66"/>
      <c r="I208" s="67"/>
      <c r="J208" s="67"/>
      <c r="K208" s="31" t="s">
        <v>65</v>
      </c>
      <c r="L208" s="75">
        <v>208</v>
      </c>
      <c r="M208" s="75"/>
      <c r="N208" s="69"/>
      <c r="O208" s="77" t="s">
        <v>446</v>
      </c>
      <c r="P208" s="79">
        <v>44970.24821759259</v>
      </c>
      <c r="Q208" s="77" t="s">
        <v>544</v>
      </c>
      <c r="R208" s="77"/>
      <c r="S208" s="77"/>
      <c r="T208" s="77"/>
      <c r="U208" s="77"/>
      <c r="V208" s="80" t="str">
        <f>HYPERLINK("https://pbs.twimg.com/profile_images/1575145340164079617/b4PjHroR_normal.jpg")</f>
        <v>https://pbs.twimg.com/profile_images/1575145340164079617/b4PjHroR_normal.jpg</v>
      </c>
      <c r="W208" s="79">
        <v>44970.24821759259</v>
      </c>
      <c r="X208" s="84">
        <v>44970</v>
      </c>
      <c r="Y208" s="81" t="s">
        <v>726</v>
      </c>
      <c r="Z208" s="80" t="str">
        <f>HYPERLINK("https://twitter.com/johnxosterman/status/1625011242355068928")</f>
        <v>https://twitter.com/johnxosterman/status/1625011242355068928</v>
      </c>
      <c r="AA208" s="77"/>
      <c r="AB208" s="77"/>
      <c r="AC208" s="81" t="s">
        <v>882</v>
      </c>
      <c r="AD208" s="81" t="s">
        <v>915</v>
      </c>
      <c r="AE208" s="77" t="b">
        <v>0</v>
      </c>
      <c r="AF208" s="77">
        <v>1</v>
      </c>
      <c r="AG208" s="81" t="s">
        <v>949</v>
      </c>
      <c r="AH208" s="77" t="b">
        <v>0</v>
      </c>
      <c r="AI208" s="77" t="s">
        <v>950</v>
      </c>
      <c r="AJ208" s="77"/>
      <c r="AK208" s="81" t="s">
        <v>916</v>
      </c>
      <c r="AL208" s="77" t="b">
        <v>0</v>
      </c>
      <c r="AM208" s="77">
        <v>0</v>
      </c>
      <c r="AN208" s="81" t="s">
        <v>916</v>
      </c>
      <c r="AO208" s="81" t="s">
        <v>957</v>
      </c>
      <c r="AP208" s="77" t="b">
        <v>0</v>
      </c>
      <c r="AQ208" s="81" t="s">
        <v>915</v>
      </c>
      <c r="AR208" s="77" t="s">
        <v>207</v>
      </c>
      <c r="AS208" s="77">
        <v>0</v>
      </c>
      <c r="AT208" s="77">
        <v>0</v>
      </c>
      <c r="AU208" s="77"/>
      <c r="AV208" s="77"/>
      <c r="AW208" s="77"/>
      <c r="AX208" s="77"/>
      <c r="AY208" s="77"/>
      <c r="AZ208" s="77"/>
      <c r="BA208" s="77"/>
      <c r="BB208" s="77"/>
      <c r="BC208">
        <v>1</v>
      </c>
      <c r="BD208" s="76" t="str">
        <f>REPLACE(INDEX(GroupVertices[Group],MATCH(Edges[[#This Row],[Vertex 1]],GroupVertices[Vertex],0)),1,1,"")</f>
        <v>21</v>
      </c>
      <c r="BE208" s="76" t="str">
        <f>REPLACE(INDEX(GroupVertices[Group],MATCH(Edges[[#This Row],[Vertex 2]],GroupVertices[Vertex],0)),1,1,"")</f>
        <v>21</v>
      </c>
      <c r="BF208" s="31"/>
      <c r="BG208" s="31"/>
      <c r="BH208" s="31"/>
      <c r="BI208" s="31"/>
      <c r="BJ208" s="31"/>
      <c r="BK208" s="31"/>
      <c r="BL208" s="31"/>
      <c r="BM208" s="31"/>
      <c r="BN208" s="31"/>
    </row>
    <row r="209" spans="1:66" ht="15">
      <c r="A209" s="61" t="s">
        <v>382</v>
      </c>
      <c r="B209" s="61" t="s">
        <v>428</v>
      </c>
      <c r="C209" s="62"/>
      <c r="D209" s="63"/>
      <c r="E209" s="64"/>
      <c r="F209" s="65"/>
      <c r="G209" s="62"/>
      <c r="H209" s="66"/>
      <c r="I209" s="67"/>
      <c r="J209" s="67"/>
      <c r="K209" s="31" t="s">
        <v>65</v>
      </c>
      <c r="L209" s="75">
        <v>209</v>
      </c>
      <c r="M209" s="75"/>
      <c r="N209" s="69"/>
      <c r="O209" s="77" t="s">
        <v>448</v>
      </c>
      <c r="P209" s="79">
        <v>44970.574166666665</v>
      </c>
      <c r="Q209" s="77" t="s">
        <v>545</v>
      </c>
      <c r="R209" s="80" t="str">
        <f>HYPERLINK("https://www.foxbusiness.com/technology/chatgpt-woke-bias-ai-program-cheers-biden-not-trump-defines-woman-gender-identity-rips-fossil-fuels")</f>
        <v>https://www.foxbusiness.com/technology/chatgpt-woke-bias-ai-program-cheers-biden-not-trump-defines-woman-gender-identity-rips-fossil-fuels</v>
      </c>
      <c r="S209" s="77" t="s">
        <v>558</v>
      </c>
      <c r="T209" s="77"/>
      <c r="U209" s="77"/>
      <c r="V209" s="80" t="str">
        <f>HYPERLINK("https://pbs.twimg.com/profile_images/1395866072155230208/ORw5NRdN_normal.jpg")</f>
        <v>https://pbs.twimg.com/profile_images/1395866072155230208/ORw5NRdN_normal.jpg</v>
      </c>
      <c r="W209" s="79">
        <v>44970.574166666665</v>
      </c>
      <c r="X209" s="84">
        <v>44970</v>
      </c>
      <c r="Y209" s="81" t="s">
        <v>727</v>
      </c>
      <c r="Z209" s="80" t="str">
        <f>HYPERLINK("https://twitter.com/zoll_p/status/1625129364009496576")</f>
        <v>https://twitter.com/zoll_p/status/1625129364009496576</v>
      </c>
      <c r="AA209" s="77"/>
      <c r="AB209" s="77"/>
      <c r="AC209" s="81" t="s">
        <v>883</v>
      </c>
      <c r="AD209" s="77"/>
      <c r="AE209" s="77" t="b">
        <v>0</v>
      </c>
      <c r="AF209" s="77">
        <v>0</v>
      </c>
      <c r="AG209" s="81" t="s">
        <v>916</v>
      </c>
      <c r="AH209" s="77" t="b">
        <v>0</v>
      </c>
      <c r="AI209" s="77" t="s">
        <v>950</v>
      </c>
      <c r="AJ209" s="77"/>
      <c r="AK209" s="81" t="s">
        <v>916</v>
      </c>
      <c r="AL209" s="77" t="b">
        <v>0</v>
      </c>
      <c r="AM209" s="77">
        <v>0</v>
      </c>
      <c r="AN209" s="81" t="s">
        <v>916</v>
      </c>
      <c r="AO209" s="81" t="s">
        <v>959</v>
      </c>
      <c r="AP209" s="77" t="b">
        <v>0</v>
      </c>
      <c r="AQ209" s="81" t="s">
        <v>883</v>
      </c>
      <c r="AR209" s="77" t="s">
        <v>207</v>
      </c>
      <c r="AS209" s="77">
        <v>0</v>
      </c>
      <c r="AT209" s="77">
        <v>0</v>
      </c>
      <c r="AU209" s="77"/>
      <c r="AV209" s="77"/>
      <c r="AW209" s="77"/>
      <c r="AX209" s="77"/>
      <c r="AY209" s="77"/>
      <c r="AZ209" s="77"/>
      <c r="BA209" s="77"/>
      <c r="BB209" s="77"/>
      <c r="BC209">
        <v>1</v>
      </c>
      <c r="BD209" s="76" t="str">
        <f>REPLACE(INDEX(GroupVertices[Group],MATCH(Edges[[#This Row],[Vertex 1]],GroupVertices[Vertex],0)),1,1,"")</f>
        <v>6</v>
      </c>
      <c r="BE209" s="76" t="str">
        <f>REPLACE(INDEX(GroupVertices[Group],MATCH(Edges[[#This Row],[Vertex 2]],GroupVertices[Vertex],0)),1,1,"")</f>
        <v>6</v>
      </c>
      <c r="BF209" s="31"/>
      <c r="BG209" s="31"/>
      <c r="BH209" s="31"/>
      <c r="BI209" s="31"/>
      <c r="BJ209" s="31"/>
      <c r="BK209" s="31"/>
      <c r="BL209" s="31"/>
      <c r="BM209" s="31"/>
      <c r="BN209" s="31"/>
    </row>
    <row r="210" spans="1:66" ht="15">
      <c r="A210" s="61" t="s">
        <v>383</v>
      </c>
      <c r="B210" s="61" t="s">
        <v>383</v>
      </c>
      <c r="C210" s="62"/>
      <c r="D210" s="63"/>
      <c r="E210" s="64"/>
      <c r="F210" s="65"/>
      <c r="G210" s="62"/>
      <c r="H210" s="66"/>
      <c r="I210" s="67"/>
      <c r="J210" s="67"/>
      <c r="K210" s="31" t="s">
        <v>65</v>
      </c>
      <c r="L210" s="75">
        <v>210</v>
      </c>
      <c r="M210" s="75"/>
      <c r="N210" s="69"/>
      <c r="O210" s="77" t="s">
        <v>207</v>
      </c>
      <c r="P210" s="79">
        <v>44970.62082175926</v>
      </c>
      <c r="Q210" s="77" t="s">
        <v>546</v>
      </c>
      <c r="R210" s="80" t="str">
        <f>HYPERLINK("https://www.breitbart.com/tech/2023/02/12/bill-gates-ai-can-help-solve-digital-misinformation-problem/")</f>
        <v>https://www.breitbart.com/tech/2023/02/12/bill-gates-ai-can-help-solve-digital-misinformation-problem/</v>
      </c>
      <c r="S210" s="77" t="s">
        <v>559</v>
      </c>
      <c r="T210" s="77"/>
      <c r="U210" s="77"/>
      <c r="V210" s="80" t="str">
        <f>HYPERLINK("https://pbs.twimg.com/profile_images/1621971172878422021/aFiKPw3e_normal.jpg")</f>
        <v>https://pbs.twimg.com/profile_images/1621971172878422021/aFiKPw3e_normal.jpg</v>
      </c>
      <c r="W210" s="79">
        <v>44970.62082175926</v>
      </c>
      <c r="X210" s="84">
        <v>44970</v>
      </c>
      <c r="Y210" s="81" t="s">
        <v>728</v>
      </c>
      <c r="Z210" s="80" t="str">
        <f>HYPERLINK("https://twitter.com/mar50cc5o/status/1625146269386567680")</f>
        <v>https://twitter.com/mar50cc5o/status/1625146269386567680</v>
      </c>
      <c r="AA210" s="77"/>
      <c r="AB210" s="77"/>
      <c r="AC210" s="81" t="s">
        <v>884</v>
      </c>
      <c r="AD210" s="77"/>
      <c r="AE210" s="77" t="b">
        <v>0</v>
      </c>
      <c r="AF210" s="77">
        <v>2</v>
      </c>
      <c r="AG210" s="81" t="s">
        <v>916</v>
      </c>
      <c r="AH210" s="77" t="b">
        <v>0</v>
      </c>
      <c r="AI210" s="77" t="s">
        <v>950</v>
      </c>
      <c r="AJ210" s="77"/>
      <c r="AK210" s="81" t="s">
        <v>916</v>
      </c>
      <c r="AL210" s="77" t="b">
        <v>0</v>
      </c>
      <c r="AM210" s="77">
        <v>0</v>
      </c>
      <c r="AN210" s="81" t="s">
        <v>916</v>
      </c>
      <c r="AO210" s="81" t="s">
        <v>958</v>
      </c>
      <c r="AP210" s="77" t="b">
        <v>0</v>
      </c>
      <c r="AQ210" s="81" t="s">
        <v>884</v>
      </c>
      <c r="AR210" s="77" t="s">
        <v>207</v>
      </c>
      <c r="AS210" s="77">
        <v>0</v>
      </c>
      <c r="AT210" s="77">
        <v>0</v>
      </c>
      <c r="AU210" s="77"/>
      <c r="AV210" s="77"/>
      <c r="AW210" s="77"/>
      <c r="AX210" s="77"/>
      <c r="AY210" s="77"/>
      <c r="AZ210" s="77"/>
      <c r="BA210" s="77"/>
      <c r="BB210" s="77"/>
      <c r="BC210">
        <v>1</v>
      </c>
      <c r="BD210" s="76" t="str">
        <f>REPLACE(INDEX(GroupVertices[Group],MATCH(Edges[[#This Row],[Vertex 1]],GroupVertices[Vertex],0)),1,1,"")</f>
        <v>46</v>
      </c>
      <c r="BE210" s="76" t="str">
        <f>REPLACE(INDEX(GroupVertices[Group],MATCH(Edges[[#This Row],[Vertex 2]],GroupVertices[Vertex],0)),1,1,"")</f>
        <v>46</v>
      </c>
      <c r="BF210" s="31"/>
      <c r="BG210" s="31"/>
      <c r="BH210" s="31"/>
      <c r="BI210" s="31"/>
      <c r="BJ210" s="31"/>
      <c r="BK210" s="31"/>
      <c r="BL210" s="31"/>
      <c r="BM210" s="31"/>
      <c r="BN210" s="31"/>
    </row>
    <row r="211" spans="1:66" ht="15">
      <c r="A211" s="61" t="s">
        <v>384</v>
      </c>
      <c r="B211" s="61" t="s">
        <v>384</v>
      </c>
      <c r="C211" s="62"/>
      <c r="D211" s="63"/>
      <c r="E211" s="64"/>
      <c r="F211" s="65"/>
      <c r="G211" s="62"/>
      <c r="H211" s="66"/>
      <c r="I211" s="67"/>
      <c r="J211" s="67"/>
      <c r="K211" s="31" t="s">
        <v>65</v>
      </c>
      <c r="L211" s="75">
        <v>211</v>
      </c>
      <c r="M211" s="75"/>
      <c r="N211" s="69"/>
      <c r="O211" s="77" t="s">
        <v>207</v>
      </c>
      <c r="P211" s="79">
        <v>44970.76332175926</v>
      </c>
      <c r="Q211" s="77" t="s">
        <v>547</v>
      </c>
      <c r="R211" s="80" t="str">
        <f>HYPERLINK("https://maddie-miele.wixsite.com/maddiemiele/post/using-chatgpt-to-fight-climate-change")</f>
        <v>https://maddie-miele.wixsite.com/maddiemiele/post/using-chatgpt-to-fight-climate-change</v>
      </c>
      <c r="S211" s="77" t="s">
        <v>560</v>
      </c>
      <c r="T211" s="81" t="s">
        <v>573</v>
      </c>
      <c r="U211" s="80" t="str">
        <f>HYPERLINK("https://pbs.twimg.com/media/Fo3c4neWAAA0oAz.jpg")</f>
        <v>https://pbs.twimg.com/media/Fo3c4neWAAA0oAz.jpg</v>
      </c>
      <c r="V211" s="80" t="str">
        <f>HYPERLINK("https://pbs.twimg.com/media/Fo3c4neWAAA0oAz.jpg")</f>
        <v>https://pbs.twimg.com/media/Fo3c4neWAAA0oAz.jpg</v>
      </c>
      <c r="W211" s="79">
        <v>44970.76332175926</v>
      </c>
      <c r="X211" s="84">
        <v>44970</v>
      </c>
      <c r="Y211" s="81" t="s">
        <v>729</v>
      </c>
      <c r="Z211" s="80" t="str">
        <f>HYPERLINK("https://twitter.com/maddiemiele_/status/1625197910194327568")</f>
        <v>https://twitter.com/maddiemiele_/status/1625197910194327568</v>
      </c>
      <c r="AA211" s="77"/>
      <c r="AB211" s="77"/>
      <c r="AC211" s="81" t="s">
        <v>885</v>
      </c>
      <c r="AD211" s="77"/>
      <c r="AE211" s="77" t="b">
        <v>0</v>
      </c>
      <c r="AF211" s="77">
        <v>0</v>
      </c>
      <c r="AG211" s="81" t="s">
        <v>916</v>
      </c>
      <c r="AH211" s="77" t="b">
        <v>0</v>
      </c>
      <c r="AI211" s="77" t="s">
        <v>950</v>
      </c>
      <c r="AJ211" s="77"/>
      <c r="AK211" s="81" t="s">
        <v>916</v>
      </c>
      <c r="AL211" s="77" t="b">
        <v>0</v>
      </c>
      <c r="AM211" s="77">
        <v>0</v>
      </c>
      <c r="AN211" s="81" t="s">
        <v>916</v>
      </c>
      <c r="AO211" s="81" t="s">
        <v>957</v>
      </c>
      <c r="AP211" s="77" t="b">
        <v>0</v>
      </c>
      <c r="AQ211" s="81" t="s">
        <v>885</v>
      </c>
      <c r="AR211" s="77" t="s">
        <v>207</v>
      </c>
      <c r="AS211" s="77">
        <v>0</v>
      </c>
      <c r="AT211" s="77">
        <v>0</v>
      </c>
      <c r="AU211" s="77"/>
      <c r="AV211" s="77"/>
      <c r="AW211" s="77"/>
      <c r="AX211" s="77"/>
      <c r="AY211" s="77"/>
      <c r="AZ211" s="77"/>
      <c r="BA211" s="77"/>
      <c r="BB211" s="77"/>
      <c r="BC211">
        <v>1</v>
      </c>
      <c r="BD211" s="76" t="str">
        <f>REPLACE(INDEX(GroupVertices[Group],MATCH(Edges[[#This Row],[Vertex 1]],GroupVertices[Vertex],0)),1,1,"")</f>
        <v>45</v>
      </c>
      <c r="BE211" s="76" t="str">
        <f>REPLACE(INDEX(GroupVertices[Group],MATCH(Edges[[#This Row],[Vertex 2]],GroupVertices[Vertex],0)),1,1,"")</f>
        <v>45</v>
      </c>
      <c r="BF211" s="31"/>
      <c r="BG211" s="31"/>
      <c r="BH211" s="31"/>
      <c r="BI211" s="31"/>
      <c r="BJ211" s="31"/>
      <c r="BK211" s="31"/>
      <c r="BL211" s="31"/>
      <c r="BM211" s="31"/>
      <c r="BN211" s="3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1"/>
    <dataValidation allowBlank="1" showErrorMessage="1" sqref="N2:N2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1"/>
    <dataValidation allowBlank="1" showInputMessage="1" promptTitle="Edge Color" prompt="To select an optional edge color, right-click and select Select Color on the right-click menu." sqref="C3:C211"/>
    <dataValidation allowBlank="1" showInputMessage="1" promptTitle="Edge Width" prompt="Enter an optional edge width between 1 and 10." errorTitle="Invalid Edge Width" error="The optional edge width must be a whole number between 1 and 10." sqref="D3:D211"/>
    <dataValidation allowBlank="1" showInputMessage="1" promptTitle="Edge Opacity" prompt="Enter an optional edge opacity between 0 (transparent) and 100 (opaque)." errorTitle="Invalid Edge Opacity" error="The optional edge opacity must be a whole number between 0 and 10." sqref="F3:F2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1">
      <formula1>ValidEdgeVisibilities</formula1>
    </dataValidation>
    <dataValidation allowBlank="1" showInputMessage="1" showErrorMessage="1" promptTitle="Vertex 1 Name" prompt="Enter the name of the edge's first vertex." sqref="A3:A211"/>
    <dataValidation allowBlank="1" showInputMessage="1" showErrorMessage="1" promptTitle="Vertex 2 Name" prompt="Enter the name of the edge's second vertex." sqref="B3:B211"/>
    <dataValidation allowBlank="1" showInputMessage="1" showErrorMessage="1" promptTitle="Edge Label" prompt="Enter an optional edge label." errorTitle="Invalid Edge Visibility" error="You have entered an unrecognized edge visibility.  Try selecting from the drop-down list instead." sqref="H3:H2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72722-8DDD-4DF4-B317-768915E3DAC3}">
  <dimension ref="A1:C84"/>
  <sheetViews>
    <sheetView workbookViewId="0" topLeftCell="A1"/>
  </sheetViews>
  <sheetFormatPr defaultColWidth="11.421875" defaultRowHeight="15"/>
  <cols>
    <col min="2" max="2" width="9.7109375" style="0" bestFit="1" customWidth="1"/>
    <col min="3" max="3" width="12.421875" style="0" bestFit="1" customWidth="1"/>
  </cols>
  <sheetData>
    <row r="1" ht="15">
      <c r="C1" s="30" t="s">
        <v>42</v>
      </c>
    </row>
    <row r="2" spans="1:3" ht="14.4" customHeight="1">
      <c r="A2" s="7" t="s">
        <v>1786</v>
      </c>
      <c r="B2" s="107" t="s">
        <v>1787</v>
      </c>
      <c r="C2" s="50" t="s">
        <v>1788</v>
      </c>
    </row>
    <row r="3" spans="1:3" ht="15">
      <c r="A3" s="106" t="s">
        <v>1653</v>
      </c>
      <c r="B3" s="106" t="s">
        <v>1653</v>
      </c>
      <c r="C3" s="31">
        <v>17</v>
      </c>
    </row>
    <row r="4" spans="1:3" ht="15">
      <c r="A4" s="106" t="s">
        <v>1654</v>
      </c>
      <c r="B4" s="106" t="s">
        <v>1654</v>
      </c>
      <c r="C4" s="31">
        <v>27</v>
      </c>
    </row>
    <row r="5" spans="1:3" ht="15">
      <c r="A5" s="106" t="s">
        <v>1655</v>
      </c>
      <c r="B5" s="106" t="s">
        <v>1655</v>
      </c>
      <c r="C5" s="31">
        <v>15</v>
      </c>
    </row>
    <row r="6" spans="1:3" ht="15">
      <c r="A6" s="106" t="s">
        <v>1656</v>
      </c>
      <c r="B6" s="106" t="s">
        <v>1656</v>
      </c>
      <c r="C6" s="31">
        <v>9</v>
      </c>
    </row>
    <row r="7" spans="1:3" ht="15">
      <c r="A7" s="106" t="s">
        <v>1657</v>
      </c>
      <c r="B7" s="106" t="s">
        <v>1657</v>
      </c>
      <c r="C7" s="31">
        <v>20</v>
      </c>
    </row>
    <row r="8" spans="1:3" ht="15">
      <c r="A8" s="106" t="s">
        <v>1658</v>
      </c>
      <c r="B8" s="106" t="s">
        <v>1658</v>
      </c>
      <c r="C8" s="31">
        <v>3</v>
      </c>
    </row>
    <row r="9" spans="1:3" ht="15">
      <c r="A9" s="106" t="s">
        <v>1659</v>
      </c>
      <c r="B9" s="106" t="s">
        <v>1654</v>
      </c>
      <c r="C9" s="31">
        <v>1</v>
      </c>
    </row>
    <row r="10" spans="1:3" ht="15">
      <c r="A10" s="106" t="s">
        <v>1659</v>
      </c>
      <c r="B10" s="106" t="s">
        <v>1659</v>
      </c>
      <c r="C10" s="31">
        <v>3</v>
      </c>
    </row>
    <row r="11" spans="1:3" ht="15">
      <c r="A11" s="106" t="s">
        <v>1660</v>
      </c>
      <c r="B11" s="106" t="s">
        <v>1660</v>
      </c>
      <c r="C11" s="31">
        <v>3</v>
      </c>
    </row>
    <row r="12" spans="1:3" ht="15">
      <c r="A12" s="106" t="s">
        <v>1661</v>
      </c>
      <c r="B12" s="106" t="s">
        <v>1661</v>
      </c>
      <c r="C12" s="31">
        <v>7</v>
      </c>
    </row>
    <row r="13" spans="1:3" ht="15">
      <c r="A13" s="106" t="s">
        <v>1662</v>
      </c>
      <c r="B13" s="106" t="s">
        <v>1662</v>
      </c>
      <c r="C13" s="31">
        <v>5</v>
      </c>
    </row>
    <row r="14" spans="1:3" ht="15">
      <c r="A14" s="106" t="s">
        <v>1663</v>
      </c>
      <c r="B14" s="106" t="s">
        <v>1654</v>
      </c>
      <c r="C14" s="31">
        <v>1</v>
      </c>
    </row>
    <row r="15" spans="1:3" ht="15">
      <c r="A15" s="106" t="s">
        <v>1663</v>
      </c>
      <c r="B15" s="106" t="s">
        <v>1663</v>
      </c>
      <c r="C15" s="31">
        <v>4</v>
      </c>
    </row>
    <row r="16" spans="1:3" ht="15">
      <c r="A16" s="106" t="s">
        <v>1664</v>
      </c>
      <c r="B16" s="106" t="s">
        <v>1664</v>
      </c>
      <c r="C16" s="31">
        <v>3</v>
      </c>
    </row>
    <row r="17" spans="1:3" ht="15">
      <c r="A17" s="106" t="s">
        <v>1665</v>
      </c>
      <c r="B17" s="106" t="s">
        <v>1665</v>
      </c>
      <c r="C17" s="31">
        <v>3</v>
      </c>
    </row>
    <row r="18" spans="1:3" ht="15">
      <c r="A18" s="106" t="s">
        <v>1666</v>
      </c>
      <c r="B18" s="106" t="s">
        <v>1666</v>
      </c>
      <c r="C18" s="31">
        <v>2</v>
      </c>
    </row>
    <row r="19" spans="1:3" ht="15">
      <c r="A19" s="106" t="s">
        <v>1667</v>
      </c>
      <c r="B19" s="106" t="s">
        <v>1667</v>
      </c>
      <c r="C19" s="31">
        <v>2</v>
      </c>
    </row>
    <row r="20" spans="1:3" ht="15">
      <c r="A20" s="106" t="s">
        <v>1668</v>
      </c>
      <c r="B20" s="106" t="s">
        <v>1668</v>
      </c>
      <c r="C20" s="31">
        <v>3</v>
      </c>
    </row>
    <row r="21" spans="1:3" ht="15">
      <c r="A21" s="106" t="s">
        <v>1669</v>
      </c>
      <c r="B21" s="106" t="s">
        <v>1669</v>
      </c>
      <c r="C21" s="31">
        <v>3</v>
      </c>
    </row>
    <row r="22" spans="1:3" ht="15">
      <c r="A22" s="106" t="s">
        <v>1670</v>
      </c>
      <c r="B22" s="106" t="s">
        <v>1670</v>
      </c>
      <c r="C22" s="31">
        <v>3</v>
      </c>
    </row>
    <row r="23" spans="1:3" ht="15">
      <c r="A23" s="106" t="s">
        <v>1671</v>
      </c>
      <c r="B23" s="106" t="s">
        <v>1671</v>
      </c>
      <c r="C23" s="31">
        <v>2</v>
      </c>
    </row>
    <row r="24" spans="1:3" ht="15">
      <c r="A24" s="106" t="s">
        <v>1672</v>
      </c>
      <c r="B24" s="106" t="s">
        <v>1672</v>
      </c>
      <c r="C24" s="31">
        <v>3</v>
      </c>
    </row>
    <row r="25" spans="1:3" ht="15">
      <c r="A25" s="106" t="s">
        <v>1673</v>
      </c>
      <c r="B25" s="106" t="s">
        <v>1673</v>
      </c>
      <c r="C25" s="31">
        <v>1</v>
      </c>
    </row>
    <row r="26" spans="1:3" ht="15">
      <c r="A26" s="106" t="s">
        <v>1674</v>
      </c>
      <c r="B26" s="106" t="s">
        <v>1674</v>
      </c>
      <c r="C26" s="31">
        <v>2</v>
      </c>
    </row>
    <row r="27" spans="1:3" ht="15">
      <c r="A27" s="106" t="s">
        <v>1675</v>
      </c>
      <c r="B27" s="106" t="s">
        <v>1675</v>
      </c>
      <c r="C27" s="31">
        <v>1</v>
      </c>
    </row>
    <row r="28" spans="1:3" ht="15">
      <c r="A28" s="106" t="s">
        <v>1676</v>
      </c>
      <c r="B28" s="106" t="s">
        <v>1676</v>
      </c>
      <c r="C28" s="31">
        <v>1</v>
      </c>
    </row>
    <row r="29" spans="1:3" ht="15">
      <c r="A29" s="106" t="s">
        <v>1677</v>
      </c>
      <c r="B29" s="106" t="s">
        <v>1677</v>
      </c>
      <c r="C29" s="31">
        <v>1</v>
      </c>
    </row>
    <row r="30" spans="1:3" ht="15">
      <c r="A30" s="106" t="s">
        <v>1678</v>
      </c>
      <c r="B30" s="106" t="s">
        <v>1678</v>
      </c>
      <c r="C30" s="31">
        <v>1</v>
      </c>
    </row>
    <row r="31" spans="1:3" ht="15">
      <c r="A31" s="106" t="s">
        <v>1679</v>
      </c>
      <c r="B31" s="106" t="s">
        <v>1679</v>
      </c>
      <c r="C31" s="31">
        <v>2</v>
      </c>
    </row>
    <row r="32" spans="1:3" ht="15">
      <c r="A32" s="106" t="s">
        <v>1680</v>
      </c>
      <c r="B32" s="106" t="s">
        <v>1680</v>
      </c>
      <c r="C32" s="31">
        <v>1</v>
      </c>
    </row>
    <row r="33" spans="1:3" ht="15">
      <c r="A33" s="106" t="s">
        <v>1681</v>
      </c>
      <c r="B33" s="106" t="s">
        <v>1681</v>
      </c>
      <c r="C33" s="31">
        <v>1</v>
      </c>
    </row>
    <row r="34" spans="1:3" ht="15">
      <c r="A34" s="106" t="s">
        <v>1682</v>
      </c>
      <c r="B34" s="106" t="s">
        <v>1682</v>
      </c>
      <c r="C34" s="31">
        <v>2</v>
      </c>
    </row>
    <row r="35" spans="1:3" ht="15">
      <c r="A35" s="106" t="s">
        <v>1683</v>
      </c>
      <c r="B35" s="106" t="s">
        <v>1683</v>
      </c>
      <c r="C35" s="31">
        <v>2</v>
      </c>
    </row>
    <row r="36" spans="1:3" ht="15">
      <c r="A36" s="106" t="s">
        <v>1684</v>
      </c>
      <c r="B36" s="106" t="s">
        <v>1684</v>
      </c>
      <c r="C36" s="31">
        <v>2</v>
      </c>
    </row>
    <row r="37" spans="1:3" ht="15">
      <c r="A37" s="106" t="s">
        <v>1685</v>
      </c>
      <c r="B37" s="106" t="s">
        <v>1685</v>
      </c>
      <c r="C37" s="31">
        <v>1</v>
      </c>
    </row>
    <row r="38" spans="1:3" ht="15">
      <c r="A38" s="106" t="s">
        <v>1686</v>
      </c>
      <c r="B38" s="106" t="s">
        <v>1686</v>
      </c>
      <c r="C38" s="31">
        <v>1</v>
      </c>
    </row>
    <row r="39" spans="1:3" ht="15">
      <c r="A39" s="106" t="s">
        <v>1687</v>
      </c>
      <c r="B39" s="106" t="s">
        <v>1687</v>
      </c>
      <c r="C39" s="31">
        <v>1</v>
      </c>
    </row>
    <row r="40" spans="1:3" ht="15">
      <c r="A40" s="106" t="s">
        <v>1688</v>
      </c>
      <c r="B40" s="106" t="s">
        <v>1688</v>
      </c>
      <c r="C40" s="31">
        <v>2</v>
      </c>
    </row>
    <row r="41" spans="1:3" ht="15">
      <c r="A41" s="106" t="s">
        <v>1689</v>
      </c>
      <c r="B41" s="106" t="s">
        <v>1689</v>
      </c>
      <c r="C41" s="31">
        <v>2</v>
      </c>
    </row>
    <row r="42" spans="1:3" ht="15">
      <c r="A42" s="106" t="s">
        <v>1690</v>
      </c>
      <c r="B42" s="106" t="s">
        <v>1690</v>
      </c>
      <c r="C42" s="31">
        <v>2</v>
      </c>
    </row>
    <row r="43" spans="1:3" ht="15">
      <c r="A43" s="106" t="s">
        <v>1691</v>
      </c>
      <c r="B43" s="106" t="s">
        <v>1691</v>
      </c>
      <c r="C43" s="31">
        <v>2</v>
      </c>
    </row>
    <row r="44" spans="1:3" ht="15">
      <c r="A44" s="106" t="s">
        <v>1692</v>
      </c>
      <c r="B44" s="106" t="s">
        <v>1692</v>
      </c>
      <c r="C44" s="31">
        <v>1</v>
      </c>
    </row>
    <row r="45" spans="1:3" ht="15">
      <c r="A45" s="106" t="s">
        <v>1693</v>
      </c>
      <c r="B45" s="106" t="s">
        <v>1693</v>
      </c>
      <c r="C45" s="31">
        <v>1</v>
      </c>
    </row>
    <row r="46" spans="1:3" ht="15">
      <c r="A46" s="106" t="s">
        <v>1694</v>
      </c>
      <c r="B46" s="106" t="s">
        <v>1694</v>
      </c>
      <c r="C46" s="31">
        <v>2</v>
      </c>
    </row>
    <row r="47" spans="1:3" ht="15">
      <c r="A47" s="106" t="s">
        <v>1695</v>
      </c>
      <c r="B47" s="106" t="s">
        <v>1695</v>
      </c>
      <c r="C47" s="31">
        <v>1</v>
      </c>
    </row>
    <row r="48" spans="1:3" ht="15">
      <c r="A48" s="106" t="s">
        <v>1696</v>
      </c>
      <c r="B48" s="106" t="s">
        <v>1696</v>
      </c>
      <c r="C48" s="31">
        <v>1</v>
      </c>
    </row>
    <row r="49" spans="1:3" ht="15">
      <c r="A49" s="106" t="s">
        <v>1697</v>
      </c>
      <c r="B49" s="106" t="s">
        <v>1697</v>
      </c>
      <c r="C49" s="31">
        <v>1</v>
      </c>
    </row>
    <row r="50" spans="1:3" ht="15">
      <c r="A50" s="106" t="s">
        <v>1698</v>
      </c>
      <c r="B50" s="106" t="s">
        <v>1698</v>
      </c>
      <c r="C50" s="31">
        <v>1</v>
      </c>
    </row>
    <row r="51" spans="1:3" ht="15">
      <c r="A51" s="106" t="s">
        <v>1699</v>
      </c>
      <c r="B51" s="106" t="s">
        <v>1699</v>
      </c>
      <c r="C51" s="31">
        <v>1</v>
      </c>
    </row>
    <row r="52" spans="1:3" ht="15">
      <c r="A52" s="106" t="s">
        <v>1700</v>
      </c>
      <c r="B52" s="106" t="s">
        <v>1700</v>
      </c>
      <c r="C52" s="31">
        <v>1</v>
      </c>
    </row>
    <row r="53" spans="1:3" ht="15">
      <c r="A53" s="106" t="s">
        <v>1701</v>
      </c>
      <c r="B53" s="106" t="s">
        <v>1701</v>
      </c>
      <c r="C53" s="31">
        <v>1</v>
      </c>
    </row>
    <row r="54" spans="1:3" ht="15">
      <c r="A54" s="106" t="s">
        <v>1702</v>
      </c>
      <c r="B54" s="106" t="s">
        <v>1702</v>
      </c>
      <c r="C54" s="31">
        <v>1</v>
      </c>
    </row>
    <row r="55" spans="1:3" ht="15">
      <c r="A55" s="106" t="s">
        <v>1703</v>
      </c>
      <c r="B55" s="106" t="s">
        <v>1703</v>
      </c>
      <c r="C55" s="31">
        <v>1</v>
      </c>
    </row>
    <row r="56" spans="1:3" ht="15">
      <c r="A56" s="106" t="s">
        <v>1704</v>
      </c>
      <c r="B56" s="106" t="s">
        <v>1704</v>
      </c>
      <c r="C56" s="31">
        <v>1</v>
      </c>
    </row>
    <row r="57" spans="1:3" ht="15">
      <c r="A57" s="106" t="s">
        <v>1705</v>
      </c>
      <c r="B57" s="106" t="s">
        <v>1705</v>
      </c>
      <c r="C57" s="31">
        <v>1</v>
      </c>
    </row>
    <row r="58" spans="1:3" ht="15">
      <c r="A58" s="106" t="s">
        <v>1706</v>
      </c>
      <c r="B58" s="106" t="s">
        <v>1706</v>
      </c>
      <c r="C58" s="31">
        <v>1</v>
      </c>
    </row>
    <row r="59" spans="1:3" ht="15">
      <c r="A59" s="106" t="s">
        <v>1707</v>
      </c>
      <c r="B59" s="106" t="s">
        <v>1707</v>
      </c>
      <c r="C59" s="31">
        <v>1</v>
      </c>
    </row>
    <row r="60" spans="1:3" ht="15">
      <c r="A60" s="106" t="s">
        <v>1708</v>
      </c>
      <c r="B60" s="106" t="s">
        <v>1708</v>
      </c>
      <c r="C60" s="31">
        <v>1</v>
      </c>
    </row>
    <row r="61" spans="1:3" ht="15">
      <c r="A61" s="106" t="s">
        <v>1709</v>
      </c>
      <c r="B61" s="106" t="s">
        <v>1709</v>
      </c>
      <c r="C61" s="31">
        <v>1</v>
      </c>
    </row>
    <row r="62" spans="1:3" ht="15">
      <c r="A62" s="106" t="s">
        <v>1710</v>
      </c>
      <c r="B62" s="106" t="s">
        <v>1710</v>
      </c>
      <c r="C62" s="31">
        <v>1</v>
      </c>
    </row>
    <row r="63" spans="1:3" ht="15">
      <c r="A63" s="106" t="s">
        <v>1711</v>
      </c>
      <c r="B63" s="106" t="s">
        <v>1711</v>
      </c>
      <c r="C63" s="31">
        <v>1</v>
      </c>
    </row>
    <row r="64" spans="1:3" ht="15">
      <c r="A64" s="106" t="s">
        <v>1712</v>
      </c>
      <c r="B64" s="106" t="s">
        <v>1712</v>
      </c>
      <c r="C64" s="31">
        <v>1</v>
      </c>
    </row>
    <row r="65" spans="1:3" ht="15">
      <c r="A65" s="106" t="s">
        <v>1713</v>
      </c>
      <c r="B65" s="106" t="s">
        <v>1713</v>
      </c>
      <c r="C65" s="31">
        <v>1</v>
      </c>
    </row>
    <row r="66" spans="1:3" ht="15">
      <c r="A66" s="106" t="s">
        <v>1714</v>
      </c>
      <c r="B66" s="106" t="s">
        <v>1714</v>
      </c>
      <c r="C66" s="31">
        <v>1</v>
      </c>
    </row>
    <row r="67" spans="1:3" ht="15">
      <c r="A67" s="106" t="s">
        <v>1715</v>
      </c>
      <c r="B67" s="106" t="s">
        <v>1715</v>
      </c>
      <c r="C67" s="31">
        <v>1</v>
      </c>
    </row>
    <row r="68" spans="1:3" ht="15">
      <c r="A68" s="106" t="s">
        <v>1716</v>
      </c>
      <c r="B68" s="106" t="s">
        <v>1716</v>
      </c>
      <c r="C68" s="31">
        <v>1</v>
      </c>
    </row>
    <row r="69" spans="1:3" ht="15">
      <c r="A69" s="106" t="s">
        <v>1717</v>
      </c>
      <c r="B69" s="106" t="s">
        <v>1717</v>
      </c>
      <c r="C69" s="31">
        <v>1</v>
      </c>
    </row>
    <row r="70" spans="1:3" ht="15">
      <c r="A70" s="106" t="s">
        <v>1718</v>
      </c>
      <c r="B70" s="106" t="s">
        <v>1718</v>
      </c>
      <c r="C70" s="31">
        <v>1</v>
      </c>
    </row>
    <row r="71" spans="1:3" ht="15">
      <c r="A71" s="106" t="s">
        <v>1719</v>
      </c>
      <c r="B71" s="106" t="s">
        <v>1719</v>
      </c>
      <c r="C71" s="31">
        <v>1</v>
      </c>
    </row>
    <row r="72" spans="1:3" ht="15">
      <c r="A72" s="106" t="s">
        <v>1720</v>
      </c>
      <c r="B72" s="106" t="s">
        <v>1720</v>
      </c>
      <c r="C72" s="31">
        <v>1</v>
      </c>
    </row>
    <row r="73" spans="1:3" ht="15">
      <c r="A73" s="106" t="s">
        <v>1721</v>
      </c>
      <c r="B73" s="106" t="s">
        <v>1721</v>
      </c>
      <c r="C73" s="31">
        <v>1</v>
      </c>
    </row>
    <row r="74" spans="1:3" ht="15">
      <c r="A74" s="106" t="s">
        <v>1722</v>
      </c>
      <c r="B74" s="106" t="s">
        <v>1722</v>
      </c>
      <c r="C74" s="31">
        <v>1</v>
      </c>
    </row>
    <row r="75" spans="1:3" ht="15">
      <c r="A75" s="106" t="s">
        <v>1723</v>
      </c>
      <c r="B75" s="106" t="s">
        <v>1723</v>
      </c>
      <c r="C75" s="31">
        <v>1</v>
      </c>
    </row>
    <row r="76" spans="1:3" ht="15">
      <c r="A76" s="106" t="s">
        <v>1724</v>
      </c>
      <c r="B76" s="106" t="s">
        <v>1724</v>
      </c>
      <c r="C76" s="31">
        <v>1</v>
      </c>
    </row>
    <row r="77" spans="1:3" ht="15">
      <c r="A77" s="106" t="s">
        <v>1725</v>
      </c>
      <c r="B77" s="106" t="s">
        <v>1725</v>
      </c>
      <c r="C77" s="31">
        <v>1</v>
      </c>
    </row>
    <row r="78" spans="1:3" ht="15">
      <c r="A78" s="106" t="s">
        <v>1726</v>
      </c>
      <c r="B78" s="106" t="s">
        <v>1726</v>
      </c>
      <c r="C78" s="31">
        <v>1</v>
      </c>
    </row>
    <row r="79" spans="1:3" ht="15">
      <c r="A79" s="106" t="s">
        <v>1727</v>
      </c>
      <c r="B79" s="106" t="s">
        <v>1727</v>
      </c>
      <c r="C79" s="31">
        <v>1</v>
      </c>
    </row>
    <row r="80" spans="1:3" ht="15">
      <c r="A80" s="106" t="s">
        <v>1728</v>
      </c>
      <c r="B80" s="106" t="s">
        <v>1728</v>
      </c>
      <c r="C80" s="31">
        <v>1</v>
      </c>
    </row>
    <row r="81" spans="1:3" ht="15">
      <c r="A81" s="106" t="s">
        <v>1729</v>
      </c>
      <c r="B81" s="106" t="s">
        <v>1729</v>
      </c>
      <c r="C81" s="31">
        <v>1</v>
      </c>
    </row>
    <row r="82" spans="1:3" ht="15">
      <c r="A82" s="106" t="s">
        <v>1730</v>
      </c>
      <c r="B82" s="106" t="s">
        <v>1730</v>
      </c>
      <c r="C82" s="31">
        <v>1</v>
      </c>
    </row>
    <row r="83" spans="1:3" ht="15">
      <c r="A83" s="106" t="s">
        <v>1731</v>
      </c>
      <c r="B83" s="106" t="s">
        <v>1731</v>
      </c>
      <c r="C83" s="31">
        <v>1</v>
      </c>
    </row>
    <row r="84" spans="1:3" ht="15">
      <c r="A84" s="106" t="s">
        <v>1732</v>
      </c>
      <c r="B84" s="106" t="s">
        <v>1732</v>
      </c>
      <c r="C84" s="31">
        <v>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37BC9-18AE-4323-9F98-6E6C614CAAA0}">
  <dimension ref="A1:B7"/>
  <sheetViews>
    <sheetView workbookViewId="0" topLeftCell="A1"/>
  </sheetViews>
  <sheetFormatPr defaultColWidth="11.421875" defaultRowHeight="15"/>
  <cols>
    <col min="1" max="1" width="6.140625" style="0" bestFit="1" customWidth="1"/>
    <col min="2" max="2" width="7.7109375" style="0" bestFit="1" customWidth="1"/>
  </cols>
  <sheetData>
    <row r="1" spans="1:2" ht="14.4" customHeight="1">
      <c r="A1" s="7" t="s">
        <v>1807</v>
      </c>
      <c r="B1" s="7" t="s">
        <v>17</v>
      </c>
    </row>
    <row r="2" spans="1:2" ht="15">
      <c r="A2" s="76" t="s">
        <v>1808</v>
      </c>
      <c r="B2" s="76"/>
    </row>
    <row r="3" spans="1:2" ht="15">
      <c r="A3" s="77" t="s">
        <v>1809</v>
      </c>
      <c r="B3" s="76"/>
    </row>
    <row r="4" spans="1:2" ht="15">
      <c r="A4" s="77" t="s">
        <v>1810</v>
      </c>
      <c r="B4" s="76"/>
    </row>
    <row r="5" spans="1:2" ht="15">
      <c r="A5" s="77" t="s">
        <v>1811</v>
      </c>
      <c r="B5" s="76"/>
    </row>
    <row r="6" spans="1:2" ht="15">
      <c r="A6" s="77" t="s">
        <v>1812</v>
      </c>
      <c r="B6" s="76"/>
    </row>
    <row r="7" spans="1:2" ht="15">
      <c r="A7" s="77" t="s">
        <v>1813</v>
      </c>
      <c r="B7" s="76"/>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CBA00-0EF2-475B-9F36-DA66013F0A8C}">
  <dimension ref="A1:V5"/>
  <sheetViews>
    <sheetView workbookViewId="0" topLeftCell="A1"/>
  </sheetViews>
  <sheetFormatPr defaultColWidth="11.421875" defaultRowHeight="15"/>
  <cols>
    <col min="1" max="1" width="41.7109375" style="0" customWidth="1"/>
    <col min="2" max="2" width="18.7109375" style="0" bestFit="1" customWidth="1"/>
    <col min="3" max="3" width="31.7109375" style="0" customWidth="1"/>
    <col min="4" max="4" width="10.7109375" style="0" bestFit="1" customWidth="1"/>
    <col min="5" max="5" width="31.7109375" style="0" customWidth="1"/>
    <col min="6" max="6" width="10.7109375" style="0" bestFit="1" customWidth="1"/>
    <col min="7" max="7" width="31.7109375" style="0" customWidth="1"/>
    <col min="8" max="8" width="10.7109375" style="0" bestFit="1" customWidth="1"/>
    <col min="9" max="9" width="31.7109375" style="0" customWidth="1"/>
    <col min="10" max="10" width="10.7109375" style="0" bestFit="1" customWidth="1"/>
    <col min="11" max="11" width="31.7109375" style="0" customWidth="1"/>
    <col min="12" max="12" width="10.7109375" style="0" bestFit="1" customWidth="1"/>
    <col min="13" max="13" width="31.7109375" style="0" customWidth="1"/>
    <col min="14" max="14" width="10.7109375" style="0" bestFit="1" customWidth="1"/>
    <col min="15" max="15" width="31.7109375" style="0" customWidth="1"/>
    <col min="16" max="16" width="10.7109375" style="0" bestFit="1" customWidth="1"/>
    <col min="17" max="17" width="31.7109375" style="0" customWidth="1"/>
    <col min="18" max="18" width="10.7109375" style="0" bestFit="1" customWidth="1"/>
    <col min="19" max="19" width="31.7109375" style="0" customWidth="1"/>
    <col min="20" max="20" width="10.7109375" style="0" bestFit="1" customWidth="1"/>
    <col min="21" max="21" width="32.7109375" style="0" customWidth="1"/>
    <col min="22" max="22" width="11.7109375" style="0" bestFit="1" customWidth="1"/>
  </cols>
  <sheetData>
    <row r="1" spans="1:22" ht="14.4" customHeight="1">
      <c r="A1" s="76" t="s">
        <v>1814</v>
      </c>
      <c r="B1" s="76" t="s">
        <v>1815</v>
      </c>
      <c r="C1" s="76" t="s">
        <v>1816</v>
      </c>
      <c r="D1" s="76" t="s">
        <v>1818</v>
      </c>
      <c r="E1" s="76" t="s">
        <v>1817</v>
      </c>
      <c r="F1" s="76" t="s">
        <v>1820</v>
      </c>
      <c r="G1" s="76" t="s">
        <v>1819</v>
      </c>
      <c r="H1" s="76" t="s">
        <v>1822</v>
      </c>
      <c r="I1" s="76" t="s">
        <v>1821</v>
      </c>
      <c r="J1" s="76" t="s">
        <v>1824</v>
      </c>
      <c r="K1" s="76" t="s">
        <v>1823</v>
      </c>
      <c r="L1" s="76" t="s">
        <v>1826</v>
      </c>
      <c r="M1" s="76" t="s">
        <v>1825</v>
      </c>
      <c r="N1" s="76" t="s">
        <v>1828</v>
      </c>
      <c r="O1" s="76" t="s">
        <v>1827</v>
      </c>
      <c r="P1" s="76" t="s">
        <v>1830</v>
      </c>
      <c r="Q1" s="76" t="s">
        <v>1829</v>
      </c>
      <c r="R1" s="76" t="s">
        <v>1832</v>
      </c>
      <c r="S1" s="76" t="s">
        <v>1831</v>
      </c>
      <c r="T1" s="76" t="s">
        <v>1834</v>
      </c>
      <c r="U1" s="76" t="s">
        <v>1833</v>
      </c>
      <c r="V1" s="76" t="s">
        <v>1835</v>
      </c>
    </row>
    <row r="2" spans="1:22" ht="15">
      <c r="A2" s="76"/>
      <c r="B2" s="76"/>
      <c r="C2" s="76"/>
      <c r="D2" s="76"/>
      <c r="E2" s="76"/>
      <c r="F2" s="76"/>
      <c r="G2" s="76"/>
      <c r="H2" s="76"/>
      <c r="I2" s="76"/>
      <c r="J2" s="76"/>
      <c r="K2" s="76"/>
      <c r="L2" s="76"/>
      <c r="M2" s="76"/>
      <c r="N2" s="76"/>
      <c r="O2" s="76"/>
      <c r="P2" s="76"/>
      <c r="Q2" s="76"/>
      <c r="R2" s="76"/>
      <c r="S2" s="76"/>
      <c r="T2" s="76"/>
      <c r="U2" s="76"/>
      <c r="V2" s="76"/>
    </row>
    <row r="4" spans="1:22" ht="14.4" customHeight="1">
      <c r="A4" s="76" t="s">
        <v>1837</v>
      </c>
      <c r="B4" s="76" t="s">
        <v>1815</v>
      </c>
      <c r="C4" s="76" t="s">
        <v>1838</v>
      </c>
      <c r="D4" s="76" t="s">
        <v>1818</v>
      </c>
      <c r="E4" s="76" t="s">
        <v>1839</v>
      </c>
      <c r="F4" s="76" t="s">
        <v>1820</v>
      </c>
      <c r="G4" s="76" t="s">
        <v>1840</v>
      </c>
      <c r="H4" s="76" t="s">
        <v>1822</v>
      </c>
      <c r="I4" s="76" t="s">
        <v>1841</v>
      </c>
      <c r="J4" s="76" t="s">
        <v>1824</v>
      </c>
      <c r="K4" s="76" t="s">
        <v>1842</v>
      </c>
      <c r="L4" s="76" t="s">
        <v>1826</v>
      </c>
      <c r="M4" s="76" t="s">
        <v>1843</v>
      </c>
      <c r="N4" s="76" t="s">
        <v>1828</v>
      </c>
      <c r="O4" s="76" t="s">
        <v>1844</v>
      </c>
      <c r="P4" s="76" t="s">
        <v>1830</v>
      </c>
      <c r="Q4" s="76" t="s">
        <v>1845</v>
      </c>
      <c r="R4" s="76" t="s">
        <v>1832</v>
      </c>
      <c r="S4" s="76" t="s">
        <v>1846</v>
      </c>
      <c r="T4" s="76" t="s">
        <v>1834</v>
      </c>
      <c r="U4" s="76" t="s">
        <v>1847</v>
      </c>
      <c r="V4" s="76" t="s">
        <v>1835</v>
      </c>
    </row>
    <row r="5" spans="1:22" ht="15">
      <c r="A5" s="76"/>
      <c r="B5" s="76"/>
      <c r="C5" s="76"/>
      <c r="D5" s="76"/>
      <c r="E5" s="76"/>
      <c r="F5" s="76"/>
      <c r="G5" s="76"/>
      <c r="H5" s="76"/>
      <c r="I5" s="76"/>
      <c r="J5" s="76"/>
      <c r="K5" s="76"/>
      <c r="L5" s="76"/>
      <c r="M5" s="76"/>
      <c r="N5" s="76"/>
      <c r="O5" s="76"/>
      <c r="P5" s="76"/>
      <c r="Q5" s="76"/>
      <c r="R5" s="76"/>
      <c r="S5" s="76"/>
      <c r="T5" s="76"/>
      <c r="U5" s="76"/>
      <c r="V5" s="76"/>
    </row>
  </sheetData>
  <printOptions/>
  <pageMargins left="0.7" right="0.7" top="0.75" bottom="0.75" header="0.3" footer="0.3"/>
  <pageSetup orientation="portrait" paperSize="9"/>
  <tableParts>
    <tablePart r:id="rId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O202"/>
  <sheetViews>
    <sheetView tabSelected="1" workbookViewId="0" topLeftCell="A1">
      <pane xSplit="1" ySplit="2" topLeftCell="Y50" activePane="bottomRight" state="frozen"/>
      <selection pane="topRight" activeCell="B1" sqref="B1"/>
      <selection pane="bottomLeft" activeCell="A3" sqref="A3"/>
      <selection pane="bottomRight" activeCell="A3" sqref="A3"/>
    </sheetView>
  </sheetViews>
  <sheetFormatPr defaultColWidth="8.8515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0.7109375" style="0" bestFit="1" customWidth="1"/>
    <col min="33" max="33" width="11.140625" style="0" bestFit="1" customWidth="1"/>
    <col min="34" max="34" width="9.140625" style="0" bestFit="1" customWidth="1"/>
    <col min="35" max="35" width="8.8515625" style="0" bestFit="1" customWidth="1"/>
    <col min="36" max="36" width="16.574218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140625" style="0" bestFit="1" customWidth="1"/>
    <col min="55" max="55" width="22.421875" style="0" bestFit="1" customWidth="1"/>
    <col min="56" max="56" width="18.140625" style="0" bestFit="1" customWidth="1"/>
    <col min="57" max="57" width="22.421875" style="0" bestFit="1" customWidth="1"/>
    <col min="58" max="58" width="18.140625" style="0" bestFit="1" customWidth="1"/>
    <col min="59" max="59" width="22.421875" style="0" bestFit="1" customWidth="1"/>
    <col min="60" max="60" width="17.28125" style="0" bestFit="1" customWidth="1"/>
    <col min="61" max="61" width="20.421875" style="0" bestFit="1" customWidth="1"/>
    <col min="62" max="62" width="16.00390625" style="0" bestFit="1" customWidth="1"/>
    <col min="63" max="63" width="17.421875" style="0" bestFit="1" customWidth="1"/>
    <col min="64" max="64" width="19.28125" style="0" bestFit="1" customWidth="1"/>
    <col min="65" max="65" width="18.00390625" style="0" bestFit="1" customWidth="1"/>
    <col min="66" max="66" width="19.281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66"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968</v>
      </c>
      <c r="AE2" s="7" t="s">
        <v>969</v>
      </c>
      <c r="AF2" s="7" t="s">
        <v>970</v>
      </c>
      <c r="AG2" s="7" t="s">
        <v>971</v>
      </c>
      <c r="AH2" s="7" t="s">
        <v>972</v>
      </c>
      <c r="AI2" s="7" t="s">
        <v>973</v>
      </c>
      <c r="AJ2" s="7" t="s">
        <v>974</v>
      </c>
      <c r="AK2" s="7" t="s">
        <v>975</v>
      </c>
      <c r="AL2" s="7" t="s">
        <v>976</v>
      </c>
      <c r="AM2" s="7" t="s">
        <v>977</v>
      </c>
      <c r="AN2" s="7" t="s">
        <v>978</v>
      </c>
      <c r="AO2" s="7" t="s">
        <v>979</v>
      </c>
      <c r="AP2" s="7" t="s">
        <v>980</v>
      </c>
      <c r="AQ2" s="7" t="s">
        <v>981</v>
      </c>
      <c r="AR2" s="7" t="s">
        <v>982</v>
      </c>
      <c r="AS2" s="7" t="s">
        <v>983</v>
      </c>
      <c r="AT2" s="7" t="s">
        <v>225</v>
      </c>
      <c r="AU2" s="7" t="s">
        <v>984</v>
      </c>
      <c r="AV2" s="7" t="s">
        <v>985</v>
      </c>
      <c r="AW2" s="7" t="s">
        <v>986</v>
      </c>
      <c r="AX2" s="7" t="s">
        <v>987</v>
      </c>
      <c r="AY2" s="7" t="s">
        <v>988</v>
      </c>
      <c r="AZ2" s="7" t="s">
        <v>989</v>
      </c>
      <c r="BA2" s="7" t="s">
        <v>1745</v>
      </c>
      <c r="BB2" s="105" t="s">
        <v>1775</v>
      </c>
      <c r="BC2" s="105" t="s">
        <v>1776</v>
      </c>
      <c r="BD2" s="105" t="s">
        <v>1777</v>
      </c>
      <c r="BE2" s="105" t="s">
        <v>1778</v>
      </c>
      <c r="BF2" s="105" t="s">
        <v>1779</v>
      </c>
      <c r="BG2" s="105" t="s">
        <v>1780</v>
      </c>
      <c r="BH2" s="105" t="s">
        <v>1781</v>
      </c>
      <c r="BI2" s="105" t="s">
        <v>1782</v>
      </c>
      <c r="BJ2" s="105" t="s">
        <v>1784</v>
      </c>
      <c r="BK2" s="105" t="s">
        <v>1849</v>
      </c>
      <c r="BL2" s="105" t="s">
        <v>1850</v>
      </c>
      <c r="BM2" s="105" t="s">
        <v>1851</v>
      </c>
      <c r="BN2" s="105" t="s">
        <v>1852</v>
      </c>
    </row>
    <row r="3" spans="1:66" ht="15" customHeight="1">
      <c r="A3" s="61" t="s">
        <v>246</v>
      </c>
      <c r="B3" s="62"/>
      <c r="C3" s="62"/>
      <c r="D3" s="63">
        <v>519.090909090909</v>
      </c>
      <c r="E3" s="65"/>
      <c r="F3" s="100" t="str">
        <f>HYPERLINK("https://pbs.twimg.com/profile_images/1533665358137241600/TFY8i8m8_normal.jpg")</f>
        <v>https://pbs.twimg.com/profile_images/1533665358137241600/TFY8i8m8_normal.jpg</v>
      </c>
      <c r="G3" s="62"/>
      <c r="H3" s="66" t="s">
        <v>246</v>
      </c>
      <c r="I3" s="67"/>
      <c r="J3" s="67"/>
      <c r="K3" s="66" t="s">
        <v>246</v>
      </c>
      <c r="L3" s="70">
        <v>604.3275862068965</v>
      </c>
      <c r="M3" s="71">
        <v>1365.1444091796875</v>
      </c>
      <c r="N3" s="71">
        <v>4104.51220703125</v>
      </c>
      <c r="O3" s="72"/>
      <c r="P3" s="73"/>
      <c r="Q3" s="73"/>
      <c r="R3" s="45"/>
      <c r="S3" s="45">
        <v>1</v>
      </c>
      <c r="T3" s="45">
        <v>2</v>
      </c>
      <c r="U3" s="46">
        <v>21</v>
      </c>
      <c r="V3" s="46">
        <v>0.031646</v>
      </c>
      <c r="W3" s="46">
        <v>0.000396</v>
      </c>
      <c r="X3" s="46">
        <v>0.005024</v>
      </c>
      <c r="Y3" s="46">
        <v>0.3333333333333333</v>
      </c>
      <c r="Z3" s="46">
        <v>0</v>
      </c>
      <c r="AA3" s="68">
        <v>3</v>
      </c>
      <c r="AB3" s="68"/>
      <c r="AC3" s="69"/>
      <c r="AD3" s="76" t="s">
        <v>1185</v>
      </c>
      <c r="AE3" s="85" t="s">
        <v>1352</v>
      </c>
      <c r="AF3" s="76">
        <v>410</v>
      </c>
      <c r="AG3" s="76">
        <v>166</v>
      </c>
      <c r="AH3" s="76">
        <v>168</v>
      </c>
      <c r="AI3" s="76">
        <v>1236</v>
      </c>
      <c r="AJ3" s="76"/>
      <c r="AK3" s="76" t="s">
        <v>1534</v>
      </c>
      <c r="AL3" s="76" t="s">
        <v>1650</v>
      </c>
      <c r="AM3" s="76"/>
      <c r="AN3" s="76"/>
      <c r="AO3" s="78">
        <v>44549.10564814815</v>
      </c>
      <c r="AP3" s="82" t="str">
        <f>HYPERLINK("https://pbs.twimg.com/profile_banners/1472394230584729604/1642388706")</f>
        <v>https://pbs.twimg.com/profile_banners/1472394230584729604/1642388706</v>
      </c>
      <c r="AQ3" s="76" t="b">
        <v>1</v>
      </c>
      <c r="AR3" s="76" t="b">
        <v>0</v>
      </c>
      <c r="AS3" s="76" t="b">
        <v>0</v>
      </c>
      <c r="AT3" s="76"/>
      <c r="AU3" s="76">
        <v>0</v>
      </c>
      <c r="AV3" s="76"/>
      <c r="AW3" s="76" t="b">
        <v>0</v>
      </c>
      <c r="AX3" s="76" t="s">
        <v>1651</v>
      </c>
      <c r="AY3" s="82" t="str">
        <f>HYPERLINK("https://twitter.com/matthewtcone")</f>
        <v>https://twitter.com/matthewtcone</v>
      </c>
      <c r="AZ3" s="76" t="s">
        <v>66</v>
      </c>
      <c r="BA3" s="76" t="str">
        <f>REPLACE(INDEX(GroupVertices[Group],MATCH(Vertices[[#This Row],[Vertex]],GroupVertices[Vertex],0)),1,1,"")</f>
        <v>2</v>
      </c>
      <c r="BB3" s="45"/>
      <c r="BC3" s="46"/>
      <c r="BD3" s="45"/>
      <c r="BE3" s="46"/>
      <c r="BF3" s="45"/>
      <c r="BG3" s="46"/>
      <c r="BH3" s="45"/>
      <c r="BI3" s="46"/>
      <c r="BJ3" s="45"/>
      <c r="BK3" s="109" t="s">
        <v>916</v>
      </c>
      <c r="BL3" s="109" t="s">
        <v>916</v>
      </c>
      <c r="BM3" s="109" t="s">
        <v>916</v>
      </c>
      <c r="BN3" s="109" t="s">
        <v>916</v>
      </c>
    </row>
    <row r="4" spans="1:67" ht="15">
      <c r="A4" s="61" t="s">
        <v>385</v>
      </c>
      <c r="B4" s="62"/>
      <c r="C4" s="62"/>
      <c r="D4" s="63">
        <v>80</v>
      </c>
      <c r="E4" s="65"/>
      <c r="F4" s="100" t="str">
        <f>HYPERLINK("https://pbs.twimg.com/profile_images/1597611763456876544/orqsfT_X_normal.jpg")</f>
        <v>https://pbs.twimg.com/profile_images/1597611763456876544/orqsfT_X_normal.jpg</v>
      </c>
      <c r="G4" s="62"/>
      <c r="H4" s="66" t="s">
        <v>385</v>
      </c>
      <c r="I4" s="67"/>
      <c r="J4" s="67"/>
      <c r="K4" s="66" t="s">
        <v>385</v>
      </c>
      <c r="L4" s="70">
        <v>1</v>
      </c>
      <c r="M4" s="71">
        <v>127.32769775390625</v>
      </c>
      <c r="N4" s="71">
        <v>3772.113525390625</v>
      </c>
      <c r="O4" s="72"/>
      <c r="P4" s="73"/>
      <c r="Q4" s="73"/>
      <c r="R4" s="86"/>
      <c r="S4" s="45">
        <v>2</v>
      </c>
      <c r="T4" s="45">
        <v>0</v>
      </c>
      <c r="U4" s="46">
        <v>0</v>
      </c>
      <c r="V4" s="46">
        <v>0.025317</v>
      </c>
      <c r="W4" s="46">
        <v>0.000171</v>
      </c>
      <c r="X4" s="46">
        <v>0.004752</v>
      </c>
      <c r="Y4" s="46">
        <v>0.5</v>
      </c>
      <c r="Z4" s="46">
        <v>0</v>
      </c>
      <c r="AA4" s="68">
        <v>4</v>
      </c>
      <c r="AB4" s="68"/>
      <c r="AC4" s="69"/>
      <c r="AD4" s="76" t="s">
        <v>990</v>
      </c>
      <c r="AE4" s="85" t="s">
        <v>1186</v>
      </c>
      <c r="AF4" s="76">
        <v>2773</v>
      </c>
      <c r="AG4" s="76">
        <v>463541</v>
      </c>
      <c r="AH4" s="76">
        <v>559535</v>
      </c>
      <c r="AI4" s="76">
        <v>2215</v>
      </c>
      <c r="AJ4" s="76"/>
      <c r="AK4" s="76" t="s">
        <v>1353</v>
      </c>
      <c r="AL4" s="76" t="s">
        <v>1535</v>
      </c>
      <c r="AM4" s="82" t="str">
        <f>HYPERLINK("https://t.co/wRaF9acCko")</f>
        <v>https://t.co/wRaF9acCko</v>
      </c>
      <c r="AN4" s="76"/>
      <c r="AO4" s="78">
        <v>39795.00653935185</v>
      </c>
      <c r="AP4" s="82" t="str">
        <f>HYPERLINK("https://pbs.twimg.com/profile_banners/18089606/1398236844")</f>
        <v>https://pbs.twimg.com/profile_banners/18089606/1398236844</v>
      </c>
      <c r="AQ4" s="76" t="b">
        <v>0</v>
      </c>
      <c r="AR4" s="76" t="b">
        <v>0</v>
      </c>
      <c r="AS4" s="76" t="b">
        <v>0</v>
      </c>
      <c r="AT4" s="76"/>
      <c r="AU4" s="76">
        <v>3314</v>
      </c>
      <c r="AV4" s="82" t="str">
        <f>HYPERLINK("https://abs.twimg.com/images/themes/theme12/bg.gif")</f>
        <v>https://abs.twimg.com/images/themes/theme12/bg.gif</v>
      </c>
      <c r="AW4" s="76" t="b">
        <v>1</v>
      </c>
      <c r="AX4" s="76" t="s">
        <v>1651</v>
      </c>
      <c r="AY4" s="82" t="str">
        <f>HYPERLINK("https://twitter.com/kurtschlichter")</f>
        <v>https://twitter.com/kurtschlichter</v>
      </c>
      <c r="AZ4" s="76" t="s">
        <v>65</v>
      </c>
      <c r="BA4" s="76" t="str">
        <f>REPLACE(INDEX(GroupVertices[Group],MATCH(Vertices[[#This Row],[Vertex]],GroupVertices[Vertex],0)),1,1,"")</f>
        <v>2</v>
      </c>
      <c r="BB4" s="45"/>
      <c r="BC4" s="46"/>
      <c r="BD4" s="45"/>
      <c r="BE4" s="46"/>
      <c r="BF4" s="45"/>
      <c r="BG4" s="46"/>
      <c r="BH4" s="45"/>
      <c r="BI4" s="46"/>
      <c r="BJ4" s="45"/>
      <c r="BK4" s="45"/>
      <c r="BL4" s="45"/>
      <c r="BM4" s="45"/>
      <c r="BN4" s="45"/>
      <c r="BO4" s="2"/>
    </row>
    <row r="5" spans="1:67" ht="15">
      <c r="A5" s="61" t="s">
        <v>245</v>
      </c>
      <c r="B5" s="62"/>
      <c r="C5" s="62"/>
      <c r="D5" s="63">
        <v>519.090909090909</v>
      </c>
      <c r="E5" s="65"/>
      <c r="F5" s="100" t="str">
        <f>HYPERLINK("https://pbs.twimg.com/profile_images/1598447185393090560/tExhoMkQ_normal.jpg")</f>
        <v>https://pbs.twimg.com/profile_images/1598447185393090560/tExhoMkQ_normal.jpg</v>
      </c>
      <c r="G5" s="62"/>
      <c r="H5" s="66" t="s">
        <v>245</v>
      </c>
      <c r="I5" s="67"/>
      <c r="J5" s="67"/>
      <c r="K5" s="66" t="s">
        <v>245</v>
      </c>
      <c r="L5" s="70">
        <v>604.3275862068965</v>
      </c>
      <c r="M5" s="71">
        <v>886.4930419921875</v>
      </c>
      <c r="N5" s="71">
        <v>4972.884765625</v>
      </c>
      <c r="O5" s="72"/>
      <c r="P5" s="73"/>
      <c r="Q5" s="73"/>
      <c r="R5" s="86"/>
      <c r="S5" s="45">
        <v>0</v>
      </c>
      <c r="T5" s="45">
        <v>3</v>
      </c>
      <c r="U5" s="46">
        <v>21</v>
      </c>
      <c r="V5" s="46">
        <v>0.031646</v>
      </c>
      <c r="W5" s="46">
        <v>0.000396</v>
      </c>
      <c r="X5" s="46">
        <v>0.005024</v>
      </c>
      <c r="Y5" s="46">
        <v>0.3333333333333333</v>
      </c>
      <c r="Z5" s="46">
        <v>0</v>
      </c>
      <c r="AA5" s="68">
        <v>5</v>
      </c>
      <c r="AB5" s="68"/>
      <c r="AC5" s="69"/>
      <c r="AD5" s="76" t="s">
        <v>991</v>
      </c>
      <c r="AE5" s="85" t="s">
        <v>1187</v>
      </c>
      <c r="AF5" s="76">
        <v>21</v>
      </c>
      <c r="AG5" s="76">
        <v>1</v>
      </c>
      <c r="AH5" s="76">
        <v>116</v>
      </c>
      <c r="AI5" s="76">
        <v>364</v>
      </c>
      <c r="AJ5" s="76"/>
      <c r="AK5" s="76"/>
      <c r="AL5" s="76"/>
      <c r="AM5" s="76"/>
      <c r="AN5" s="76"/>
      <c r="AO5" s="78">
        <v>44896.94328703704</v>
      </c>
      <c r="AP5" s="76"/>
      <c r="AQ5" s="76" t="b">
        <v>1</v>
      </c>
      <c r="AR5" s="76" t="b">
        <v>0</v>
      </c>
      <c r="AS5" s="76" t="b">
        <v>0</v>
      </c>
      <c r="AT5" s="76"/>
      <c r="AU5" s="76">
        <v>0</v>
      </c>
      <c r="AV5" s="76"/>
      <c r="AW5" s="76" t="b">
        <v>0</v>
      </c>
      <c r="AX5" s="76" t="s">
        <v>1651</v>
      </c>
      <c r="AY5" s="82" t="str">
        <f>HYPERLINK("https://twitter.com/cybella45")</f>
        <v>https://twitter.com/cybella45</v>
      </c>
      <c r="AZ5" s="76" t="s">
        <v>66</v>
      </c>
      <c r="BA5" s="76" t="str">
        <f>REPLACE(INDEX(GroupVertices[Group],MATCH(Vertices[[#This Row],[Vertex]],GroupVertices[Vertex],0)),1,1,"")</f>
        <v>2</v>
      </c>
      <c r="BB5" s="45"/>
      <c r="BC5" s="46"/>
      <c r="BD5" s="45"/>
      <c r="BE5" s="46"/>
      <c r="BF5" s="45"/>
      <c r="BG5" s="46"/>
      <c r="BH5" s="45"/>
      <c r="BI5" s="46"/>
      <c r="BJ5" s="45"/>
      <c r="BK5" s="109" t="s">
        <v>916</v>
      </c>
      <c r="BL5" s="109" t="s">
        <v>916</v>
      </c>
      <c r="BM5" s="109" t="s">
        <v>916</v>
      </c>
      <c r="BN5" s="109" t="s">
        <v>916</v>
      </c>
      <c r="BO5" s="2"/>
    </row>
    <row r="6" spans="1:67" ht="15">
      <c r="A6" s="61" t="s">
        <v>386</v>
      </c>
      <c r="B6" s="62"/>
      <c r="C6" s="62"/>
      <c r="D6" s="63">
        <v>1000</v>
      </c>
      <c r="E6" s="65"/>
      <c r="F6" s="100" t="str">
        <f>HYPERLINK("https://pbs.twimg.com/profile_images/1600202163841531904/NK4kmUuE_normal.jpg")</f>
        <v>https://pbs.twimg.com/profile_images/1600202163841531904/NK4kmUuE_normal.jpg</v>
      </c>
      <c r="G6" s="62"/>
      <c r="H6" s="66" t="s">
        <v>386</v>
      </c>
      <c r="I6" s="67"/>
      <c r="J6" s="67"/>
      <c r="K6" s="66" t="s">
        <v>386</v>
      </c>
      <c r="L6" s="70">
        <v>3477.316091954023</v>
      </c>
      <c r="M6" s="71">
        <v>2313.10546875</v>
      </c>
      <c r="N6" s="71">
        <v>5171.669921875</v>
      </c>
      <c r="O6" s="72"/>
      <c r="P6" s="73"/>
      <c r="Q6" s="73"/>
      <c r="R6" s="86"/>
      <c r="S6" s="45">
        <v>5</v>
      </c>
      <c r="T6" s="45">
        <v>0</v>
      </c>
      <c r="U6" s="46">
        <v>121</v>
      </c>
      <c r="V6" s="46">
        <v>0.040897</v>
      </c>
      <c r="W6" s="46">
        <v>0.001271</v>
      </c>
      <c r="X6" s="46">
        <v>0.005535</v>
      </c>
      <c r="Y6" s="46">
        <v>0.15</v>
      </c>
      <c r="Z6" s="46">
        <v>0</v>
      </c>
      <c r="AA6" s="68">
        <v>6</v>
      </c>
      <c r="AB6" s="68"/>
      <c r="AC6" s="69"/>
      <c r="AD6" s="76" t="s">
        <v>992</v>
      </c>
      <c r="AE6" s="85" t="s">
        <v>917</v>
      </c>
      <c r="AF6" s="76">
        <v>365</v>
      </c>
      <c r="AG6" s="76">
        <v>9319</v>
      </c>
      <c r="AH6" s="76">
        <v>986</v>
      </c>
      <c r="AI6" s="76">
        <v>203</v>
      </c>
      <c r="AJ6" s="76"/>
      <c r="AK6" s="76" t="s">
        <v>1354</v>
      </c>
      <c r="AL6" s="76" t="s">
        <v>1536</v>
      </c>
      <c r="AM6" s="76"/>
      <c r="AN6" s="76"/>
      <c r="AO6" s="78">
        <v>39880.91226851852</v>
      </c>
      <c r="AP6" s="76"/>
      <c r="AQ6" s="76" t="b">
        <v>1</v>
      </c>
      <c r="AR6" s="76" t="b">
        <v>0</v>
      </c>
      <c r="AS6" s="76" t="b">
        <v>0</v>
      </c>
      <c r="AT6" s="76"/>
      <c r="AU6" s="76">
        <v>49</v>
      </c>
      <c r="AV6" s="82" t="str">
        <f>HYPERLINK("https://abs.twimg.com/images/themes/theme1/bg.png")</f>
        <v>https://abs.twimg.com/images/themes/theme1/bg.png</v>
      </c>
      <c r="AW6" s="76" t="b">
        <v>0</v>
      </c>
      <c r="AX6" s="76" t="s">
        <v>1651</v>
      </c>
      <c r="AY6" s="82" t="str">
        <f>HYPERLINK("https://twitter.com/leighwolf")</f>
        <v>https://twitter.com/leighwolf</v>
      </c>
      <c r="AZ6" s="76" t="s">
        <v>65</v>
      </c>
      <c r="BA6" s="76" t="str">
        <f>REPLACE(INDEX(GroupVertices[Group],MATCH(Vertices[[#This Row],[Vertex]],GroupVertices[Vertex],0)),1,1,"")</f>
        <v>2</v>
      </c>
      <c r="BB6" s="45"/>
      <c r="BC6" s="46"/>
      <c r="BD6" s="45"/>
      <c r="BE6" s="46"/>
      <c r="BF6" s="45"/>
      <c r="BG6" s="46"/>
      <c r="BH6" s="45"/>
      <c r="BI6" s="46"/>
      <c r="BJ6" s="45"/>
      <c r="BK6" s="45"/>
      <c r="BL6" s="45"/>
      <c r="BM6" s="45"/>
      <c r="BN6" s="45"/>
      <c r="BO6" s="2"/>
    </row>
    <row r="7" spans="1:67" ht="15">
      <c r="A7" s="61" t="s">
        <v>247</v>
      </c>
      <c r="B7" s="62"/>
      <c r="C7" s="62"/>
      <c r="D7" s="63">
        <v>80</v>
      </c>
      <c r="E7" s="65"/>
      <c r="F7" s="100" t="str">
        <f>HYPERLINK("https://pbs.twimg.com/profile_images/1589261180744482817/npshtqVK_normal.jpg")</f>
        <v>https://pbs.twimg.com/profile_images/1589261180744482817/npshtqVK_normal.jpg</v>
      </c>
      <c r="G7" s="62"/>
      <c r="H7" s="66" t="s">
        <v>247</v>
      </c>
      <c r="I7" s="67"/>
      <c r="J7" s="67"/>
      <c r="K7" s="66" t="s">
        <v>247</v>
      </c>
      <c r="L7" s="70">
        <v>1</v>
      </c>
      <c r="M7" s="71">
        <v>4145.9775390625</v>
      </c>
      <c r="N7" s="71">
        <v>2698.899658203125</v>
      </c>
      <c r="O7" s="72"/>
      <c r="P7" s="73"/>
      <c r="Q7" s="73"/>
      <c r="R7" s="86"/>
      <c r="S7" s="45">
        <v>1</v>
      </c>
      <c r="T7" s="45">
        <v>1</v>
      </c>
      <c r="U7" s="46">
        <v>0</v>
      </c>
      <c r="V7" s="46">
        <v>0</v>
      </c>
      <c r="W7" s="46">
        <v>0</v>
      </c>
      <c r="X7" s="46">
        <v>0.005</v>
      </c>
      <c r="Y7" s="46">
        <v>0</v>
      </c>
      <c r="Z7" s="46">
        <v>0</v>
      </c>
      <c r="AA7" s="68">
        <v>7</v>
      </c>
      <c r="AB7" s="68"/>
      <c r="AC7" s="69"/>
      <c r="AD7" s="76" t="s">
        <v>993</v>
      </c>
      <c r="AE7" s="85" t="s">
        <v>1188</v>
      </c>
      <c r="AF7" s="76">
        <v>3474</v>
      </c>
      <c r="AG7" s="76">
        <v>3345</v>
      </c>
      <c r="AH7" s="76">
        <v>16766</v>
      </c>
      <c r="AI7" s="76">
        <v>11443</v>
      </c>
      <c r="AJ7" s="76"/>
      <c r="AK7" s="76" t="s">
        <v>1355</v>
      </c>
      <c r="AL7" s="76" t="s">
        <v>1537</v>
      </c>
      <c r="AM7" s="82" t="str">
        <f>HYPERLINK("https://t.co/MknAcboNip")</f>
        <v>https://t.co/MknAcboNip</v>
      </c>
      <c r="AN7" s="76"/>
      <c r="AO7" s="78">
        <v>40126.60828703704</v>
      </c>
      <c r="AP7" s="82" t="str">
        <f>HYPERLINK("https://pbs.twimg.com/profile_banners/88676762/1668258857")</f>
        <v>https://pbs.twimg.com/profile_banners/88676762/1668258857</v>
      </c>
      <c r="AQ7" s="76" t="b">
        <v>0</v>
      </c>
      <c r="AR7" s="76" t="b">
        <v>0</v>
      </c>
      <c r="AS7" s="76" t="b">
        <v>1</v>
      </c>
      <c r="AT7" s="76"/>
      <c r="AU7" s="76">
        <v>189</v>
      </c>
      <c r="AV7" s="82" t="str">
        <f>HYPERLINK("https://abs.twimg.com/images/themes/theme15/bg.png")</f>
        <v>https://abs.twimg.com/images/themes/theme15/bg.png</v>
      </c>
      <c r="AW7" s="76" t="b">
        <v>0</v>
      </c>
      <c r="AX7" s="76" t="s">
        <v>1651</v>
      </c>
      <c r="AY7" s="82" t="str">
        <f>HYPERLINK("https://twitter.com/wiobyrne")</f>
        <v>https://twitter.com/wiobyrne</v>
      </c>
      <c r="AZ7" s="76" t="s">
        <v>66</v>
      </c>
      <c r="BA7" s="76" t="str">
        <f>REPLACE(INDEX(GroupVertices[Group],MATCH(Vertices[[#This Row],[Vertex]],GroupVertices[Vertex],0)),1,1,"")</f>
        <v>80</v>
      </c>
      <c r="BB7" s="45"/>
      <c r="BC7" s="46"/>
      <c r="BD7" s="45"/>
      <c r="BE7" s="46"/>
      <c r="BF7" s="45"/>
      <c r="BG7" s="46"/>
      <c r="BH7" s="45"/>
      <c r="BI7" s="46"/>
      <c r="BJ7" s="45"/>
      <c r="BK7" s="109" t="s">
        <v>916</v>
      </c>
      <c r="BL7" s="109" t="s">
        <v>916</v>
      </c>
      <c r="BM7" s="109" t="s">
        <v>916</v>
      </c>
      <c r="BN7" s="109" t="s">
        <v>916</v>
      </c>
      <c r="BO7" s="2"/>
    </row>
    <row r="8" spans="1:67" ht="15">
      <c r="A8" s="61" t="s">
        <v>248</v>
      </c>
      <c r="B8" s="62"/>
      <c r="C8" s="62"/>
      <c r="D8" s="63">
        <v>1000</v>
      </c>
      <c r="E8" s="65"/>
      <c r="F8" s="100" t="str">
        <f>HYPERLINK("https://pbs.twimg.com/profile_images/1530237686350503945/Fpjoz65k_normal.jpg")</f>
        <v>https://pbs.twimg.com/profile_images/1530237686350503945/Fpjoz65k_normal.jpg</v>
      </c>
      <c r="G8" s="62"/>
      <c r="H8" s="66" t="s">
        <v>248</v>
      </c>
      <c r="I8" s="67"/>
      <c r="J8" s="67"/>
      <c r="K8" s="66" t="s">
        <v>248</v>
      </c>
      <c r="L8" s="70">
        <v>3448.5862068965516</v>
      </c>
      <c r="M8" s="71">
        <v>6301.3310546875</v>
      </c>
      <c r="N8" s="71">
        <v>5447.546875</v>
      </c>
      <c r="O8" s="72"/>
      <c r="P8" s="73"/>
      <c r="Q8" s="73"/>
      <c r="R8" s="86"/>
      <c r="S8" s="45">
        <v>0</v>
      </c>
      <c r="T8" s="45">
        <v>2</v>
      </c>
      <c r="U8" s="46">
        <v>120</v>
      </c>
      <c r="V8" s="46">
        <v>0.042195</v>
      </c>
      <c r="W8" s="46">
        <v>0.000587</v>
      </c>
      <c r="X8" s="46">
        <v>0.004664</v>
      </c>
      <c r="Y8" s="46">
        <v>0</v>
      </c>
      <c r="Z8" s="46">
        <v>0</v>
      </c>
      <c r="AA8" s="68">
        <v>8</v>
      </c>
      <c r="AB8" s="68"/>
      <c r="AC8" s="69"/>
      <c r="AD8" s="76" t="s">
        <v>994</v>
      </c>
      <c r="AE8" s="85" t="s">
        <v>1189</v>
      </c>
      <c r="AF8" s="76">
        <v>36</v>
      </c>
      <c r="AG8" s="76">
        <v>4</v>
      </c>
      <c r="AH8" s="76">
        <v>245</v>
      </c>
      <c r="AI8" s="76">
        <v>2590</v>
      </c>
      <c r="AJ8" s="76"/>
      <c r="AK8" s="76"/>
      <c r="AL8" s="76"/>
      <c r="AM8" s="76"/>
      <c r="AN8" s="76"/>
      <c r="AO8" s="78">
        <v>44708.70811342593</v>
      </c>
      <c r="AP8" s="82" t="str">
        <f>HYPERLINK("https://pbs.twimg.com/profile_banners/1530232170396143639/1653672130")</f>
        <v>https://pbs.twimg.com/profile_banners/1530232170396143639/1653672130</v>
      </c>
      <c r="AQ8" s="76" t="b">
        <v>1</v>
      </c>
      <c r="AR8" s="76" t="b">
        <v>0</v>
      </c>
      <c r="AS8" s="76" t="b">
        <v>0</v>
      </c>
      <c r="AT8" s="76"/>
      <c r="AU8" s="76">
        <v>0</v>
      </c>
      <c r="AV8" s="76"/>
      <c r="AW8" s="76" t="b">
        <v>0</v>
      </c>
      <c r="AX8" s="76" t="s">
        <v>1651</v>
      </c>
      <c r="AY8" s="82" t="str">
        <f>HYPERLINK("https://twitter.com/arnitry")</f>
        <v>https://twitter.com/arnitry</v>
      </c>
      <c r="AZ8" s="76" t="s">
        <v>66</v>
      </c>
      <c r="BA8" s="76" t="str">
        <f>REPLACE(INDEX(GroupVertices[Group],MATCH(Vertices[[#This Row],[Vertex]],GroupVertices[Vertex],0)),1,1,"")</f>
        <v>7</v>
      </c>
      <c r="BB8" s="45"/>
      <c r="BC8" s="46"/>
      <c r="BD8" s="45"/>
      <c r="BE8" s="46"/>
      <c r="BF8" s="45"/>
      <c r="BG8" s="46"/>
      <c r="BH8" s="45"/>
      <c r="BI8" s="46"/>
      <c r="BJ8" s="45"/>
      <c r="BK8" s="109" t="s">
        <v>916</v>
      </c>
      <c r="BL8" s="109" t="s">
        <v>916</v>
      </c>
      <c r="BM8" s="109" t="s">
        <v>916</v>
      </c>
      <c r="BN8" s="109" t="s">
        <v>916</v>
      </c>
      <c r="BO8" s="2"/>
    </row>
    <row r="9" spans="1:67" ht="15">
      <c r="A9" s="61" t="s">
        <v>387</v>
      </c>
      <c r="B9" s="62"/>
      <c r="C9" s="62"/>
      <c r="D9" s="63">
        <v>1000</v>
      </c>
      <c r="E9" s="65"/>
      <c r="F9" s="100" t="str">
        <f>HYPERLINK("https://pbs.twimg.com/profile_images/1590968738358079488/IY9Gx6Ok_normal.jpg")</f>
        <v>https://pbs.twimg.com/profile_images/1590968738358079488/IY9Gx6Ok_normal.jpg</v>
      </c>
      <c r="G9" s="62"/>
      <c r="H9" s="66" t="s">
        <v>387</v>
      </c>
      <c r="I9" s="67"/>
      <c r="J9" s="67"/>
      <c r="K9" s="66" t="s">
        <v>387</v>
      </c>
      <c r="L9" s="70">
        <v>9999</v>
      </c>
      <c r="M9" s="71">
        <v>5102.7333984375</v>
      </c>
      <c r="N9" s="71">
        <v>6685.78076171875</v>
      </c>
      <c r="O9" s="72"/>
      <c r="P9" s="73"/>
      <c r="Q9" s="73"/>
      <c r="R9" s="86"/>
      <c r="S9" s="45">
        <v>8</v>
      </c>
      <c r="T9" s="45">
        <v>0</v>
      </c>
      <c r="U9" s="46">
        <v>348</v>
      </c>
      <c r="V9" s="46">
        <v>0.056559</v>
      </c>
      <c r="W9" s="46">
        <v>0.002582</v>
      </c>
      <c r="X9" s="46">
        <v>0.006166</v>
      </c>
      <c r="Y9" s="46">
        <v>0.07142857142857142</v>
      </c>
      <c r="Z9" s="46">
        <v>0</v>
      </c>
      <c r="AA9" s="68">
        <v>9</v>
      </c>
      <c r="AB9" s="68"/>
      <c r="AC9" s="69"/>
      <c r="AD9" s="76" t="s">
        <v>995</v>
      </c>
      <c r="AE9" s="85" t="s">
        <v>926</v>
      </c>
      <c r="AF9" s="76">
        <v>177</v>
      </c>
      <c r="AG9" s="76">
        <v>129005265</v>
      </c>
      <c r="AH9" s="76">
        <v>22775</v>
      </c>
      <c r="AI9" s="76">
        <v>18108</v>
      </c>
      <c r="AJ9" s="76"/>
      <c r="AK9" s="76"/>
      <c r="AL9" s="76"/>
      <c r="AM9" s="76"/>
      <c r="AN9" s="76"/>
      <c r="AO9" s="78">
        <v>39966.842002314814</v>
      </c>
      <c r="AP9" s="82" t="str">
        <f>HYPERLINK("https://pbs.twimg.com/profile_banners/44196397/1576183471")</f>
        <v>https://pbs.twimg.com/profile_banners/44196397/1576183471</v>
      </c>
      <c r="AQ9" s="76" t="b">
        <v>0</v>
      </c>
      <c r="AR9" s="76" t="b">
        <v>0</v>
      </c>
      <c r="AS9" s="76" t="b">
        <v>0</v>
      </c>
      <c r="AT9" s="76"/>
      <c r="AU9" s="76">
        <v>114454</v>
      </c>
      <c r="AV9" s="82" t="str">
        <f>HYPERLINK("https://abs.twimg.com/images/themes/theme1/bg.png")</f>
        <v>https://abs.twimg.com/images/themes/theme1/bg.png</v>
      </c>
      <c r="AW9" s="76" t="b">
        <v>1</v>
      </c>
      <c r="AX9" s="76" t="s">
        <v>1651</v>
      </c>
      <c r="AY9" s="82" t="str">
        <f>HYPERLINK("https://twitter.com/elonmusk")</f>
        <v>https://twitter.com/elonmusk</v>
      </c>
      <c r="AZ9" s="76" t="s">
        <v>65</v>
      </c>
      <c r="BA9" s="76" t="str">
        <f>REPLACE(INDEX(GroupVertices[Group],MATCH(Vertices[[#This Row],[Vertex]],GroupVertices[Vertex],0)),1,1,"")</f>
        <v>2</v>
      </c>
      <c r="BB9" s="45"/>
      <c r="BC9" s="46"/>
      <c r="BD9" s="45"/>
      <c r="BE9" s="46"/>
      <c r="BF9" s="45"/>
      <c r="BG9" s="46"/>
      <c r="BH9" s="45"/>
      <c r="BI9" s="46"/>
      <c r="BJ9" s="45"/>
      <c r="BK9" s="45"/>
      <c r="BL9" s="45"/>
      <c r="BM9" s="45"/>
      <c r="BN9" s="45"/>
      <c r="BO9" s="2"/>
    </row>
    <row r="10" spans="1:67" ht="15">
      <c r="A10" s="61" t="s">
        <v>388</v>
      </c>
      <c r="B10" s="62"/>
      <c r="C10" s="62"/>
      <c r="D10" s="63">
        <v>1000</v>
      </c>
      <c r="E10" s="65"/>
      <c r="F10" s="100" t="str">
        <f>HYPERLINK("https://pbs.twimg.com/profile_images/1603113436757389313/wpYDqrIf_normal.jpg")</f>
        <v>https://pbs.twimg.com/profile_images/1603113436757389313/wpYDqrIf_normal.jpg</v>
      </c>
      <c r="G10" s="62"/>
      <c r="H10" s="66" t="s">
        <v>388</v>
      </c>
      <c r="I10" s="67"/>
      <c r="J10" s="67"/>
      <c r="K10" s="66" t="s">
        <v>388</v>
      </c>
      <c r="L10" s="70">
        <v>2471.770114942529</v>
      </c>
      <c r="M10" s="71">
        <v>7226.66015625</v>
      </c>
      <c r="N10" s="71">
        <v>4170.91552734375</v>
      </c>
      <c r="O10" s="72"/>
      <c r="P10" s="73"/>
      <c r="Q10" s="73"/>
      <c r="R10" s="86"/>
      <c r="S10" s="45">
        <v>3</v>
      </c>
      <c r="T10" s="45">
        <v>0</v>
      </c>
      <c r="U10" s="46">
        <v>86</v>
      </c>
      <c r="V10" s="46">
        <v>0.032818</v>
      </c>
      <c r="W10" s="46">
        <v>0.000139</v>
      </c>
      <c r="X10" s="46">
        <v>0.005964</v>
      </c>
      <c r="Y10" s="46">
        <v>0</v>
      </c>
      <c r="Z10" s="46">
        <v>0</v>
      </c>
      <c r="AA10" s="68">
        <v>10</v>
      </c>
      <c r="AB10" s="68"/>
      <c r="AC10" s="69"/>
      <c r="AD10" s="76" t="s">
        <v>996</v>
      </c>
      <c r="AE10" s="85" t="s">
        <v>1190</v>
      </c>
      <c r="AF10" s="76">
        <v>0</v>
      </c>
      <c r="AG10" s="76">
        <v>1509833</v>
      </c>
      <c r="AH10" s="76">
        <v>579</v>
      </c>
      <c r="AI10" s="76">
        <v>348</v>
      </c>
      <c r="AJ10" s="76"/>
      <c r="AK10" s="76" t="s">
        <v>1356</v>
      </c>
      <c r="AL10" s="76"/>
      <c r="AM10" s="82" t="str">
        <f>HYPERLINK("https://t.co/3bPlZZByfL")</f>
        <v>https://t.co/3bPlZZByfL</v>
      </c>
      <c r="AN10" s="76"/>
      <c r="AO10" s="78">
        <v>42344.95217592592</v>
      </c>
      <c r="AP10" s="82" t="str">
        <f>HYPERLINK("https://pbs.twimg.com/profile_banners/4398626122/1649351819")</f>
        <v>https://pbs.twimg.com/profile_banners/4398626122/1649351819</v>
      </c>
      <c r="AQ10" s="76" t="b">
        <v>1</v>
      </c>
      <c r="AR10" s="76" t="b">
        <v>0</v>
      </c>
      <c r="AS10" s="76" t="b">
        <v>0</v>
      </c>
      <c r="AT10" s="76"/>
      <c r="AU10" s="76">
        <v>9767</v>
      </c>
      <c r="AV10" s="82" t="str">
        <f>HYPERLINK("https://abs.twimg.com/images/themes/theme1/bg.png")</f>
        <v>https://abs.twimg.com/images/themes/theme1/bg.png</v>
      </c>
      <c r="AW10" s="76" t="b">
        <v>1</v>
      </c>
      <c r="AX10" s="76" t="s">
        <v>1651</v>
      </c>
      <c r="AY10" s="82" t="str">
        <f>HYPERLINK("https://twitter.com/openai")</f>
        <v>https://twitter.com/openai</v>
      </c>
      <c r="AZ10" s="76" t="s">
        <v>65</v>
      </c>
      <c r="BA10" s="76" t="str">
        <f>REPLACE(INDEX(GroupVertices[Group],MATCH(Vertices[[#This Row],[Vertex]],GroupVertices[Vertex],0)),1,1,"")</f>
        <v>7</v>
      </c>
      <c r="BB10" s="45"/>
      <c r="BC10" s="46"/>
      <c r="BD10" s="45"/>
      <c r="BE10" s="46"/>
      <c r="BF10" s="45"/>
      <c r="BG10" s="46"/>
      <c r="BH10" s="45"/>
      <c r="BI10" s="46"/>
      <c r="BJ10" s="45"/>
      <c r="BK10" s="45"/>
      <c r="BL10" s="45"/>
      <c r="BM10" s="45"/>
      <c r="BN10" s="45"/>
      <c r="BO10" s="2"/>
    </row>
    <row r="11" spans="1:67" ht="15">
      <c r="A11" s="61" t="s">
        <v>249</v>
      </c>
      <c r="B11" s="62"/>
      <c r="C11" s="62"/>
      <c r="D11" s="63">
        <v>80</v>
      </c>
      <c r="E11" s="65"/>
      <c r="F11" s="100" t="str">
        <f>HYPERLINK("https://pbs.twimg.com/profile_images/3439035806/5d95beb890855ec2472ee343f6714ff6_normal.jpeg")</f>
        <v>https://pbs.twimg.com/profile_images/3439035806/5d95beb890855ec2472ee343f6714ff6_normal.jpeg</v>
      </c>
      <c r="G11" s="62"/>
      <c r="H11" s="66" t="s">
        <v>249</v>
      </c>
      <c r="I11" s="67"/>
      <c r="J11" s="67"/>
      <c r="K11" s="66" t="s">
        <v>249</v>
      </c>
      <c r="L11" s="70">
        <v>1</v>
      </c>
      <c r="M11" s="71">
        <v>7666.70751953125</v>
      </c>
      <c r="N11" s="71">
        <v>2722.391845703125</v>
      </c>
      <c r="O11" s="72"/>
      <c r="P11" s="73"/>
      <c r="Q11" s="73"/>
      <c r="R11" s="86"/>
      <c r="S11" s="45">
        <v>0</v>
      </c>
      <c r="T11" s="45">
        <v>1</v>
      </c>
      <c r="U11" s="46">
        <v>0</v>
      </c>
      <c r="V11" s="46">
        <v>0.025809</v>
      </c>
      <c r="W11" s="46">
        <v>3E-05</v>
      </c>
      <c r="X11" s="46">
        <v>0.004548</v>
      </c>
      <c r="Y11" s="46">
        <v>0</v>
      </c>
      <c r="Z11" s="46">
        <v>0</v>
      </c>
      <c r="AA11" s="68">
        <v>11</v>
      </c>
      <c r="AB11" s="68"/>
      <c r="AC11" s="69"/>
      <c r="AD11" s="76" t="s">
        <v>997</v>
      </c>
      <c r="AE11" s="85" t="s">
        <v>1191</v>
      </c>
      <c r="AF11" s="76">
        <v>417</v>
      </c>
      <c r="AG11" s="76">
        <v>122</v>
      </c>
      <c r="AH11" s="76">
        <v>1416</v>
      </c>
      <c r="AI11" s="76">
        <v>506</v>
      </c>
      <c r="AJ11" s="76"/>
      <c r="AK11" s="76" t="s">
        <v>1357</v>
      </c>
      <c r="AL11" s="76"/>
      <c r="AM11" s="82" t="str">
        <f>HYPERLINK("https://t.co/LGbzBsI7Xs")</f>
        <v>https://t.co/LGbzBsI7Xs</v>
      </c>
      <c r="AN11" s="76"/>
      <c r="AO11" s="78">
        <v>41360.76789351852</v>
      </c>
      <c r="AP11" s="82" t="str">
        <f>HYPERLINK("https://pbs.twimg.com/profile_banners/1308239570/1523843578")</f>
        <v>https://pbs.twimg.com/profile_banners/1308239570/1523843578</v>
      </c>
      <c r="AQ11" s="76" t="b">
        <v>1</v>
      </c>
      <c r="AR11" s="76" t="b">
        <v>0</v>
      </c>
      <c r="AS11" s="76" t="b">
        <v>0</v>
      </c>
      <c r="AT11" s="76"/>
      <c r="AU11" s="76">
        <v>25</v>
      </c>
      <c r="AV11" s="82" t="str">
        <f>HYPERLINK("https://abs.twimg.com/images/themes/theme1/bg.png")</f>
        <v>https://abs.twimg.com/images/themes/theme1/bg.png</v>
      </c>
      <c r="AW11" s="76" t="b">
        <v>0</v>
      </c>
      <c r="AX11" s="76" t="s">
        <v>1651</v>
      </c>
      <c r="AY11" s="82" t="str">
        <f>HYPERLINK("https://twitter.com/sosaysgeorge")</f>
        <v>https://twitter.com/sosaysgeorge</v>
      </c>
      <c r="AZ11" s="76" t="s">
        <v>66</v>
      </c>
      <c r="BA11" s="76" t="str">
        <f>REPLACE(INDEX(GroupVertices[Group],MATCH(Vertices[[#This Row],[Vertex]],GroupVertices[Vertex],0)),1,1,"")</f>
        <v>7</v>
      </c>
      <c r="BB11" s="45"/>
      <c r="BC11" s="46"/>
      <c r="BD11" s="45"/>
      <c r="BE11" s="46"/>
      <c r="BF11" s="45"/>
      <c r="BG11" s="46"/>
      <c r="BH11" s="45"/>
      <c r="BI11" s="46"/>
      <c r="BJ11" s="45"/>
      <c r="BK11" s="109" t="s">
        <v>916</v>
      </c>
      <c r="BL11" s="109" t="s">
        <v>916</v>
      </c>
      <c r="BM11" s="109" t="s">
        <v>916</v>
      </c>
      <c r="BN11" s="109" t="s">
        <v>916</v>
      </c>
      <c r="BO11" s="2"/>
    </row>
    <row r="12" spans="1:67" ht="15">
      <c r="A12" s="61" t="s">
        <v>250</v>
      </c>
      <c r="B12" s="62"/>
      <c r="C12" s="62"/>
      <c r="D12" s="63">
        <v>80</v>
      </c>
      <c r="E12" s="65"/>
      <c r="F12" s="100" t="str">
        <f>HYPERLINK("https://pbs.twimg.com/profile_images/1545932882832773122/5wU6DzF8_normal.jpg")</f>
        <v>https://pbs.twimg.com/profile_images/1545932882832773122/5wU6DzF8_normal.jpg</v>
      </c>
      <c r="G12" s="62"/>
      <c r="H12" s="66" t="s">
        <v>250</v>
      </c>
      <c r="I12" s="67"/>
      <c r="J12" s="67"/>
      <c r="K12" s="66" t="s">
        <v>250</v>
      </c>
      <c r="L12" s="70">
        <v>1</v>
      </c>
      <c r="M12" s="71">
        <v>5505.04052734375</v>
      </c>
      <c r="N12" s="71">
        <v>929.5231323242188</v>
      </c>
      <c r="O12" s="72"/>
      <c r="P12" s="73"/>
      <c r="Q12" s="73"/>
      <c r="R12" s="86"/>
      <c r="S12" s="45">
        <v>0</v>
      </c>
      <c r="T12" s="45">
        <v>1</v>
      </c>
      <c r="U12" s="46">
        <v>0</v>
      </c>
      <c r="V12" s="46">
        <v>0.041498</v>
      </c>
      <c r="W12" s="46">
        <v>9.6E-05</v>
      </c>
      <c r="X12" s="46">
        <v>0.004381</v>
      </c>
      <c r="Y12" s="46">
        <v>0</v>
      </c>
      <c r="Z12" s="46">
        <v>0</v>
      </c>
      <c r="AA12" s="68">
        <v>12</v>
      </c>
      <c r="AB12" s="68"/>
      <c r="AC12" s="69"/>
      <c r="AD12" s="76" t="s">
        <v>998</v>
      </c>
      <c r="AE12" s="85" t="s">
        <v>1192</v>
      </c>
      <c r="AF12" s="76">
        <v>1160</v>
      </c>
      <c r="AG12" s="76">
        <v>80</v>
      </c>
      <c r="AH12" s="76">
        <v>617</v>
      </c>
      <c r="AI12" s="76">
        <v>2537</v>
      </c>
      <c r="AJ12" s="76"/>
      <c r="AK12" s="76" t="s">
        <v>1358</v>
      </c>
      <c r="AL12" s="76" t="s">
        <v>1538</v>
      </c>
      <c r="AM12" s="76"/>
      <c r="AN12" s="76"/>
      <c r="AO12" s="78">
        <v>42297.00859953704</v>
      </c>
      <c r="AP12" s="82" t="str">
        <f>HYPERLINK("https://pbs.twimg.com/profile_banners/3998194216/1652559046")</f>
        <v>https://pbs.twimg.com/profile_banners/3998194216/1652559046</v>
      </c>
      <c r="AQ12" s="76" t="b">
        <v>1</v>
      </c>
      <c r="AR12" s="76" t="b">
        <v>0</v>
      </c>
      <c r="AS12" s="76" t="b">
        <v>0</v>
      </c>
      <c r="AT12" s="76"/>
      <c r="AU12" s="76">
        <v>0</v>
      </c>
      <c r="AV12" s="82" t="str">
        <f>HYPERLINK("https://abs.twimg.com/images/themes/theme1/bg.png")</f>
        <v>https://abs.twimg.com/images/themes/theme1/bg.png</v>
      </c>
      <c r="AW12" s="76" t="b">
        <v>0</v>
      </c>
      <c r="AX12" s="76" t="s">
        <v>1651</v>
      </c>
      <c r="AY12" s="82" t="str">
        <f>HYPERLINK("https://twitter.com/pattonmatt2")</f>
        <v>https://twitter.com/pattonmatt2</v>
      </c>
      <c r="AZ12" s="76" t="s">
        <v>66</v>
      </c>
      <c r="BA12" s="76" t="str">
        <f>REPLACE(INDEX(GroupVertices[Group],MATCH(Vertices[[#This Row],[Vertex]],GroupVertices[Vertex],0)),1,1,"")</f>
        <v>1</v>
      </c>
      <c r="BB12" s="45"/>
      <c r="BC12" s="46"/>
      <c r="BD12" s="45"/>
      <c r="BE12" s="46"/>
      <c r="BF12" s="45"/>
      <c r="BG12" s="46"/>
      <c r="BH12" s="45"/>
      <c r="BI12" s="46"/>
      <c r="BJ12" s="45"/>
      <c r="BK12" s="109" t="s">
        <v>916</v>
      </c>
      <c r="BL12" s="109" t="s">
        <v>916</v>
      </c>
      <c r="BM12" s="109" t="s">
        <v>916</v>
      </c>
      <c r="BN12" s="109" t="s">
        <v>916</v>
      </c>
      <c r="BO12" s="2"/>
    </row>
    <row r="13" spans="1:67" ht="15">
      <c r="A13" s="61" t="s">
        <v>286</v>
      </c>
      <c r="B13" s="62"/>
      <c r="C13" s="62"/>
      <c r="D13" s="63">
        <v>1000</v>
      </c>
      <c r="E13" s="65"/>
      <c r="F13" s="100" t="str">
        <f>HYPERLINK("https://pbs.twimg.com/profile_images/1623113417891659776/IA4UsKAx_normal.jpg")</f>
        <v>https://pbs.twimg.com/profile_images/1623113417891659776/IA4UsKAx_normal.jpg</v>
      </c>
      <c r="G13" s="62"/>
      <c r="H13" s="66" t="s">
        <v>286</v>
      </c>
      <c r="I13" s="67"/>
      <c r="J13" s="67"/>
      <c r="K13" s="66" t="s">
        <v>286</v>
      </c>
      <c r="L13" s="70">
        <v>6896.172413793103</v>
      </c>
      <c r="M13" s="71">
        <v>5717.27783203125</v>
      </c>
      <c r="N13" s="71">
        <v>2733.737548828125</v>
      </c>
      <c r="O13" s="72"/>
      <c r="P13" s="73"/>
      <c r="Q13" s="73"/>
      <c r="R13" s="86"/>
      <c r="S13" s="45">
        <v>17</v>
      </c>
      <c r="T13" s="45">
        <v>1</v>
      </c>
      <c r="U13" s="46">
        <v>240</v>
      </c>
      <c r="V13" s="46">
        <v>0.080402</v>
      </c>
      <c r="W13" s="46">
        <v>0.000435</v>
      </c>
      <c r="X13" s="46">
        <v>0.014897</v>
      </c>
      <c r="Y13" s="46">
        <v>0</v>
      </c>
      <c r="Z13" s="46">
        <v>0</v>
      </c>
      <c r="AA13" s="68">
        <v>13</v>
      </c>
      <c r="AB13" s="68"/>
      <c r="AC13" s="69"/>
      <c r="AD13" s="76" t="s">
        <v>999</v>
      </c>
      <c r="AE13" s="85" t="s">
        <v>1193</v>
      </c>
      <c r="AF13" s="76">
        <v>3265</v>
      </c>
      <c r="AG13" s="76">
        <v>6706</v>
      </c>
      <c r="AH13" s="76">
        <v>23458</v>
      </c>
      <c r="AI13" s="76">
        <v>30219</v>
      </c>
      <c r="AJ13" s="76"/>
      <c r="AK13" s="76" t="s">
        <v>1359</v>
      </c>
      <c r="AL13" s="76" t="s">
        <v>1539</v>
      </c>
      <c r="AM13" s="82" t="str">
        <f>HYPERLINK("https://t.co/AGxXDFdBrn")</f>
        <v>https://t.co/AGxXDFdBrn</v>
      </c>
      <c r="AN13" s="76"/>
      <c r="AO13" s="78">
        <v>40399.442662037036</v>
      </c>
      <c r="AP13" s="82" t="str">
        <f>HYPERLINK("https://pbs.twimg.com/profile_banners/176371696/1675815370")</f>
        <v>https://pbs.twimg.com/profile_banners/176371696/1675815370</v>
      </c>
      <c r="AQ13" s="76" t="b">
        <v>0</v>
      </c>
      <c r="AR13" s="76" t="b">
        <v>0</v>
      </c>
      <c r="AS13" s="76" t="b">
        <v>1</v>
      </c>
      <c r="AT13" s="76"/>
      <c r="AU13" s="76">
        <v>251</v>
      </c>
      <c r="AV13" s="82" t="str">
        <f>HYPERLINK("https://abs.twimg.com/images/themes/theme1/bg.png")</f>
        <v>https://abs.twimg.com/images/themes/theme1/bg.png</v>
      </c>
      <c r="AW13" s="76" t="b">
        <v>0</v>
      </c>
      <c r="AX13" s="76" t="s">
        <v>1651</v>
      </c>
      <c r="AY13" s="82" t="str">
        <f>HYPERLINK("https://twitter.com/ceptional")</f>
        <v>https://twitter.com/ceptional</v>
      </c>
      <c r="AZ13" s="76" t="s">
        <v>66</v>
      </c>
      <c r="BA13" s="76" t="str">
        <f>REPLACE(INDEX(GroupVertices[Group],MATCH(Vertices[[#This Row],[Vertex]],GroupVertices[Vertex],0)),1,1,"")</f>
        <v>1</v>
      </c>
      <c r="BB13" s="45"/>
      <c r="BC13" s="46"/>
      <c r="BD13" s="45"/>
      <c r="BE13" s="46"/>
      <c r="BF13" s="45"/>
      <c r="BG13" s="46"/>
      <c r="BH13" s="45"/>
      <c r="BI13" s="46"/>
      <c r="BJ13" s="45"/>
      <c r="BK13" s="109" t="s">
        <v>916</v>
      </c>
      <c r="BL13" s="109" t="s">
        <v>916</v>
      </c>
      <c r="BM13" s="109" t="s">
        <v>916</v>
      </c>
      <c r="BN13" s="109" t="s">
        <v>916</v>
      </c>
      <c r="BO13" s="2"/>
    </row>
    <row r="14" spans="1:67" ht="15">
      <c r="A14" s="61" t="s">
        <v>251</v>
      </c>
      <c r="B14" s="62"/>
      <c r="C14" s="62"/>
      <c r="D14" s="63">
        <v>80</v>
      </c>
      <c r="E14" s="65"/>
      <c r="F14" s="100" t="str">
        <f>HYPERLINK("https://pbs.twimg.com/profile_images/1516087396005298186/tNuHWO43_normal.jpg")</f>
        <v>https://pbs.twimg.com/profile_images/1516087396005298186/tNuHWO43_normal.jpg</v>
      </c>
      <c r="G14" s="62"/>
      <c r="H14" s="66" t="s">
        <v>251</v>
      </c>
      <c r="I14" s="67"/>
      <c r="J14" s="67"/>
      <c r="K14" s="66" t="s">
        <v>251</v>
      </c>
      <c r="L14" s="70">
        <v>1</v>
      </c>
      <c r="M14" s="71">
        <v>4208.4091796875</v>
      </c>
      <c r="N14" s="71">
        <v>2645.555419921875</v>
      </c>
      <c r="O14" s="72"/>
      <c r="P14" s="73"/>
      <c r="Q14" s="73"/>
      <c r="R14" s="86"/>
      <c r="S14" s="45">
        <v>0</v>
      </c>
      <c r="T14" s="45">
        <v>1</v>
      </c>
      <c r="U14" s="46">
        <v>0</v>
      </c>
      <c r="V14" s="46">
        <v>0.005025</v>
      </c>
      <c r="W14" s="46">
        <v>0</v>
      </c>
      <c r="X14" s="46">
        <v>0.005</v>
      </c>
      <c r="Y14" s="46">
        <v>0</v>
      </c>
      <c r="Z14" s="46">
        <v>0</v>
      </c>
      <c r="AA14" s="68">
        <v>14</v>
      </c>
      <c r="AB14" s="68"/>
      <c r="AC14" s="69"/>
      <c r="AD14" s="76" t="s">
        <v>1000</v>
      </c>
      <c r="AE14" s="85" t="s">
        <v>1194</v>
      </c>
      <c r="AF14" s="76">
        <v>1153</v>
      </c>
      <c r="AG14" s="76">
        <v>58048</v>
      </c>
      <c r="AH14" s="76">
        <v>40570</v>
      </c>
      <c r="AI14" s="76">
        <v>27836</v>
      </c>
      <c r="AJ14" s="76"/>
      <c r="AK14" s="76" t="s">
        <v>1360</v>
      </c>
      <c r="AL14" s="76" t="s">
        <v>1540</v>
      </c>
      <c r="AM14" s="82" t="str">
        <f>HYPERLINK("https://t.co/7KL96sraGS")</f>
        <v>https://t.co/7KL96sraGS</v>
      </c>
      <c r="AN14" s="76"/>
      <c r="AO14" s="78">
        <v>40490.10623842593</v>
      </c>
      <c r="AP14" s="82" t="str">
        <f>HYPERLINK("https://pbs.twimg.com/profile_banners/213142014/1675460064")</f>
        <v>https://pbs.twimg.com/profile_banners/213142014/1675460064</v>
      </c>
      <c r="AQ14" s="76" t="b">
        <v>0</v>
      </c>
      <c r="AR14" s="76" t="b">
        <v>0</v>
      </c>
      <c r="AS14" s="76" t="b">
        <v>1</v>
      </c>
      <c r="AT14" s="76"/>
      <c r="AU14" s="76">
        <v>1602</v>
      </c>
      <c r="AV14" s="82" t="str">
        <f>HYPERLINK("https://abs.twimg.com/images/themes/theme15/bg.png")</f>
        <v>https://abs.twimg.com/images/themes/theme15/bg.png</v>
      </c>
      <c r="AW14" s="76" t="b">
        <v>1</v>
      </c>
      <c r="AX14" s="76" t="s">
        <v>1651</v>
      </c>
      <c r="AY14" s="82" t="str">
        <f>HYPERLINK("https://twitter.com/marie_haynes")</f>
        <v>https://twitter.com/marie_haynes</v>
      </c>
      <c r="AZ14" s="76" t="s">
        <v>66</v>
      </c>
      <c r="BA14" s="76" t="str">
        <f>REPLACE(INDEX(GroupVertices[Group],MATCH(Vertices[[#This Row],[Vertex]],GroupVertices[Vertex],0)),1,1,"")</f>
        <v>44</v>
      </c>
      <c r="BB14" s="45"/>
      <c r="BC14" s="46"/>
      <c r="BD14" s="45"/>
      <c r="BE14" s="46"/>
      <c r="BF14" s="45"/>
      <c r="BG14" s="46"/>
      <c r="BH14" s="45"/>
      <c r="BI14" s="46"/>
      <c r="BJ14" s="45"/>
      <c r="BK14" s="109" t="s">
        <v>916</v>
      </c>
      <c r="BL14" s="109" t="s">
        <v>916</v>
      </c>
      <c r="BM14" s="109" t="s">
        <v>916</v>
      </c>
      <c r="BN14" s="109" t="s">
        <v>916</v>
      </c>
      <c r="BO14" s="2"/>
    </row>
    <row r="15" spans="1:67" ht="15">
      <c r="A15" s="61" t="s">
        <v>389</v>
      </c>
      <c r="B15" s="62"/>
      <c r="C15" s="62"/>
      <c r="D15" s="63">
        <v>80</v>
      </c>
      <c r="E15" s="65"/>
      <c r="F15" s="100" t="str">
        <f>HYPERLINK("https://pbs.twimg.com/profile_images/1529494185212280832/16J2Abke_normal.jpg")</f>
        <v>https://pbs.twimg.com/profile_images/1529494185212280832/16J2Abke_normal.jpg</v>
      </c>
      <c r="G15" s="62"/>
      <c r="H15" s="66" t="s">
        <v>389</v>
      </c>
      <c r="I15" s="67"/>
      <c r="J15" s="67"/>
      <c r="K15" s="66" t="s">
        <v>389</v>
      </c>
      <c r="L15" s="70">
        <v>1</v>
      </c>
      <c r="M15" s="71">
        <v>4228.240234375</v>
      </c>
      <c r="N15" s="71">
        <v>3965.29150390625</v>
      </c>
      <c r="O15" s="72"/>
      <c r="P15" s="73"/>
      <c r="Q15" s="73"/>
      <c r="R15" s="86"/>
      <c r="S15" s="45">
        <v>1</v>
      </c>
      <c r="T15" s="45">
        <v>0</v>
      </c>
      <c r="U15" s="46">
        <v>0</v>
      </c>
      <c r="V15" s="46">
        <v>0.005025</v>
      </c>
      <c r="W15" s="46">
        <v>0</v>
      </c>
      <c r="X15" s="46">
        <v>0.005</v>
      </c>
      <c r="Y15" s="46">
        <v>0</v>
      </c>
      <c r="Z15" s="46">
        <v>0</v>
      </c>
      <c r="AA15" s="68">
        <v>15</v>
      </c>
      <c r="AB15" s="68"/>
      <c r="AC15" s="69"/>
      <c r="AD15" s="76" t="s">
        <v>1001</v>
      </c>
      <c r="AE15" s="85" t="s">
        <v>918</v>
      </c>
      <c r="AF15" s="76">
        <v>23</v>
      </c>
      <c r="AG15" s="76">
        <v>15</v>
      </c>
      <c r="AH15" s="76">
        <v>316</v>
      </c>
      <c r="AI15" s="76">
        <v>648</v>
      </c>
      <c r="AJ15" s="76"/>
      <c r="AK15" s="76" t="s">
        <v>1361</v>
      </c>
      <c r="AL15" s="76" t="s">
        <v>1541</v>
      </c>
      <c r="AM15" s="76"/>
      <c r="AN15" s="76"/>
      <c r="AO15" s="78">
        <v>44696.410520833335</v>
      </c>
      <c r="AP15" s="76"/>
      <c r="AQ15" s="76" t="b">
        <v>1</v>
      </c>
      <c r="AR15" s="76" t="b">
        <v>0</v>
      </c>
      <c r="AS15" s="76" t="b">
        <v>0</v>
      </c>
      <c r="AT15" s="76"/>
      <c r="AU15" s="76">
        <v>0</v>
      </c>
      <c r="AV15" s="76"/>
      <c r="AW15" s="76" t="b">
        <v>0</v>
      </c>
      <c r="AX15" s="76" t="s">
        <v>1651</v>
      </c>
      <c r="AY15" s="82" t="str">
        <f>HYPERLINK("https://twitter.com/aasimist")</f>
        <v>https://twitter.com/aasimist</v>
      </c>
      <c r="AZ15" s="76" t="s">
        <v>65</v>
      </c>
      <c r="BA15" s="76" t="str">
        <f>REPLACE(INDEX(GroupVertices[Group],MATCH(Vertices[[#This Row],[Vertex]],GroupVertices[Vertex],0)),1,1,"")</f>
        <v>44</v>
      </c>
      <c r="BB15" s="45"/>
      <c r="BC15" s="46"/>
      <c r="BD15" s="45"/>
      <c r="BE15" s="46"/>
      <c r="BF15" s="45"/>
      <c r="BG15" s="46"/>
      <c r="BH15" s="45"/>
      <c r="BI15" s="46"/>
      <c r="BJ15" s="45"/>
      <c r="BK15" s="45"/>
      <c r="BL15" s="45"/>
      <c r="BM15" s="45"/>
      <c r="BN15" s="45"/>
      <c r="BO15" s="2"/>
    </row>
    <row r="16" spans="1:67" ht="15">
      <c r="A16" s="61" t="s">
        <v>252</v>
      </c>
      <c r="B16" s="62"/>
      <c r="C16" s="62"/>
      <c r="D16" s="63">
        <v>80</v>
      </c>
      <c r="E16" s="65"/>
      <c r="F16" s="100" t="str">
        <f>HYPERLINK("https://pbs.twimg.com/profile_images/1691106875/pedebiolfinal_small_normal.png")</f>
        <v>https://pbs.twimg.com/profile_images/1691106875/pedebiolfinal_small_normal.png</v>
      </c>
      <c r="G16" s="62"/>
      <c r="H16" s="66" t="s">
        <v>252</v>
      </c>
      <c r="I16" s="67"/>
      <c r="J16" s="67"/>
      <c r="K16" s="66" t="s">
        <v>252</v>
      </c>
      <c r="L16" s="70">
        <v>1</v>
      </c>
      <c r="M16" s="71">
        <v>3998.326904296875</v>
      </c>
      <c r="N16" s="71">
        <v>2956.781005859375</v>
      </c>
      <c r="O16" s="72"/>
      <c r="P16" s="73"/>
      <c r="Q16" s="73"/>
      <c r="R16" s="86"/>
      <c r="S16" s="45">
        <v>0</v>
      </c>
      <c r="T16" s="45">
        <v>1</v>
      </c>
      <c r="U16" s="46">
        <v>0</v>
      </c>
      <c r="V16" s="46">
        <v>0.041498</v>
      </c>
      <c r="W16" s="46">
        <v>9.6E-05</v>
      </c>
      <c r="X16" s="46">
        <v>0.004381</v>
      </c>
      <c r="Y16" s="46">
        <v>0</v>
      </c>
      <c r="Z16" s="46">
        <v>0</v>
      </c>
      <c r="AA16" s="68">
        <v>16</v>
      </c>
      <c r="AB16" s="68"/>
      <c r="AC16" s="69"/>
      <c r="AD16" s="76" t="s">
        <v>1002</v>
      </c>
      <c r="AE16" s="85" t="s">
        <v>1195</v>
      </c>
      <c r="AF16" s="76">
        <v>918</v>
      </c>
      <c r="AG16" s="76">
        <v>261</v>
      </c>
      <c r="AH16" s="76">
        <v>9949</v>
      </c>
      <c r="AI16" s="76">
        <v>15789</v>
      </c>
      <c r="AJ16" s="76"/>
      <c r="AK16" s="76" t="s">
        <v>1362</v>
      </c>
      <c r="AL16" s="76"/>
      <c r="AM16" s="82" t="str">
        <f>HYPERLINK("https://t.co/vGoWPSPpmO")</f>
        <v>https://t.co/vGoWPSPpmO</v>
      </c>
      <c r="AN16" s="76"/>
      <c r="AO16" s="78">
        <v>40235.86201388889</v>
      </c>
      <c r="AP16" s="82" t="str">
        <f>HYPERLINK("https://pbs.twimg.com/profile_banners/117850239/1420087909")</f>
        <v>https://pbs.twimg.com/profile_banners/117850239/1420087909</v>
      </c>
      <c r="AQ16" s="76" t="b">
        <v>1</v>
      </c>
      <c r="AR16" s="76" t="b">
        <v>0</v>
      </c>
      <c r="AS16" s="76" t="b">
        <v>0</v>
      </c>
      <c r="AT16" s="76"/>
      <c r="AU16" s="76">
        <v>9</v>
      </c>
      <c r="AV16" s="82" t="str">
        <f>HYPERLINK("https://abs.twimg.com/images/themes/theme1/bg.png")</f>
        <v>https://abs.twimg.com/images/themes/theme1/bg.png</v>
      </c>
      <c r="AW16" s="76" t="b">
        <v>0</v>
      </c>
      <c r="AX16" s="76" t="s">
        <v>1651</v>
      </c>
      <c r="AY16" s="82" t="str">
        <f>HYPERLINK("https://twitter.com/almadana")</f>
        <v>https://twitter.com/almadana</v>
      </c>
      <c r="AZ16" s="76" t="s">
        <v>66</v>
      </c>
      <c r="BA16" s="76" t="str">
        <f>REPLACE(INDEX(GroupVertices[Group],MATCH(Vertices[[#This Row],[Vertex]],GroupVertices[Vertex],0)),1,1,"")</f>
        <v>1</v>
      </c>
      <c r="BB16" s="45"/>
      <c r="BC16" s="46"/>
      <c r="BD16" s="45"/>
      <c r="BE16" s="46"/>
      <c r="BF16" s="45"/>
      <c r="BG16" s="46"/>
      <c r="BH16" s="45"/>
      <c r="BI16" s="46"/>
      <c r="BJ16" s="45"/>
      <c r="BK16" s="109" t="s">
        <v>916</v>
      </c>
      <c r="BL16" s="109" t="s">
        <v>916</v>
      </c>
      <c r="BM16" s="109" t="s">
        <v>916</v>
      </c>
      <c r="BN16" s="109" t="s">
        <v>916</v>
      </c>
      <c r="BO16" s="2"/>
    </row>
    <row r="17" spans="1:67" ht="15">
      <c r="A17" s="61" t="s">
        <v>253</v>
      </c>
      <c r="B17" s="62"/>
      <c r="C17" s="62"/>
      <c r="D17" s="63">
        <v>80</v>
      </c>
      <c r="E17" s="65"/>
      <c r="F17" s="100" t="str">
        <f>HYPERLINK("https://pbs.twimg.com/profile_images/1407370555636928519/eGdsZI6v_normal.jpg")</f>
        <v>https://pbs.twimg.com/profile_images/1407370555636928519/eGdsZI6v_normal.jpg</v>
      </c>
      <c r="G17" s="62"/>
      <c r="H17" s="66" t="s">
        <v>253</v>
      </c>
      <c r="I17" s="67"/>
      <c r="J17" s="67"/>
      <c r="K17" s="66" t="s">
        <v>253</v>
      </c>
      <c r="L17" s="70">
        <v>1</v>
      </c>
      <c r="M17" s="71">
        <v>6504.9951171875</v>
      </c>
      <c r="N17" s="71">
        <v>1115.146484375</v>
      </c>
      <c r="O17" s="72"/>
      <c r="P17" s="73"/>
      <c r="Q17" s="73"/>
      <c r="R17" s="86"/>
      <c r="S17" s="45">
        <v>0</v>
      </c>
      <c r="T17" s="45">
        <v>1</v>
      </c>
      <c r="U17" s="46">
        <v>0</v>
      </c>
      <c r="V17" s="46">
        <v>0.041498</v>
      </c>
      <c r="W17" s="46">
        <v>9.6E-05</v>
      </c>
      <c r="X17" s="46">
        <v>0.004381</v>
      </c>
      <c r="Y17" s="46">
        <v>0</v>
      </c>
      <c r="Z17" s="46">
        <v>0</v>
      </c>
      <c r="AA17" s="68">
        <v>17</v>
      </c>
      <c r="AB17" s="68"/>
      <c r="AC17" s="69"/>
      <c r="AD17" s="76" t="s">
        <v>1003</v>
      </c>
      <c r="AE17" s="85" t="s">
        <v>1196</v>
      </c>
      <c r="AF17" s="76">
        <v>940</v>
      </c>
      <c r="AG17" s="76">
        <v>608</v>
      </c>
      <c r="AH17" s="76">
        <v>7115</v>
      </c>
      <c r="AI17" s="76">
        <v>15616</v>
      </c>
      <c r="AJ17" s="76"/>
      <c r="AK17" s="76" t="s">
        <v>1363</v>
      </c>
      <c r="AL17" s="76" t="s">
        <v>1542</v>
      </c>
      <c r="AM17" s="82" t="str">
        <f>HYPERLINK("https://t.co/kvVjH7FAbG")</f>
        <v>https://t.co/kvVjH7FAbG</v>
      </c>
      <c r="AN17" s="76"/>
      <c r="AO17" s="78">
        <v>44244.99413194445</v>
      </c>
      <c r="AP17" s="82" t="str">
        <f>HYPERLINK("https://pbs.twimg.com/profile_banners/1362187925421764609/1625428445")</f>
        <v>https://pbs.twimg.com/profile_banners/1362187925421764609/1625428445</v>
      </c>
      <c r="AQ17" s="76" t="b">
        <v>1</v>
      </c>
      <c r="AR17" s="76" t="b">
        <v>0</v>
      </c>
      <c r="AS17" s="76" t="b">
        <v>0</v>
      </c>
      <c r="AT17" s="76"/>
      <c r="AU17" s="76">
        <v>4</v>
      </c>
      <c r="AV17" s="76"/>
      <c r="AW17" s="76" t="b">
        <v>0</v>
      </c>
      <c r="AX17" s="76" t="s">
        <v>1651</v>
      </c>
      <c r="AY17" s="82" t="str">
        <f>HYPERLINK("https://twitter.com/philoneurosci")</f>
        <v>https://twitter.com/philoneurosci</v>
      </c>
      <c r="AZ17" s="76" t="s">
        <v>66</v>
      </c>
      <c r="BA17" s="76" t="str">
        <f>REPLACE(INDEX(GroupVertices[Group],MATCH(Vertices[[#This Row],[Vertex]],GroupVertices[Vertex],0)),1,1,"")</f>
        <v>1</v>
      </c>
      <c r="BB17" s="45"/>
      <c r="BC17" s="46"/>
      <c r="BD17" s="45"/>
      <c r="BE17" s="46"/>
      <c r="BF17" s="45"/>
      <c r="BG17" s="46"/>
      <c r="BH17" s="45"/>
      <c r="BI17" s="46"/>
      <c r="BJ17" s="45"/>
      <c r="BK17" s="109" t="s">
        <v>916</v>
      </c>
      <c r="BL17" s="109" t="s">
        <v>916</v>
      </c>
      <c r="BM17" s="109" t="s">
        <v>916</v>
      </c>
      <c r="BN17" s="109" t="s">
        <v>916</v>
      </c>
      <c r="BO17" s="2"/>
    </row>
    <row r="18" spans="1:67" ht="15">
      <c r="A18" s="61" t="s">
        <v>254</v>
      </c>
      <c r="B18" s="62"/>
      <c r="C18" s="62"/>
      <c r="D18" s="63">
        <v>80</v>
      </c>
      <c r="E18" s="65"/>
      <c r="F18" s="100" t="str">
        <f>HYPERLINK("https://pbs.twimg.com/profile_images/378800000803273398/45348c4cb564b83bc13b56def8558eaa_normal.jpeg")</f>
        <v>https://pbs.twimg.com/profile_images/378800000803273398/45348c4cb564b83bc13b56def8558eaa_normal.jpeg</v>
      </c>
      <c r="G18" s="62"/>
      <c r="H18" s="66" t="s">
        <v>254</v>
      </c>
      <c r="I18" s="67"/>
      <c r="J18" s="67"/>
      <c r="K18" s="66" t="s">
        <v>254</v>
      </c>
      <c r="L18" s="70">
        <v>1</v>
      </c>
      <c r="M18" s="71">
        <v>3986.390625</v>
      </c>
      <c r="N18" s="71">
        <v>2854.729736328125</v>
      </c>
      <c r="O18" s="72"/>
      <c r="P18" s="73"/>
      <c r="Q18" s="73"/>
      <c r="R18" s="86"/>
      <c r="S18" s="45">
        <v>0</v>
      </c>
      <c r="T18" s="45">
        <v>1</v>
      </c>
      <c r="U18" s="46">
        <v>0</v>
      </c>
      <c r="V18" s="46">
        <v>0.005025</v>
      </c>
      <c r="W18" s="46">
        <v>0</v>
      </c>
      <c r="X18" s="46">
        <v>0.005</v>
      </c>
      <c r="Y18" s="46">
        <v>0</v>
      </c>
      <c r="Z18" s="46">
        <v>0</v>
      </c>
      <c r="AA18" s="68">
        <v>18</v>
      </c>
      <c r="AB18" s="68"/>
      <c r="AC18" s="69"/>
      <c r="AD18" s="76" t="s">
        <v>1004</v>
      </c>
      <c r="AE18" s="85" t="s">
        <v>1197</v>
      </c>
      <c r="AF18" s="76">
        <v>390</v>
      </c>
      <c r="AG18" s="76">
        <v>143</v>
      </c>
      <c r="AH18" s="76">
        <v>1739</v>
      </c>
      <c r="AI18" s="76">
        <v>2878</v>
      </c>
      <c r="AJ18" s="76"/>
      <c r="AK18" s="76" t="s">
        <v>1364</v>
      </c>
      <c r="AL18" s="76" t="s">
        <v>1543</v>
      </c>
      <c r="AM18" s="82" t="str">
        <f>HYPERLINK("http://t.co/tt8s5XGVwb")</f>
        <v>http://t.co/tt8s5XGVwb</v>
      </c>
      <c r="AN18" s="76"/>
      <c r="AO18" s="78">
        <v>40635.874444444446</v>
      </c>
      <c r="AP18" s="76"/>
      <c r="AQ18" s="76" t="b">
        <v>1</v>
      </c>
      <c r="AR18" s="76" t="b">
        <v>0</v>
      </c>
      <c r="AS18" s="76" t="b">
        <v>0</v>
      </c>
      <c r="AT18" s="76"/>
      <c r="AU18" s="76">
        <v>2</v>
      </c>
      <c r="AV18" s="82" t="str">
        <f>HYPERLINK("https://abs.twimg.com/images/themes/theme1/bg.png")</f>
        <v>https://abs.twimg.com/images/themes/theme1/bg.png</v>
      </c>
      <c r="AW18" s="76" t="b">
        <v>0</v>
      </c>
      <c r="AX18" s="76" t="s">
        <v>1651</v>
      </c>
      <c r="AY18" s="82" t="str">
        <f>HYPERLINK("https://twitter.com/mvandersen1")</f>
        <v>https://twitter.com/mvandersen1</v>
      </c>
      <c r="AZ18" s="76" t="s">
        <v>66</v>
      </c>
      <c r="BA18" s="76" t="str">
        <f>REPLACE(INDEX(GroupVertices[Group],MATCH(Vertices[[#This Row],[Vertex]],GroupVertices[Vertex],0)),1,1,"")</f>
        <v>43</v>
      </c>
      <c r="BB18" s="45"/>
      <c r="BC18" s="46"/>
      <c r="BD18" s="45"/>
      <c r="BE18" s="46"/>
      <c r="BF18" s="45"/>
      <c r="BG18" s="46"/>
      <c r="BH18" s="45"/>
      <c r="BI18" s="46"/>
      <c r="BJ18" s="45"/>
      <c r="BK18" s="109" t="s">
        <v>916</v>
      </c>
      <c r="BL18" s="109" t="s">
        <v>916</v>
      </c>
      <c r="BM18" s="109" t="s">
        <v>916</v>
      </c>
      <c r="BN18" s="109" t="s">
        <v>916</v>
      </c>
      <c r="BO18" s="2"/>
    </row>
    <row r="19" spans="1:67" ht="15">
      <c r="A19" s="61" t="s">
        <v>390</v>
      </c>
      <c r="B19" s="62"/>
      <c r="C19" s="62"/>
      <c r="D19" s="63">
        <v>80</v>
      </c>
      <c r="E19" s="65"/>
      <c r="F19" s="100" t="str">
        <f>HYPERLINK("https://pbs.twimg.com/profile_images/1244329254524981248/2bAAYZOq_normal.jpg")</f>
        <v>https://pbs.twimg.com/profile_images/1244329254524981248/2bAAYZOq_normal.jpg</v>
      </c>
      <c r="G19" s="62"/>
      <c r="H19" s="66" t="s">
        <v>390</v>
      </c>
      <c r="I19" s="67"/>
      <c r="J19" s="67"/>
      <c r="K19" s="66" t="s">
        <v>390</v>
      </c>
      <c r="L19" s="70">
        <v>1</v>
      </c>
      <c r="M19" s="71">
        <v>4475.5712890625</v>
      </c>
      <c r="N19" s="71">
        <v>1638.73828125</v>
      </c>
      <c r="O19" s="72"/>
      <c r="P19" s="73"/>
      <c r="Q19" s="73"/>
      <c r="R19" s="86"/>
      <c r="S19" s="45">
        <v>1</v>
      </c>
      <c r="T19" s="45">
        <v>0</v>
      </c>
      <c r="U19" s="46">
        <v>0</v>
      </c>
      <c r="V19" s="46">
        <v>0.005025</v>
      </c>
      <c r="W19" s="46">
        <v>0</v>
      </c>
      <c r="X19" s="46">
        <v>0.005</v>
      </c>
      <c r="Y19" s="46">
        <v>0</v>
      </c>
      <c r="Z19" s="46">
        <v>0</v>
      </c>
      <c r="AA19" s="68">
        <v>19</v>
      </c>
      <c r="AB19" s="68"/>
      <c r="AC19" s="69"/>
      <c r="AD19" s="76" t="s">
        <v>1005</v>
      </c>
      <c r="AE19" s="85" t="s">
        <v>919</v>
      </c>
      <c r="AF19" s="76">
        <v>188</v>
      </c>
      <c r="AG19" s="76">
        <v>199</v>
      </c>
      <c r="AH19" s="76">
        <v>1853</v>
      </c>
      <c r="AI19" s="76">
        <v>1909</v>
      </c>
      <c r="AJ19" s="76"/>
      <c r="AK19" s="76" t="s">
        <v>1365</v>
      </c>
      <c r="AL19" s="76" t="s">
        <v>1544</v>
      </c>
      <c r="AM19" s="76"/>
      <c r="AN19" s="76"/>
      <c r="AO19" s="78">
        <v>43625.67222222222</v>
      </c>
      <c r="AP19" s="82" t="str">
        <f>HYPERLINK("https://pbs.twimg.com/profile_banners/1137753217469755392/1560537798")</f>
        <v>https://pbs.twimg.com/profile_banners/1137753217469755392/1560537798</v>
      </c>
      <c r="AQ19" s="76" t="b">
        <v>0</v>
      </c>
      <c r="AR19" s="76" t="b">
        <v>0</v>
      </c>
      <c r="AS19" s="76" t="b">
        <v>0</v>
      </c>
      <c r="AT19" s="76"/>
      <c r="AU19" s="76">
        <v>1</v>
      </c>
      <c r="AV19" s="82" t="str">
        <f>HYPERLINK("https://abs.twimg.com/images/themes/theme1/bg.png")</f>
        <v>https://abs.twimg.com/images/themes/theme1/bg.png</v>
      </c>
      <c r="AW19" s="76" t="b">
        <v>0</v>
      </c>
      <c r="AX19" s="76" t="s">
        <v>1651</v>
      </c>
      <c r="AY19" s="82" t="str">
        <f>HYPERLINK("https://twitter.com/moneyisgood9")</f>
        <v>https://twitter.com/moneyisgood9</v>
      </c>
      <c r="AZ19" s="76" t="s">
        <v>65</v>
      </c>
      <c r="BA19" s="76" t="str">
        <f>REPLACE(INDEX(GroupVertices[Group],MATCH(Vertices[[#This Row],[Vertex]],GroupVertices[Vertex],0)),1,1,"")</f>
        <v>43</v>
      </c>
      <c r="BB19" s="45"/>
      <c r="BC19" s="46"/>
      <c r="BD19" s="45"/>
      <c r="BE19" s="46"/>
      <c r="BF19" s="45"/>
      <c r="BG19" s="46"/>
      <c r="BH19" s="45"/>
      <c r="BI19" s="46"/>
      <c r="BJ19" s="45"/>
      <c r="BK19" s="45"/>
      <c r="BL19" s="45"/>
      <c r="BM19" s="45"/>
      <c r="BN19" s="45"/>
      <c r="BO19" s="2"/>
    </row>
    <row r="20" spans="1:67" ht="15">
      <c r="A20" s="61" t="s">
        <v>255</v>
      </c>
      <c r="B20" s="62"/>
      <c r="C20" s="62"/>
      <c r="D20" s="63">
        <v>80</v>
      </c>
      <c r="E20" s="65"/>
      <c r="F20" s="100" t="str">
        <f>HYPERLINK("https://pbs.twimg.com/profile_images/1055759608843853824/NQvHpLzu_normal.jpg")</f>
        <v>https://pbs.twimg.com/profile_images/1055759608843853824/NQvHpLzu_normal.jpg</v>
      </c>
      <c r="G20" s="62"/>
      <c r="H20" s="66" t="s">
        <v>255</v>
      </c>
      <c r="I20" s="67"/>
      <c r="J20" s="67"/>
      <c r="K20" s="66" t="s">
        <v>255</v>
      </c>
      <c r="L20" s="70">
        <v>1</v>
      </c>
      <c r="M20" s="71">
        <v>4720.4755859375</v>
      </c>
      <c r="N20" s="71">
        <v>2548.828369140625</v>
      </c>
      <c r="O20" s="72"/>
      <c r="P20" s="73"/>
      <c r="Q20" s="73"/>
      <c r="R20" s="86"/>
      <c r="S20" s="45">
        <v>0</v>
      </c>
      <c r="T20" s="45">
        <v>1</v>
      </c>
      <c r="U20" s="46">
        <v>0</v>
      </c>
      <c r="V20" s="46">
        <v>0.041498</v>
      </c>
      <c r="W20" s="46">
        <v>9.6E-05</v>
      </c>
      <c r="X20" s="46">
        <v>0.004381</v>
      </c>
      <c r="Y20" s="46">
        <v>0</v>
      </c>
      <c r="Z20" s="46">
        <v>0</v>
      </c>
      <c r="AA20" s="68">
        <v>20</v>
      </c>
      <c r="AB20" s="68"/>
      <c r="AC20" s="69"/>
      <c r="AD20" s="76" t="s">
        <v>1006</v>
      </c>
      <c r="AE20" s="85" t="s">
        <v>1198</v>
      </c>
      <c r="AF20" s="76">
        <v>499</v>
      </c>
      <c r="AG20" s="76">
        <v>806</v>
      </c>
      <c r="AH20" s="76">
        <v>5129</v>
      </c>
      <c r="AI20" s="76">
        <v>19866</v>
      </c>
      <c r="AJ20" s="76"/>
      <c r="AK20" s="76" t="s">
        <v>1366</v>
      </c>
      <c r="AL20" s="76" t="s">
        <v>1545</v>
      </c>
      <c r="AM20" s="82" t="str">
        <f>HYPERLINK("https://t.co/K3sqAcauaV")</f>
        <v>https://t.co/K3sqAcauaV</v>
      </c>
      <c r="AN20" s="76"/>
      <c r="AO20" s="78">
        <v>43399.34899305556</v>
      </c>
      <c r="AP20" s="82" t="str">
        <f>HYPERLINK("https://pbs.twimg.com/profile_banners/1055736426199949312/1540547913")</f>
        <v>https://pbs.twimg.com/profile_banners/1055736426199949312/1540547913</v>
      </c>
      <c r="AQ20" s="76" t="b">
        <v>0</v>
      </c>
      <c r="AR20" s="76" t="b">
        <v>0</v>
      </c>
      <c r="AS20" s="76" t="b">
        <v>0</v>
      </c>
      <c r="AT20" s="76"/>
      <c r="AU20" s="76">
        <v>12</v>
      </c>
      <c r="AV20" s="82" t="str">
        <f>HYPERLINK("https://abs.twimg.com/images/themes/theme1/bg.png")</f>
        <v>https://abs.twimg.com/images/themes/theme1/bg.png</v>
      </c>
      <c r="AW20" s="76" t="b">
        <v>0</v>
      </c>
      <c r="AX20" s="76" t="s">
        <v>1651</v>
      </c>
      <c r="AY20" s="82" t="str">
        <f>HYPERLINK("https://twitter.com/renaudjolivet")</f>
        <v>https://twitter.com/renaudjolivet</v>
      </c>
      <c r="AZ20" s="76" t="s">
        <v>66</v>
      </c>
      <c r="BA20" s="76" t="str">
        <f>REPLACE(INDEX(GroupVertices[Group],MATCH(Vertices[[#This Row],[Vertex]],GroupVertices[Vertex],0)),1,1,"")</f>
        <v>1</v>
      </c>
      <c r="BB20" s="45"/>
      <c r="BC20" s="46"/>
      <c r="BD20" s="45"/>
      <c r="BE20" s="46"/>
      <c r="BF20" s="45"/>
      <c r="BG20" s="46"/>
      <c r="BH20" s="45"/>
      <c r="BI20" s="46"/>
      <c r="BJ20" s="45"/>
      <c r="BK20" s="109" t="s">
        <v>916</v>
      </c>
      <c r="BL20" s="109" t="s">
        <v>916</v>
      </c>
      <c r="BM20" s="109" t="s">
        <v>916</v>
      </c>
      <c r="BN20" s="109" t="s">
        <v>916</v>
      </c>
      <c r="BO20" s="2"/>
    </row>
    <row r="21" spans="1:67" ht="15">
      <c r="A21" s="61" t="s">
        <v>256</v>
      </c>
      <c r="B21" s="62"/>
      <c r="C21" s="62"/>
      <c r="D21" s="63">
        <v>80</v>
      </c>
      <c r="E21" s="65"/>
      <c r="F21" s="100" t="str">
        <f>HYPERLINK("https://pbs.twimg.com/profile_images/554609395917545472/k1N9aWdb_normal.jpeg")</f>
        <v>https://pbs.twimg.com/profile_images/554609395917545472/k1N9aWdb_normal.jpeg</v>
      </c>
      <c r="G21" s="62"/>
      <c r="H21" s="66" t="s">
        <v>256</v>
      </c>
      <c r="I21" s="67"/>
      <c r="J21" s="67"/>
      <c r="K21" s="66" t="s">
        <v>256</v>
      </c>
      <c r="L21" s="70">
        <v>1</v>
      </c>
      <c r="M21" s="71">
        <v>5892.56201171875</v>
      </c>
      <c r="N21" s="71">
        <v>1685.9384765625</v>
      </c>
      <c r="O21" s="72"/>
      <c r="P21" s="73"/>
      <c r="Q21" s="73"/>
      <c r="R21" s="86"/>
      <c r="S21" s="45">
        <v>0</v>
      </c>
      <c r="T21" s="45">
        <v>1</v>
      </c>
      <c r="U21" s="46">
        <v>0</v>
      </c>
      <c r="V21" s="46">
        <v>0.041498</v>
      </c>
      <c r="W21" s="46">
        <v>9.6E-05</v>
      </c>
      <c r="X21" s="46">
        <v>0.004381</v>
      </c>
      <c r="Y21" s="46">
        <v>0</v>
      </c>
      <c r="Z21" s="46">
        <v>0</v>
      </c>
      <c r="AA21" s="68">
        <v>21</v>
      </c>
      <c r="AB21" s="68"/>
      <c r="AC21" s="69"/>
      <c r="AD21" s="76" t="s">
        <v>1007</v>
      </c>
      <c r="AE21" s="85" t="s">
        <v>1199</v>
      </c>
      <c r="AF21" s="76">
        <v>69</v>
      </c>
      <c r="AG21" s="76">
        <v>4098</v>
      </c>
      <c r="AH21" s="76">
        <v>10342</v>
      </c>
      <c r="AI21" s="76">
        <v>2530</v>
      </c>
      <c r="AJ21" s="76"/>
      <c r="AK21" s="76" t="s">
        <v>1367</v>
      </c>
      <c r="AL21" s="76" t="s">
        <v>1546</v>
      </c>
      <c r="AM21" s="82" t="str">
        <f>HYPERLINK("https://t.co/Wbk5fVxGSu")</f>
        <v>https://t.co/Wbk5fVxGSu</v>
      </c>
      <c r="AN21" s="76"/>
      <c r="AO21" s="78">
        <v>41053.19322916667</v>
      </c>
      <c r="AP21" s="82" t="str">
        <f>HYPERLINK("https://pbs.twimg.com/profile_banners/588914106/1660132833")</f>
        <v>https://pbs.twimg.com/profile_banners/588914106/1660132833</v>
      </c>
      <c r="AQ21" s="76" t="b">
        <v>1</v>
      </c>
      <c r="AR21" s="76" t="b">
        <v>0</v>
      </c>
      <c r="AS21" s="76" t="b">
        <v>1</v>
      </c>
      <c r="AT21" s="76"/>
      <c r="AU21" s="76">
        <v>118</v>
      </c>
      <c r="AV21" s="82" t="str">
        <f>HYPERLINK("https://abs.twimg.com/images/themes/theme1/bg.png")</f>
        <v>https://abs.twimg.com/images/themes/theme1/bg.png</v>
      </c>
      <c r="AW21" s="76" t="b">
        <v>0</v>
      </c>
      <c r="AX21" s="76" t="s">
        <v>1651</v>
      </c>
      <c r="AY21" s="82" t="str">
        <f>HYPERLINK("https://twitter.com/dannykay68")</f>
        <v>https://twitter.com/dannykay68</v>
      </c>
      <c r="AZ21" s="76" t="s">
        <v>66</v>
      </c>
      <c r="BA21" s="76" t="str">
        <f>REPLACE(INDEX(GroupVertices[Group],MATCH(Vertices[[#This Row],[Vertex]],GroupVertices[Vertex],0)),1,1,"")</f>
        <v>1</v>
      </c>
      <c r="BB21" s="45"/>
      <c r="BC21" s="46"/>
      <c r="BD21" s="45"/>
      <c r="BE21" s="46"/>
      <c r="BF21" s="45"/>
      <c r="BG21" s="46"/>
      <c r="BH21" s="45"/>
      <c r="BI21" s="46"/>
      <c r="BJ21" s="45"/>
      <c r="BK21" s="109" t="s">
        <v>916</v>
      </c>
      <c r="BL21" s="109" t="s">
        <v>916</v>
      </c>
      <c r="BM21" s="109" t="s">
        <v>916</v>
      </c>
      <c r="BN21" s="109" t="s">
        <v>916</v>
      </c>
      <c r="BO21" s="2"/>
    </row>
    <row r="22" spans="1:67" ht="15">
      <c r="A22" s="61" t="s">
        <v>257</v>
      </c>
      <c r="B22" s="62"/>
      <c r="C22" s="62"/>
      <c r="D22" s="63">
        <v>80</v>
      </c>
      <c r="E22" s="65"/>
      <c r="F22" s="100" t="str">
        <f>HYPERLINK("https://pbs.twimg.com/profile_images/484968103025995777/zif3FUIw_normal.jpeg")</f>
        <v>https://pbs.twimg.com/profile_images/484968103025995777/zif3FUIw_normal.jpeg</v>
      </c>
      <c r="G22" s="62"/>
      <c r="H22" s="66" t="s">
        <v>257</v>
      </c>
      <c r="I22" s="67"/>
      <c r="J22" s="67"/>
      <c r="K22" s="66" t="s">
        <v>257</v>
      </c>
      <c r="L22" s="70">
        <v>1</v>
      </c>
      <c r="M22" s="71">
        <v>6662.97021484375</v>
      </c>
      <c r="N22" s="71">
        <v>4152.2861328125</v>
      </c>
      <c r="O22" s="72"/>
      <c r="P22" s="73"/>
      <c r="Q22" s="73"/>
      <c r="R22" s="86"/>
      <c r="S22" s="45">
        <v>0</v>
      </c>
      <c r="T22" s="45">
        <v>1</v>
      </c>
      <c r="U22" s="46">
        <v>0</v>
      </c>
      <c r="V22" s="46">
        <v>0.041498</v>
      </c>
      <c r="W22" s="46">
        <v>9.6E-05</v>
      </c>
      <c r="X22" s="46">
        <v>0.004381</v>
      </c>
      <c r="Y22" s="46">
        <v>0</v>
      </c>
      <c r="Z22" s="46">
        <v>0</v>
      </c>
      <c r="AA22" s="68">
        <v>22</v>
      </c>
      <c r="AB22" s="68"/>
      <c r="AC22" s="69"/>
      <c r="AD22" s="76" t="s">
        <v>257</v>
      </c>
      <c r="AE22" s="85" t="s">
        <v>1200</v>
      </c>
      <c r="AF22" s="76">
        <v>4997</v>
      </c>
      <c r="AG22" s="76">
        <v>963</v>
      </c>
      <c r="AH22" s="76">
        <v>224763</v>
      </c>
      <c r="AI22" s="76">
        <v>37547</v>
      </c>
      <c r="AJ22" s="76"/>
      <c r="AK22" s="76" t="s">
        <v>1368</v>
      </c>
      <c r="AL22" s="76"/>
      <c r="AM22" s="76"/>
      <c r="AN22" s="76"/>
      <c r="AO22" s="78">
        <v>39500.275625</v>
      </c>
      <c r="AP22" s="82" t="str">
        <f>HYPERLINK("https://pbs.twimg.com/profile_banners/13808562/1354762768")</f>
        <v>https://pbs.twimg.com/profile_banners/13808562/1354762768</v>
      </c>
      <c r="AQ22" s="76" t="b">
        <v>0</v>
      </c>
      <c r="AR22" s="76" t="b">
        <v>0</v>
      </c>
      <c r="AS22" s="76" t="b">
        <v>0</v>
      </c>
      <c r="AT22" s="76"/>
      <c r="AU22" s="76">
        <v>239</v>
      </c>
      <c r="AV22" s="82" t="str">
        <f>HYPERLINK("https://abs.twimg.com/images/themes/theme1/bg.png")</f>
        <v>https://abs.twimg.com/images/themes/theme1/bg.png</v>
      </c>
      <c r="AW22" s="76" t="b">
        <v>0</v>
      </c>
      <c r="AX22" s="76" t="s">
        <v>1651</v>
      </c>
      <c r="AY22" s="82" t="str">
        <f>HYPERLINK("https://twitter.com/michaelcollins")</f>
        <v>https://twitter.com/michaelcollins</v>
      </c>
      <c r="AZ22" s="76" t="s">
        <v>66</v>
      </c>
      <c r="BA22" s="76" t="str">
        <f>REPLACE(INDEX(GroupVertices[Group],MATCH(Vertices[[#This Row],[Vertex]],GroupVertices[Vertex],0)),1,1,"")</f>
        <v>1</v>
      </c>
      <c r="BB22" s="45"/>
      <c r="BC22" s="46"/>
      <c r="BD22" s="45"/>
      <c r="BE22" s="46"/>
      <c r="BF22" s="45"/>
      <c r="BG22" s="46"/>
      <c r="BH22" s="45"/>
      <c r="BI22" s="46"/>
      <c r="BJ22" s="45"/>
      <c r="BK22" s="109" t="s">
        <v>916</v>
      </c>
      <c r="BL22" s="109" t="s">
        <v>916</v>
      </c>
      <c r="BM22" s="109" t="s">
        <v>916</v>
      </c>
      <c r="BN22" s="109" t="s">
        <v>916</v>
      </c>
      <c r="BO22" s="2"/>
    </row>
    <row r="23" spans="1:67" ht="15">
      <c r="A23" s="61" t="s">
        <v>258</v>
      </c>
      <c r="B23" s="62"/>
      <c r="C23" s="62"/>
      <c r="D23" s="63">
        <v>80</v>
      </c>
      <c r="E23" s="65"/>
      <c r="F23" s="100" t="str">
        <f>HYPERLINK("https://pbs.twimg.com/profile_images/3717767146/403a01e00544bcb47a5e179a068ab4ef_normal.jpeg")</f>
        <v>https://pbs.twimg.com/profile_images/3717767146/403a01e00544bcb47a5e179a068ab4ef_normal.jpeg</v>
      </c>
      <c r="G23" s="62"/>
      <c r="H23" s="66" t="s">
        <v>258</v>
      </c>
      <c r="I23" s="67"/>
      <c r="J23" s="67"/>
      <c r="K23" s="66" t="s">
        <v>258</v>
      </c>
      <c r="L23" s="70">
        <v>1</v>
      </c>
      <c r="M23" s="71">
        <v>4770.3642578125</v>
      </c>
      <c r="N23" s="71">
        <v>1316.0758056640625</v>
      </c>
      <c r="O23" s="72"/>
      <c r="P23" s="73"/>
      <c r="Q23" s="73"/>
      <c r="R23" s="86"/>
      <c r="S23" s="45">
        <v>0</v>
      </c>
      <c r="T23" s="45">
        <v>1</v>
      </c>
      <c r="U23" s="46">
        <v>0</v>
      </c>
      <c r="V23" s="46">
        <v>0.041498</v>
      </c>
      <c r="W23" s="46">
        <v>9.6E-05</v>
      </c>
      <c r="X23" s="46">
        <v>0.004381</v>
      </c>
      <c r="Y23" s="46">
        <v>0</v>
      </c>
      <c r="Z23" s="46">
        <v>0</v>
      </c>
      <c r="AA23" s="68">
        <v>23</v>
      </c>
      <c r="AB23" s="68"/>
      <c r="AC23" s="69"/>
      <c r="AD23" s="76" t="s">
        <v>1008</v>
      </c>
      <c r="AE23" s="85" t="s">
        <v>1201</v>
      </c>
      <c r="AF23" s="76">
        <v>255</v>
      </c>
      <c r="AG23" s="76">
        <v>8274</v>
      </c>
      <c r="AH23" s="76">
        <v>66909</v>
      </c>
      <c r="AI23" s="76">
        <v>1872</v>
      </c>
      <c r="AJ23" s="76"/>
      <c r="AK23" s="76" t="s">
        <v>1369</v>
      </c>
      <c r="AL23" s="76"/>
      <c r="AM23" s="82" t="str">
        <f>HYPERLINK("https://t.co/XBtegR3bbP")</f>
        <v>https://t.co/XBtegR3bbP</v>
      </c>
      <c r="AN23" s="76"/>
      <c r="AO23" s="78">
        <v>39851.323159722226</v>
      </c>
      <c r="AP23" s="82" t="str">
        <f>HYPERLINK("https://pbs.twimg.com/profile_banners/20298671/1384495008")</f>
        <v>https://pbs.twimg.com/profile_banners/20298671/1384495008</v>
      </c>
      <c r="AQ23" s="76" t="b">
        <v>0</v>
      </c>
      <c r="AR23" s="76" t="b">
        <v>0</v>
      </c>
      <c r="AS23" s="76" t="b">
        <v>1</v>
      </c>
      <c r="AT23" s="76"/>
      <c r="AU23" s="76">
        <v>413</v>
      </c>
      <c r="AV23" s="82" t="str">
        <f>HYPERLINK("https://abs.twimg.com/images/themes/theme15/bg.png")</f>
        <v>https://abs.twimg.com/images/themes/theme15/bg.png</v>
      </c>
      <c r="AW23" s="76" t="b">
        <v>0</v>
      </c>
      <c r="AX23" s="76" t="s">
        <v>1651</v>
      </c>
      <c r="AY23" s="82" t="str">
        <f>HYPERLINK("https://twitter.com/rickypo")</f>
        <v>https://twitter.com/rickypo</v>
      </c>
      <c r="AZ23" s="76" t="s">
        <v>66</v>
      </c>
      <c r="BA23" s="76" t="str">
        <f>REPLACE(INDEX(GroupVertices[Group],MATCH(Vertices[[#This Row],[Vertex]],GroupVertices[Vertex],0)),1,1,"")</f>
        <v>1</v>
      </c>
      <c r="BB23" s="45"/>
      <c r="BC23" s="46"/>
      <c r="BD23" s="45"/>
      <c r="BE23" s="46"/>
      <c r="BF23" s="45"/>
      <c r="BG23" s="46"/>
      <c r="BH23" s="45"/>
      <c r="BI23" s="46"/>
      <c r="BJ23" s="45"/>
      <c r="BK23" s="109" t="s">
        <v>916</v>
      </c>
      <c r="BL23" s="109" t="s">
        <v>916</v>
      </c>
      <c r="BM23" s="109" t="s">
        <v>916</v>
      </c>
      <c r="BN23" s="109" t="s">
        <v>916</v>
      </c>
      <c r="BO23" s="2"/>
    </row>
    <row r="24" spans="1:67" ht="15">
      <c r="A24" s="61" t="s">
        <v>259</v>
      </c>
      <c r="B24" s="62"/>
      <c r="C24" s="62"/>
      <c r="D24" s="63">
        <v>80</v>
      </c>
      <c r="E24" s="65"/>
      <c r="F24" s="100" t="str">
        <f>HYPERLINK("https://pbs.twimg.com/profile_images/1142339080073678848/Slkhl6pj_normal.png")</f>
        <v>https://pbs.twimg.com/profile_images/1142339080073678848/Slkhl6pj_normal.png</v>
      </c>
      <c r="G24" s="62"/>
      <c r="H24" s="66" t="s">
        <v>259</v>
      </c>
      <c r="I24" s="67"/>
      <c r="J24" s="67"/>
      <c r="K24" s="66" t="s">
        <v>259</v>
      </c>
      <c r="L24" s="70">
        <v>1</v>
      </c>
      <c r="M24" s="71">
        <v>5927.89501953125</v>
      </c>
      <c r="N24" s="71">
        <v>4538.3701171875</v>
      </c>
      <c r="O24" s="72"/>
      <c r="P24" s="73"/>
      <c r="Q24" s="73"/>
      <c r="R24" s="86"/>
      <c r="S24" s="45">
        <v>0</v>
      </c>
      <c r="T24" s="45">
        <v>1</v>
      </c>
      <c r="U24" s="46">
        <v>0</v>
      </c>
      <c r="V24" s="46">
        <v>0.041498</v>
      </c>
      <c r="W24" s="46">
        <v>9.6E-05</v>
      </c>
      <c r="X24" s="46">
        <v>0.004381</v>
      </c>
      <c r="Y24" s="46">
        <v>0</v>
      </c>
      <c r="Z24" s="46">
        <v>0</v>
      </c>
      <c r="AA24" s="68">
        <v>24</v>
      </c>
      <c r="AB24" s="68"/>
      <c r="AC24" s="69"/>
      <c r="AD24" s="76" t="s">
        <v>1009</v>
      </c>
      <c r="AE24" s="85" t="s">
        <v>1202</v>
      </c>
      <c r="AF24" s="76">
        <v>318</v>
      </c>
      <c r="AG24" s="76">
        <v>19892</v>
      </c>
      <c r="AH24" s="76">
        <v>579495</v>
      </c>
      <c r="AI24" s="76">
        <v>5</v>
      </c>
      <c r="AJ24" s="76"/>
      <c r="AK24" s="76" t="s">
        <v>1370</v>
      </c>
      <c r="AL24" s="76" t="s">
        <v>1547</v>
      </c>
      <c r="AM24" s="82" t="str">
        <f>HYPERLINK("https://t.co/rJH9N8QUBB")</f>
        <v>https://t.co/rJH9N8QUBB</v>
      </c>
      <c r="AN24" s="76"/>
      <c r="AO24" s="78">
        <v>39814.332280092596</v>
      </c>
      <c r="AP24" s="82" t="str">
        <f>HYPERLINK("https://pbs.twimg.com/profile_banners/18525497/1662672377")</f>
        <v>https://pbs.twimg.com/profile_banners/18525497/1662672377</v>
      </c>
      <c r="AQ24" s="76" t="b">
        <v>0</v>
      </c>
      <c r="AR24" s="76" t="b">
        <v>0</v>
      </c>
      <c r="AS24" s="76" t="b">
        <v>0</v>
      </c>
      <c r="AT24" s="76"/>
      <c r="AU24" s="76">
        <v>2160</v>
      </c>
      <c r="AV24" s="82" t="str">
        <f>HYPERLINK("https://abs.twimg.com/images/themes/theme1/bg.png")</f>
        <v>https://abs.twimg.com/images/themes/theme1/bg.png</v>
      </c>
      <c r="AW24" s="76" t="b">
        <v>1</v>
      </c>
      <c r="AX24" s="76" t="s">
        <v>1651</v>
      </c>
      <c r="AY24" s="82" t="str">
        <f>HYPERLINK("https://twitter.com/glynmoody")</f>
        <v>https://twitter.com/glynmoody</v>
      </c>
      <c r="AZ24" s="76" t="s">
        <v>66</v>
      </c>
      <c r="BA24" s="76" t="str">
        <f>REPLACE(INDEX(GroupVertices[Group],MATCH(Vertices[[#This Row],[Vertex]],GroupVertices[Vertex],0)),1,1,"")</f>
        <v>1</v>
      </c>
      <c r="BB24" s="45"/>
      <c r="BC24" s="46"/>
      <c r="BD24" s="45"/>
      <c r="BE24" s="46"/>
      <c r="BF24" s="45"/>
      <c r="BG24" s="46"/>
      <c r="BH24" s="45"/>
      <c r="BI24" s="46"/>
      <c r="BJ24" s="45"/>
      <c r="BK24" s="109" t="s">
        <v>916</v>
      </c>
      <c r="BL24" s="109" t="s">
        <v>916</v>
      </c>
      <c r="BM24" s="109" t="s">
        <v>916</v>
      </c>
      <c r="BN24" s="109" t="s">
        <v>916</v>
      </c>
      <c r="BO24" s="2"/>
    </row>
    <row r="25" spans="1:67" ht="15">
      <c r="A25" s="61" t="s">
        <v>260</v>
      </c>
      <c r="B25" s="62"/>
      <c r="C25" s="62"/>
      <c r="D25" s="63">
        <v>80</v>
      </c>
      <c r="E25" s="65"/>
      <c r="F25" s="100" t="str">
        <f>HYPERLINK("https://pbs.twimg.com/profile_images/1568803692903813121/Wheroria_normal.jpg")</f>
        <v>https://pbs.twimg.com/profile_images/1568803692903813121/Wheroria_normal.jpg</v>
      </c>
      <c r="G25" s="62"/>
      <c r="H25" s="66" t="s">
        <v>260</v>
      </c>
      <c r="I25" s="67"/>
      <c r="J25" s="67"/>
      <c r="K25" s="66" t="s">
        <v>260</v>
      </c>
      <c r="L25" s="70">
        <v>1</v>
      </c>
      <c r="M25" s="71">
        <v>5543.1865234375</v>
      </c>
      <c r="N25" s="71">
        <v>3779.961669921875</v>
      </c>
      <c r="O25" s="72"/>
      <c r="P25" s="73"/>
      <c r="Q25" s="73"/>
      <c r="R25" s="86"/>
      <c r="S25" s="45">
        <v>0</v>
      </c>
      <c r="T25" s="45">
        <v>1</v>
      </c>
      <c r="U25" s="46">
        <v>0</v>
      </c>
      <c r="V25" s="46">
        <v>0.041498</v>
      </c>
      <c r="W25" s="46">
        <v>9.6E-05</v>
      </c>
      <c r="X25" s="46">
        <v>0.004381</v>
      </c>
      <c r="Y25" s="46">
        <v>0</v>
      </c>
      <c r="Z25" s="46">
        <v>0</v>
      </c>
      <c r="AA25" s="68">
        <v>25</v>
      </c>
      <c r="AB25" s="68"/>
      <c r="AC25" s="69"/>
      <c r="AD25" s="76" t="s">
        <v>1010</v>
      </c>
      <c r="AE25" s="85" t="s">
        <v>1203</v>
      </c>
      <c r="AF25" s="76">
        <v>600</v>
      </c>
      <c r="AG25" s="76">
        <v>1047</v>
      </c>
      <c r="AH25" s="76">
        <v>15134</v>
      </c>
      <c r="AI25" s="76">
        <v>17751</v>
      </c>
      <c r="AJ25" s="76"/>
      <c r="AK25" s="76" t="s">
        <v>1371</v>
      </c>
      <c r="AL25" s="76"/>
      <c r="AM25" s="82" t="str">
        <f>HYPERLINK("https://t.co/8Tsf4V6Ks9")</f>
        <v>https://t.co/8Tsf4V6Ks9</v>
      </c>
      <c r="AN25" s="76"/>
      <c r="AO25" s="78">
        <v>42186.51186342593</v>
      </c>
      <c r="AP25" s="82" t="str">
        <f>HYPERLINK("https://pbs.twimg.com/profile_banners/3263245867/1435756663")</f>
        <v>https://pbs.twimg.com/profile_banners/3263245867/1435756663</v>
      </c>
      <c r="AQ25" s="76" t="b">
        <v>1</v>
      </c>
      <c r="AR25" s="76" t="b">
        <v>0</v>
      </c>
      <c r="AS25" s="76" t="b">
        <v>0</v>
      </c>
      <c r="AT25" s="76"/>
      <c r="AU25" s="76">
        <v>0</v>
      </c>
      <c r="AV25" s="82" t="str">
        <f>HYPERLINK("https://abs.twimg.com/images/themes/theme1/bg.png")</f>
        <v>https://abs.twimg.com/images/themes/theme1/bg.png</v>
      </c>
      <c r="AW25" s="76" t="b">
        <v>0</v>
      </c>
      <c r="AX25" s="76" t="s">
        <v>1651</v>
      </c>
      <c r="AY25" s="82" t="str">
        <f>HYPERLINK("https://twitter.com/openpolicynz")</f>
        <v>https://twitter.com/openpolicynz</v>
      </c>
      <c r="AZ25" s="76" t="s">
        <v>66</v>
      </c>
      <c r="BA25" s="76" t="str">
        <f>REPLACE(INDEX(GroupVertices[Group],MATCH(Vertices[[#This Row],[Vertex]],GroupVertices[Vertex],0)),1,1,"")</f>
        <v>1</v>
      </c>
      <c r="BB25" s="45"/>
      <c r="BC25" s="46"/>
      <c r="BD25" s="45"/>
      <c r="BE25" s="46"/>
      <c r="BF25" s="45"/>
      <c r="BG25" s="46"/>
      <c r="BH25" s="45"/>
      <c r="BI25" s="46"/>
      <c r="BJ25" s="45"/>
      <c r="BK25" s="109" t="s">
        <v>916</v>
      </c>
      <c r="BL25" s="109" t="s">
        <v>916</v>
      </c>
      <c r="BM25" s="109" t="s">
        <v>916</v>
      </c>
      <c r="BN25" s="109" t="s">
        <v>916</v>
      </c>
      <c r="BO25" s="2"/>
    </row>
    <row r="26" spans="1:67" ht="15">
      <c r="A26" s="61" t="s">
        <v>261</v>
      </c>
      <c r="B26" s="62"/>
      <c r="C26" s="62"/>
      <c r="D26" s="63">
        <v>80</v>
      </c>
      <c r="E26" s="65"/>
      <c r="F26" s="100" t="str">
        <f>HYPERLINK("https://pbs.twimg.com/profile_images/1418042335418490880/HH0nlfCM_normal.jpg")</f>
        <v>https://pbs.twimg.com/profile_images/1418042335418490880/HH0nlfCM_normal.jpg</v>
      </c>
      <c r="G26" s="62"/>
      <c r="H26" s="66" t="s">
        <v>261</v>
      </c>
      <c r="I26" s="67"/>
      <c r="J26" s="67"/>
      <c r="K26" s="66" t="s">
        <v>261</v>
      </c>
      <c r="L26" s="70">
        <v>1</v>
      </c>
      <c r="M26" s="71">
        <v>4106.81396484375</v>
      </c>
      <c r="N26" s="71">
        <v>2687.43017578125</v>
      </c>
      <c r="O26" s="72"/>
      <c r="P26" s="73"/>
      <c r="Q26" s="73"/>
      <c r="R26" s="86"/>
      <c r="S26" s="45">
        <v>1</v>
      </c>
      <c r="T26" s="45">
        <v>1</v>
      </c>
      <c r="U26" s="46">
        <v>0</v>
      </c>
      <c r="V26" s="46">
        <v>0</v>
      </c>
      <c r="W26" s="46">
        <v>0</v>
      </c>
      <c r="X26" s="46">
        <v>0.005</v>
      </c>
      <c r="Y26" s="46">
        <v>0</v>
      </c>
      <c r="Z26" s="46">
        <v>0</v>
      </c>
      <c r="AA26" s="68">
        <v>26</v>
      </c>
      <c r="AB26" s="68"/>
      <c r="AC26" s="69"/>
      <c r="AD26" s="76" t="s">
        <v>1011</v>
      </c>
      <c r="AE26" s="85" t="s">
        <v>1204</v>
      </c>
      <c r="AF26" s="76">
        <v>2248</v>
      </c>
      <c r="AG26" s="76">
        <v>4034</v>
      </c>
      <c r="AH26" s="76">
        <v>11709</v>
      </c>
      <c r="AI26" s="76">
        <v>11607</v>
      </c>
      <c r="AJ26" s="76"/>
      <c r="AK26" s="76" t="s">
        <v>1372</v>
      </c>
      <c r="AL26" s="76" t="s">
        <v>1548</v>
      </c>
      <c r="AM26" s="82" t="str">
        <f>HYPERLINK("https://t.co/PqPDsZAmDl")</f>
        <v>https://t.co/PqPDsZAmDl</v>
      </c>
      <c r="AN26" s="76"/>
      <c r="AO26" s="78">
        <v>39291.49412037037</v>
      </c>
      <c r="AP26" s="82" t="str">
        <f>HYPERLINK("https://pbs.twimg.com/profile_banners/7782792/1628768310")</f>
        <v>https://pbs.twimg.com/profile_banners/7782792/1628768310</v>
      </c>
      <c r="AQ26" s="76" t="b">
        <v>0</v>
      </c>
      <c r="AR26" s="76" t="b">
        <v>0</v>
      </c>
      <c r="AS26" s="76" t="b">
        <v>0</v>
      </c>
      <c r="AT26" s="76"/>
      <c r="AU26" s="76">
        <v>57</v>
      </c>
      <c r="AV26" s="82" t="str">
        <f>HYPERLINK("https://abs.twimg.com/images/themes/theme1/bg.png")</f>
        <v>https://abs.twimg.com/images/themes/theme1/bg.png</v>
      </c>
      <c r="AW26" s="76" t="b">
        <v>0</v>
      </c>
      <c r="AX26" s="76" t="s">
        <v>1651</v>
      </c>
      <c r="AY26" s="82" t="str">
        <f>HYPERLINK("https://twitter.com/dumindaxsb")</f>
        <v>https://twitter.com/dumindaxsb</v>
      </c>
      <c r="AZ26" s="76" t="s">
        <v>66</v>
      </c>
      <c r="BA26" s="76" t="str">
        <f>REPLACE(INDEX(GroupVertices[Group],MATCH(Vertices[[#This Row],[Vertex]],GroupVertices[Vertex],0)),1,1,"")</f>
        <v>79</v>
      </c>
      <c r="BB26" s="45"/>
      <c r="BC26" s="46"/>
      <c r="BD26" s="45"/>
      <c r="BE26" s="46"/>
      <c r="BF26" s="45"/>
      <c r="BG26" s="46"/>
      <c r="BH26" s="45"/>
      <c r="BI26" s="46"/>
      <c r="BJ26" s="45"/>
      <c r="BK26" s="109" t="s">
        <v>916</v>
      </c>
      <c r="BL26" s="109" t="s">
        <v>916</v>
      </c>
      <c r="BM26" s="109" t="s">
        <v>916</v>
      </c>
      <c r="BN26" s="109" t="s">
        <v>916</v>
      </c>
      <c r="BO26" s="2"/>
    </row>
    <row r="27" spans="1:67" ht="15">
      <c r="A27" s="61" t="s">
        <v>262</v>
      </c>
      <c r="B27" s="62"/>
      <c r="C27" s="62"/>
      <c r="D27" s="63">
        <v>80</v>
      </c>
      <c r="E27" s="65"/>
      <c r="F27" s="100" t="str">
        <f>HYPERLINK("https://pbs.twimg.com/profile_images/1612160611386793985/1WDu7ICU_normal.jpg")</f>
        <v>https://pbs.twimg.com/profile_images/1612160611386793985/1WDu7ICU_normal.jpg</v>
      </c>
      <c r="G27" s="62"/>
      <c r="H27" s="66" t="s">
        <v>262</v>
      </c>
      <c r="I27" s="67"/>
      <c r="J27" s="67"/>
      <c r="K27" s="66" t="s">
        <v>262</v>
      </c>
      <c r="L27" s="70">
        <v>1</v>
      </c>
      <c r="M27" s="71">
        <v>7437.0576171875</v>
      </c>
      <c r="N27" s="71">
        <v>2512.987548828125</v>
      </c>
      <c r="O27" s="72"/>
      <c r="P27" s="73"/>
      <c r="Q27" s="73"/>
      <c r="R27" s="86"/>
      <c r="S27" s="45">
        <v>0</v>
      </c>
      <c r="T27" s="45">
        <v>1</v>
      </c>
      <c r="U27" s="46">
        <v>0</v>
      </c>
      <c r="V27" s="46">
        <v>0.041498</v>
      </c>
      <c r="W27" s="46">
        <v>9.6E-05</v>
      </c>
      <c r="X27" s="46">
        <v>0.004381</v>
      </c>
      <c r="Y27" s="46">
        <v>0</v>
      </c>
      <c r="Z27" s="46">
        <v>0</v>
      </c>
      <c r="AA27" s="68">
        <v>27</v>
      </c>
      <c r="AB27" s="68"/>
      <c r="AC27" s="69"/>
      <c r="AD27" s="76" t="s">
        <v>1012</v>
      </c>
      <c r="AE27" s="85" t="s">
        <v>1205</v>
      </c>
      <c r="AF27" s="76">
        <v>585</v>
      </c>
      <c r="AG27" s="76">
        <v>2089</v>
      </c>
      <c r="AH27" s="76">
        <v>24693</v>
      </c>
      <c r="AI27" s="76">
        <v>6124</v>
      </c>
      <c r="AJ27" s="76"/>
      <c r="AK27" s="76" t="s">
        <v>1373</v>
      </c>
      <c r="AL27" s="76" t="s">
        <v>1549</v>
      </c>
      <c r="AM27" s="82" t="str">
        <f>HYPERLINK("https://t.co/VRuLiTSWge")</f>
        <v>https://t.co/VRuLiTSWge</v>
      </c>
      <c r="AN27" s="76"/>
      <c r="AO27" s="78">
        <v>40132.13883101852</v>
      </c>
      <c r="AP27" s="82" t="str">
        <f>HYPERLINK("https://pbs.twimg.com/profile_banners/90083746/1673204028")</f>
        <v>https://pbs.twimg.com/profile_banners/90083746/1673204028</v>
      </c>
      <c r="AQ27" s="76" t="b">
        <v>1</v>
      </c>
      <c r="AR27" s="76" t="b">
        <v>0</v>
      </c>
      <c r="AS27" s="76" t="b">
        <v>1</v>
      </c>
      <c r="AT27" s="76"/>
      <c r="AU27" s="76">
        <v>144</v>
      </c>
      <c r="AV27" s="82" t="str">
        <f>HYPERLINK("https://abs.twimg.com/images/themes/theme1/bg.png")</f>
        <v>https://abs.twimg.com/images/themes/theme1/bg.png</v>
      </c>
      <c r="AW27" s="76" t="b">
        <v>0</v>
      </c>
      <c r="AX27" s="76" t="s">
        <v>1651</v>
      </c>
      <c r="AY27" s="82" t="str">
        <f>HYPERLINK("https://twitter.com/hvdsomp")</f>
        <v>https://twitter.com/hvdsomp</v>
      </c>
      <c r="AZ27" s="76" t="s">
        <v>66</v>
      </c>
      <c r="BA27" s="76" t="str">
        <f>REPLACE(INDEX(GroupVertices[Group],MATCH(Vertices[[#This Row],[Vertex]],GroupVertices[Vertex],0)),1,1,"")</f>
        <v>1</v>
      </c>
      <c r="BB27" s="45"/>
      <c r="BC27" s="46"/>
      <c r="BD27" s="45"/>
      <c r="BE27" s="46"/>
      <c r="BF27" s="45"/>
      <c r="BG27" s="46"/>
      <c r="BH27" s="45"/>
      <c r="BI27" s="46"/>
      <c r="BJ27" s="45"/>
      <c r="BK27" s="109" t="s">
        <v>916</v>
      </c>
      <c r="BL27" s="109" t="s">
        <v>916</v>
      </c>
      <c r="BM27" s="109" t="s">
        <v>916</v>
      </c>
      <c r="BN27" s="109" t="s">
        <v>916</v>
      </c>
      <c r="BO27" s="2"/>
    </row>
    <row r="28" spans="1:67" ht="15">
      <c r="A28" s="61" t="s">
        <v>263</v>
      </c>
      <c r="B28" s="62"/>
      <c r="C28" s="62"/>
      <c r="D28" s="63">
        <v>80</v>
      </c>
      <c r="E28" s="65"/>
      <c r="F28" s="100" t="str">
        <f>HYPERLINK("https://pbs.twimg.com/profile_images/1595031586306592768/1I1U04sj_normal.jpg")</f>
        <v>https://pbs.twimg.com/profile_images/1595031586306592768/1I1U04sj_normal.jpg</v>
      </c>
      <c r="G28" s="62"/>
      <c r="H28" s="66" t="s">
        <v>263</v>
      </c>
      <c r="I28" s="67"/>
      <c r="J28" s="67"/>
      <c r="K28" s="66" t="s">
        <v>263</v>
      </c>
      <c r="L28" s="70">
        <v>1</v>
      </c>
      <c r="M28" s="71">
        <v>4366.1923828125</v>
      </c>
      <c r="N28" s="71">
        <v>3726.655029296875</v>
      </c>
      <c r="O28" s="72"/>
      <c r="P28" s="73"/>
      <c r="Q28" s="73"/>
      <c r="R28" s="86"/>
      <c r="S28" s="45">
        <v>0</v>
      </c>
      <c r="T28" s="45">
        <v>1</v>
      </c>
      <c r="U28" s="46">
        <v>0</v>
      </c>
      <c r="V28" s="46">
        <v>0.041498</v>
      </c>
      <c r="W28" s="46">
        <v>9.6E-05</v>
      </c>
      <c r="X28" s="46">
        <v>0.004381</v>
      </c>
      <c r="Y28" s="46">
        <v>0</v>
      </c>
      <c r="Z28" s="46">
        <v>0</v>
      </c>
      <c r="AA28" s="68">
        <v>28</v>
      </c>
      <c r="AB28" s="68"/>
      <c r="AC28" s="69"/>
      <c r="AD28" s="76" t="s">
        <v>1013</v>
      </c>
      <c r="AE28" s="85" t="s">
        <v>1206</v>
      </c>
      <c r="AF28" s="76">
        <v>1672</v>
      </c>
      <c r="AG28" s="76">
        <v>64769</v>
      </c>
      <c r="AH28" s="76">
        <v>305738</v>
      </c>
      <c r="AI28" s="76">
        <v>14117</v>
      </c>
      <c r="AJ28" s="76"/>
      <c r="AK28" s="76" t="s">
        <v>1374</v>
      </c>
      <c r="AL28" s="76" t="s">
        <v>1550</v>
      </c>
      <c r="AM28" s="82" t="str">
        <f>HYPERLINK("https://t.co/MOi5O8IOLT")</f>
        <v>https://t.co/MOi5O8IOLT</v>
      </c>
      <c r="AN28" s="76"/>
      <c r="AO28" s="78">
        <v>39444.13505787037</v>
      </c>
      <c r="AP28" s="82" t="str">
        <f>HYPERLINK("https://pbs.twimg.com/profile_banners/11589192/1660388684")</f>
        <v>https://pbs.twimg.com/profile_banners/11589192/1660388684</v>
      </c>
      <c r="AQ28" s="76" t="b">
        <v>0</v>
      </c>
      <c r="AR28" s="76" t="b">
        <v>0</v>
      </c>
      <c r="AS28" s="76" t="b">
        <v>1</v>
      </c>
      <c r="AT28" s="76"/>
      <c r="AU28" s="76">
        <v>791</v>
      </c>
      <c r="AV28" s="82" t="str">
        <f>HYPERLINK("https://abs.twimg.com/images/themes/theme1/bg.png")</f>
        <v>https://abs.twimg.com/images/themes/theme1/bg.png</v>
      </c>
      <c r="AW28" s="76" t="b">
        <v>1</v>
      </c>
      <c r="AX28" s="76" t="s">
        <v>1651</v>
      </c>
      <c r="AY28" s="82" t="str">
        <f>HYPERLINK("https://twitter.com/calamur")</f>
        <v>https://twitter.com/calamur</v>
      </c>
      <c r="AZ28" s="76" t="s">
        <v>66</v>
      </c>
      <c r="BA28" s="76" t="str">
        <f>REPLACE(INDEX(GroupVertices[Group],MATCH(Vertices[[#This Row],[Vertex]],GroupVertices[Vertex],0)),1,1,"")</f>
        <v>1</v>
      </c>
      <c r="BB28" s="45"/>
      <c r="BC28" s="46"/>
      <c r="BD28" s="45"/>
      <c r="BE28" s="46"/>
      <c r="BF28" s="45"/>
      <c r="BG28" s="46"/>
      <c r="BH28" s="45"/>
      <c r="BI28" s="46"/>
      <c r="BJ28" s="45"/>
      <c r="BK28" s="109" t="s">
        <v>916</v>
      </c>
      <c r="BL28" s="109" t="s">
        <v>916</v>
      </c>
      <c r="BM28" s="109" t="s">
        <v>916</v>
      </c>
      <c r="BN28" s="109" t="s">
        <v>916</v>
      </c>
      <c r="BO28" s="2"/>
    </row>
    <row r="29" spans="1:67" ht="15">
      <c r="A29" s="61" t="s">
        <v>264</v>
      </c>
      <c r="B29" s="62"/>
      <c r="C29" s="62"/>
      <c r="D29" s="63">
        <v>80</v>
      </c>
      <c r="E29" s="65"/>
      <c r="F29" s="100" t="str">
        <f>HYPERLINK("https://pbs.twimg.com/profile_images/875461018088034304/SSQX4sMy_normal.jpg")</f>
        <v>https://pbs.twimg.com/profile_images/875461018088034304/SSQX4sMy_normal.jpg</v>
      </c>
      <c r="G29" s="62"/>
      <c r="H29" s="66" t="s">
        <v>264</v>
      </c>
      <c r="I29" s="67"/>
      <c r="J29" s="67"/>
      <c r="K29" s="66" t="s">
        <v>264</v>
      </c>
      <c r="L29" s="70">
        <v>1</v>
      </c>
      <c r="M29" s="71">
        <v>4173.6689453125</v>
      </c>
      <c r="N29" s="71">
        <v>1908.8369140625</v>
      </c>
      <c r="O29" s="72"/>
      <c r="P29" s="73"/>
      <c r="Q29" s="73"/>
      <c r="R29" s="86"/>
      <c r="S29" s="45">
        <v>0</v>
      </c>
      <c r="T29" s="45">
        <v>1</v>
      </c>
      <c r="U29" s="46">
        <v>0</v>
      </c>
      <c r="V29" s="46">
        <v>0.041498</v>
      </c>
      <c r="W29" s="46">
        <v>9.6E-05</v>
      </c>
      <c r="X29" s="46">
        <v>0.004381</v>
      </c>
      <c r="Y29" s="46">
        <v>0</v>
      </c>
      <c r="Z29" s="46">
        <v>0</v>
      </c>
      <c r="AA29" s="68">
        <v>29</v>
      </c>
      <c r="AB29" s="68"/>
      <c r="AC29" s="69"/>
      <c r="AD29" s="76" t="s">
        <v>1014</v>
      </c>
      <c r="AE29" s="85" t="s">
        <v>1207</v>
      </c>
      <c r="AF29" s="76">
        <v>4971</v>
      </c>
      <c r="AG29" s="76">
        <v>572</v>
      </c>
      <c r="AH29" s="76">
        <v>70517</v>
      </c>
      <c r="AI29" s="76">
        <v>92627</v>
      </c>
      <c r="AJ29" s="76"/>
      <c r="AK29" s="76" t="s">
        <v>1375</v>
      </c>
      <c r="AL29" s="76"/>
      <c r="AM29" s="82" t="str">
        <f>HYPERLINK("https://t.co/oPYGrp4Kp8")</f>
        <v>https://t.co/oPYGrp4Kp8</v>
      </c>
      <c r="AN29" s="76"/>
      <c r="AO29" s="78">
        <v>40161.919016203705</v>
      </c>
      <c r="AP29" s="82" t="str">
        <f>HYPERLINK("https://pbs.twimg.com/profile_banners/96850673/1360440779")</f>
        <v>https://pbs.twimg.com/profile_banners/96850673/1360440779</v>
      </c>
      <c r="AQ29" s="76" t="b">
        <v>0</v>
      </c>
      <c r="AR29" s="76" t="b">
        <v>0</v>
      </c>
      <c r="AS29" s="76" t="b">
        <v>1</v>
      </c>
      <c r="AT29" s="76"/>
      <c r="AU29" s="76">
        <v>260</v>
      </c>
      <c r="AV29" s="82" t="str">
        <f>HYPERLINK("https://abs.twimg.com/images/themes/theme13/bg.gif")</f>
        <v>https://abs.twimg.com/images/themes/theme13/bg.gif</v>
      </c>
      <c r="AW29" s="76" t="b">
        <v>0</v>
      </c>
      <c r="AX29" s="76" t="s">
        <v>1651</v>
      </c>
      <c r="AY29" s="82" t="str">
        <f>HYPERLINK("https://twitter.com/mivesto")</f>
        <v>https://twitter.com/mivesto</v>
      </c>
      <c r="AZ29" s="76" t="s">
        <v>66</v>
      </c>
      <c r="BA29" s="76" t="str">
        <f>REPLACE(INDEX(GroupVertices[Group],MATCH(Vertices[[#This Row],[Vertex]],GroupVertices[Vertex],0)),1,1,"")</f>
        <v>1</v>
      </c>
      <c r="BB29" s="45"/>
      <c r="BC29" s="46"/>
      <c r="BD29" s="45"/>
      <c r="BE29" s="46"/>
      <c r="BF29" s="45"/>
      <c r="BG29" s="46"/>
      <c r="BH29" s="45"/>
      <c r="BI29" s="46"/>
      <c r="BJ29" s="45"/>
      <c r="BK29" s="109" t="s">
        <v>916</v>
      </c>
      <c r="BL29" s="109" t="s">
        <v>916</v>
      </c>
      <c r="BM29" s="109" t="s">
        <v>916</v>
      </c>
      <c r="BN29" s="109" t="s">
        <v>916</v>
      </c>
      <c r="BO29" s="2"/>
    </row>
    <row r="30" spans="1:67" ht="15">
      <c r="A30" s="61" t="s">
        <v>265</v>
      </c>
      <c r="B30" s="62"/>
      <c r="C30" s="62"/>
      <c r="D30" s="63">
        <v>80</v>
      </c>
      <c r="E30" s="65"/>
      <c r="F30" s="100" t="str">
        <f>HYPERLINK("https://pbs.twimg.com/profile_images/1624072992106897410/ovrU1KW-_normal.jpg")</f>
        <v>https://pbs.twimg.com/profile_images/1624072992106897410/ovrU1KW-_normal.jpg</v>
      </c>
      <c r="G30" s="62"/>
      <c r="H30" s="66" t="s">
        <v>265</v>
      </c>
      <c r="I30" s="67"/>
      <c r="J30" s="67"/>
      <c r="K30" s="66" t="s">
        <v>265</v>
      </c>
      <c r="L30" s="70">
        <v>1</v>
      </c>
      <c r="M30" s="71">
        <v>7069.1513671875</v>
      </c>
      <c r="N30" s="71">
        <v>1741.3272705078125</v>
      </c>
      <c r="O30" s="72"/>
      <c r="P30" s="73"/>
      <c r="Q30" s="73"/>
      <c r="R30" s="86"/>
      <c r="S30" s="45">
        <v>0</v>
      </c>
      <c r="T30" s="45">
        <v>1</v>
      </c>
      <c r="U30" s="46">
        <v>0</v>
      </c>
      <c r="V30" s="46">
        <v>0.041498</v>
      </c>
      <c r="W30" s="46">
        <v>9.6E-05</v>
      </c>
      <c r="X30" s="46">
        <v>0.004381</v>
      </c>
      <c r="Y30" s="46">
        <v>0</v>
      </c>
      <c r="Z30" s="46">
        <v>0</v>
      </c>
      <c r="AA30" s="68">
        <v>30</v>
      </c>
      <c r="AB30" s="68"/>
      <c r="AC30" s="69"/>
      <c r="AD30" s="76" t="s">
        <v>1015</v>
      </c>
      <c r="AE30" s="85" t="s">
        <v>1208</v>
      </c>
      <c r="AF30" s="76">
        <v>2950</v>
      </c>
      <c r="AG30" s="76">
        <v>929</v>
      </c>
      <c r="AH30" s="76">
        <v>65617</v>
      </c>
      <c r="AI30" s="76">
        <v>4915</v>
      </c>
      <c r="AJ30" s="76"/>
      <c r="AK30" s="76" t="s">
        <v>1376</v>
      </c>
      <c r="AL30" s="76" t="s">
        <v>1551</v>
      </c>
      <c r="AM30" s="82" t="str">
        <f>HYPERLINK("https://t.co/scFk2MwguB")</f>
        <v>https://t.co/scFk2MwguB</v>
      </c>
      <c r="AN30" s="76"/>
      <c r="AO30" s="78">
        <v>44279.90106481482</v>
      </c>
      <c r="AP30" s="82" t="str">
        <f>HYPERLINK("https://pbs.twimg.com/profile_banners/1374837540079960069/1638982227")</f>
        <v>https://pbs.twimg.com/profile_banners/1374837540079960069/1638982227</v>
      </c>
      <c r="AQ30" s="76" t="b">
        <v>1</v>
      </c>
      <c r="AR30" s="76" t="b">
        <v>0</v>
      </c>
      <c r="AS30" s="76" t="b">
        <v>0</v>
      </c>
      <c r="AT30" s="76"/>
      <c r="AU30" s="76">
        <v>13</v>
      </c>
      <c r="AV30" s="76"/>
      <c r="AW30" s="76" t="b">
        <v>0</v>
      </c>
      <c r="AX30" s="76" t="s">
        <v>1651</v>
      </c>
      <c r="AY30" s="82" t="str">
        <f>HYPERLINK("https://twitter.com/jayaisales")</f>
        <v>https://twitter.com/jayaisales</v>
      </c>
      <c r="AZ30" s="76" t="s">
        <v>66</v>
      </c>
      <c r="BA30" s="76" t="str">
        <f>REPLACE(INDEX(GroupVertices[Group],MATCH(Vertices[[#This Row],[Vertex]],GroupVertices[Vertex],0)),1,1,"")</f>
        <v>1</v>
      </c>
      <c r="BB30" s="45"/>
      <c r="BC30" s="46"/>
      <c r="BD30" s="45"/>
      <c r="BE30" s="46"/>
      <c r="BF30" s="45"/>
      <c r="BG30" s="46"/>
      <c r="BH30" s="45"/>
      <c r="BI30" s="46"/>
      <c r="BJ30" s="45"/>
      <c r="BK30" s="109" t="s">
        <v>916</v>
      </c>
      <c r="BL30" s="109" t="s">
        <v>916</v>
      </c>
      <c r="BM30" s="109" t="s">
        <v>916</v>
      </c>
      <c r="BN30" s="109" t="s">
        <v>916</v>
      </c>
      <c r="BO30" s="2"/>
    </row>
    <row r="31" spans="1:67" ht="15">
      <c r="A31" s="61" t="s">
        <v>266</v>
      </c>
      <c r="B31" s="62"/>
      <c r="C31" s="62"/>
      <c r="D31" s="63">
        <v>80</v>
      </c>
      <c r="E31" s="65"/>
      <c r="F31" s="100" t="str">
        <f>HYPERLINK("https://pbs.twimg.com/profile_images/1371833629962293253/0wKhtS0b_normal.jpg")</f>
        <v>https://pbs.twimg.com/profile_images/1371833629962293253/0wKhtS0b_normal.jpg</v>
      </c>
      <c r="G31" s="62"/>
      <c r="H31" s="66" t="s">
        <v>266</v>
      </c>
      <c r="I31" s="67"/>
      <c r="J31" s="67"/>
      <c r="K31" s="66" t="s">
        <v>266</v>
      </c>
      <c r="L31" s="70">
        <v>1</v>
      </c>
      <c r="M31" s="71">
        <v>7259.0986328125</v>
      </c>
      <c r="N31" s="71">
        <v>3561.0185546875</v>
      </c>
      <c r="O31" s="72"/>
      <c r="P31" s="73"/>
      <c r="Q31" s="73"/>
      <c r="R31" s="86"/>
      <c r="S31" s="45">
        <v>0</v>
      </c>
      <c r="T31" s="45">
        <v>1</v>
      </c>
      <c r="U31" s="46">
        <v>0</v>
      </c>
      <c r="V31" s="46">
        <v>0.041498</v>
      </c>
      <c r="W31" s="46">
        <v>9.6E-05</v>
      </c>
      <c r="X31" s="46">
        <v>0.004381</v>
      </c>
      <c r="Y31" s="46">
        <v>0</v>
      </c>
      <c r="Z31" s="46">
        <v>0</v>
      </c>
      <c r="AA31" s="68">
        <v>31</v>
      </c>
      <c r="AB31" s="68"/>
      <c r="AC31" s="69"/>
      <c r="AD31" s="76" t="s">
        <v>1016</v>
      </c>
      <c r="AE31" s="85" t="s">
        <v>1209</v>
      </c>
      <c r="AF31" s="76">
        <v>1012</v>
      </c>
      <c r="AG31" s="76">
        <v>1624</v>
      </c>
      <c r="AH31" s="76">
        <v>1871</v>
      </c>
      <c r="AI31" s="76">
        <v>373</v>
      </c>
      <c r="AJ31" s="76"/>
      <c r="AK31" s="76" t="s">
        <v>1377</v>
      </c>
      <c r="AL31" s="76" t="s">
        <v>1552</v>
      </c>
      <c r="AM31" s="82" t="str">
        <f>HYPERLINK("http://t.co/bP6CzrBeWq")</f>
        <v>http://t.co/bP6CzrBeWq</v>
      </c>
      <c r="AN31" s="76"/>
      <c r="AO31" s="78">
        <v>39762.00614583334</v>
      </c>
      <c r="AP31" s="82" t="str">
        <f>HYPERLINK("https://pbs.twimg.com/profile_banners/17276401/1588179283")</f>
        <v>https://pbs.twimg.com/profile_banners/17276401/1588179283</v>
      </c>
      <c r="AQ31" s="76" t="b">
        <v>0</v>
      </c>
      <c r="AR31" s="76" t="b">
        <v>0</v>
      </c>
      <c r="AS31" s="76" t="b">
        <v>1</v>
      </c>
      <c r="AT31" s="76"/>
      <c r="AU31" s="76">
        <v>80</v>
      </c>
      <c r="AV31" s="82" t="str">
        <f>HYPERLINK("https://abs.twimg.com/images/themes/theme15/bg.png")</f>
        <v>https://abs.twimg.com/images/themes/theme15/bg.png</v>
      </c>
      <c r="AW31" s="76" t="b">
        <v>0</v>
      </c>
      <c r="AX31" s="76" t="s">
        <v>1651</v>
      </c>
      <c r="AY31" s="82" t="str">
        <f>HYPERLINK("https://twitter.com/deepdyve")</f>
        <v>https://twitter.com/deepdyve</v>
      </c>
      <c r="AZ31" s="76" t="s">
        <v>66</v>
      </c>
      <c r="BA31" s="76" t="str">
        <f>REPLACE(INDEX(GroupVertices[Group],MATCH(Vertices[[#This Row],[Vertex]],GroupVertices[Vertex],0)),1,1,"")</f>
        <v>1</v>
      </c>
      <c r="BB31" s="45"/>
      <c r="BC31" s="46"/>
      <c r="BD31" s="45"/>
      <c r="BE31" s="46"/>
      <c r="BF31" s="45"/>
      <c r="BG31" s="46"/>
      <c r="BH31" s="45"/>
      <c r="BI31" s="46"/>
      <c r="BJ31" s="45"/>
      <c r="BK31" s="109" t="s">
        <v>916</v>
      </c>
      <c r="BL31" s="109" t="s">
        <v>916</v>
      </c>
      <c r="BM31" s="109" t="s">
        <v>916</v>
      </c>
      <c r="BN31" s="109" t="s">
        <v>916</v>
      </c>
      <c r="BO31" s="2"/>
    </row>
    <row r="32" spans="1:67" ht="15">
      <c r="A32" s="61" t="s">
        <v>267</v>
      </c>
      <c r="B32" s="62"/>
      <c r="C32" s="62"/>
      <c r="D32" s="63">
        <v>205.45454545454544</v>
      </c>
      <c r="E32" s="65"/>
      <c r="F32" s="100" t="str">
        <f>HYPERLINK("https://pbs.twimg.com/profile_images/1524870102109282321/cC1lIJSn_normal.jpg")</f>
        <v>https://pbs.twimg.com/profile_images/1524870102109282321/cC1lIJSn_normal.jpg</v>
      </c>
      <c r="G32" s="62"/>
      <c r="H32" s="66" t="s">
        <v>267</v>
      </c>
      <c r="I32" s="67"/>
      <c r="J32" s="67"/>
      <c r="K32" s="66" t="s">
        <v>267</v>
      </c>
      <c r="L32" s="70">
        <v>173.3793103448276</v>
      </c>
      <c r="M32" s="71">
        <v>5409.69970703125</v>
      </c>
      <c r="N32" s="71">
        <v>3038.892333984375</v>
      </c>
      <c r="O32" s="72"/>
      <c r="P32" s="73"/>
      <c r="Q32" s="73"/>
      <c r="R32" s="86"/>
      <c r="S32" s="45">
        <v>0</v>
      </c>
      <c r="T32" s="45">
        <v>3</v>
      </c>
      <c r="U32" s="46">
        <v>6</v>
      </c>
      <c r="V32" s="46">
        <v>0.015075</v>
      </c>
      <c r="W32" s="46">
        <v>0</v>
      </c>
      <c r="X32" s="46">
        <v>0.006304</v>
      </c>
      <c r="Y32" s="46">
        <v>0</v>
      </c>
      <c r="Z32" s="46">
        <v>0</v>
      </c>
      <c r="AA32" s="68">
        <v>32</v>
      </c>
      <c r="AB32" s="68"/>
      <c r="AC32" s="69"/>
      <c r="AD32" s="76" t="s">
        <v>1017</v>
      </c>
      <c r="AE32" s="85" t="s">
        <v>1210</v>
      </c>
      <c r="AF32" s="76">
        <v>498</v>
      </c>
      <c r="AG32" s="76">
        <v>316</v>
      </c>
      <c r="AH32" s="76">
        <v>3263</v>
      </c>
      <c r="AI32" s="76">
        <v>5845</v>
      </c>
      <c r="AJ32" s="76"/>
      <c r="AK32" s="76" t="s">
        <v>1378</v>
      </c>
      <c r="AL32" s="76"/>
      <c r="AM32" s="76"/>
      <c r="AN32" s="76"/>
      <c r="AO32" s="78">
        <v>43530.80195601852</v>
      </c>
      <c r="AP32" s="82" t="str">
        <f>HYPERLINK("https://pbs.twimg.com/profile_banners/1103373383490772995/1640041201")</f>
        <v>https://pbs.twimg.com/profile_banners/1103373383490772995/1640041201</v>
      </c>
      <c r="AQ32" s="76" t="b">
        <v>1</v>
      </c>
      <c r="AR32" s="76" t="b">
        <v>0</v>
      </c>
      <c r="AS32" s="76" t="b">
        <v>0</v>
      </c>
      <c r="AT32" s="76"/>
      <c r="AU32" s="76">
        <v>4</v>
      </c>
      <c r="AV32" s="76"/>
      <c r="AW32" s="76" t="b">
        <v>0</v>
      </c>
      <c r="AX32" s="76" t="s">
        <v>1651</v>
      </c>
      <c r="AY32" s="82" t="str">
        <f>HYPERLINK("https://twitter.com/colorblinding")</f>
        <v>https://twitter.com/colorblinding</v>
      </c>
      <c r="AZ32" s="76" t="s">
        <v>66</v>
      </c>
      <c r="BA32" s="76" t="str">
        <f>REPLACE(INDEX(GroupVertices[Group],MATCH(Vertices[[#This Row],[Vertex]],GroupVertices[Vertex],0)),1,1,"")</f>
        <v>13</v>
      </c>
      <c r="BB32" s="45"/>
      <c r="BC32" s="46"/>
      <c r="BD32" s="45"/>
      <c r="BE32" s="46"/>
      <c r="BF32" s="45"/>
      <c r="BG32" s="46"/>
      <c r="BH32" s="45"/>
      <c r="BI32" s="46"/>
      <c r="BJ32" s="45"/>
      <c r="BK32" s="109" t="s">
        <v>916</v>
      </c>
      <c r="BL32" s="109" t="s">
        <v>916</v>
      </c>
      <c r="BM32" s="109" t="s">
        <v>916</v>
      </c>
      <c r="BN32" s="109" t="s">
        <v>916</v>
      </c>
      <c r="BO32" s="2"/>
    </row>
    <row r="33" spans="1:67" ht="15">
      <c r="A33" s="61" t="s">
        <v>391</v>
      </c>
      <c r="B33" s="62"/>
      <c r="C33" s="62"/>
      <c r="D33" s="63">
        <v>80</v>
      </c>
      <c r="E33" s="65"/>
      <c r="F33" s="100" t="str">
        <f>HYPERLINK("https://pbs.twimg.com/profile_images/1563691268793946117/OedvhFeS_normal.jpg")</f>
        <v>https://pbs.twimg.com/profile_images/1563691268793946117/OedvhFeS_normal.jpg</v>
      </c>
      <c r="G33" s="62"/>
      <c r="H33" s="66" t="s">
        <v>391</v>
      </c>
      <c r="I33" s="67"/>
      <c r="J33" s="67"/>
      <c r="K33" s="66" t="s">
        <v>391</v>
      </c>
      <c r="L33" s="70">
        <v>1</v>
      </c>
      <c r="M33" s="71">
        <v>6173.087890625</v>
      </c>
      <c r="N33" s="71">
        <v>4238.30517578125</v>
      </c>
      <c r="O33" s="72"/>
      <c r="P33" s="73"/>
      <c r="Q33" s="73"/>
      <c r="R33" s="86"/>
      <c r="S33" s="45">
        <v>1</v>
      </c>
      <c r="T33" s="45">
        <v>0</v>
      </c>
      <c r="U33" s="46">
        <v>0</v>
      </c>
      <c r="V33" s="46">
        <v>0.009045</v>
      </c>
      <c r="W33" s="46">
        <v>0</v>
      </c>
      <c r="X33" s="46">
        <v>0.004565</v>
      </c>
      <c r="Y33" s="46">
        <v>0</v>
      </c>
      <c r="Z33" s="46">
        <v>0</v>
      </c>
      <c r="AA33" s="68">
        <v>33</v>
      </c>
      <c r="AB33" s="68"/>
      <c r="AC33" s="69"/>
      <c r="AD33" s="76" t="s">
        <v>1018</v>
      </c>
      <c r="AE33" s="85" t="s">
        <v>1211</v>
      </c>
      <c r="AF33" s="76">
        <v>766</v>
      </c>
      <c r="AG33" s="76">
        <v>649151</v>
      </c>
      <c r="AH33" s="76">
        <v>3501</v>
      </c>
      <c r="AI33" s="76">
        <v>2707</v>
      </c>
      <c r="AJ33" s="76"/>
      <c r="AK33" s="76" t="s">
        <v>1379</v>
      </c>
      <c r="AL33" s="76"/>
      <c r="AM33" s="76"/>
      <c r="AN33" s="76"/>
      <c r="AO33" s="78">
        <v>44770.972546296296</v>
      </c>
      <c r="AP33" s="82" t="str">
        <f>HYPERLINK("https://pbs.twimg.com/profile_banners/1552795969959636992/1665117068")</f>
        <v>https://pbs.twimg.com/profile_banners/1552795969959636992/1665117068</v>
      </c>
      <c r="AQ33" s="76" t="b">
        <v>1</v>
      </c>
      <c r="AR33" s="76" t="b">
        <v>0</v>
      </c>
      <c r="AS33" s="76" t="b">
        <v>0</v>
      </c>
      <c r="AT33" s="76"/>
      <c r="AU33" s="76">
        <v>1385</v>
      </c>
      <c r="AV33" s="76"/>
      <c r="AW33" s="76" t="b">
        <v>0</v>
      </c>
      <c r="AX33" s="76" t="s">
        <v>1651</v>
      </c>
      <c r="AY33" s="82" t="str">
        <f>HYPERLINK("https://twitter.com/endwokeness")</f>
        <v>https://twitter.com/endwokeness</v>
      </c>
      <c r="AZ33" s="76" t="s">
        <v>65</v>
      </c>
      <c r="BA33" s="76" t="str">
        <f>REPLACE(INDEX(GroupVertices[Group],MATCH(Vertices[[#This Row],[Vertex]],GroupVertices[Vertex],0)),1,1,"")</f>
        <v>13</v>
      </c>
      <c r="BB33" s="45"/>
      <c r="BC33" s="46"/>
      <c r="BD33" s="45"/>
      <c r="BE33" s="46"/>
      <c r="BF33" s="45"/>
      <c r="BG33" s="46"/>
      <c r="BH33" s="45"/>
      <c r="BI33" s="46"/>
      <c r="BJ33" s="45"/>
      <c r="BK33" s="45"/>
      <c r="BL33" s="45"/>
      <c r="BM33" s="45"/>
      <c r="BN33" s="45"/>
      <c r="BO33" s="2"/>
    </row>
    <row r="34" spans="1:67" ht="15">
      <c r="A34" s="61" t="s">
        <v>392</v>
      </c>
      <c r="B34" s="62"/>
      <c r="C34" s="62"/>
      <c r="D34" s="63">
        <v>80</v>
      </c>
      <c r="E34" s="65"/>
      <c r="F34" s="100" t="str">
        <f>HYPERLINK("https://pbs.twimg.com/profile_images/1599556516713037825/ENgi-ExF_normal.jpg")</f>
        <v>https://pbs.twimg.com/profile_images/1599556516713037825/ENgi-ExF_normal.jpg</v>
      </c>
      <c r="G34" s="62"/>
      <c r="H34" s="66" t="s">
        <v>392</v>
      </c>
      <c r="I34" s="67"/>
      <c r="J34" s="67"/>
      <c r="K34" s="66" t="s">
        <v>392</v>
      </c>
      <c r="L34" s="70">
        <v>1</v>
      </c>
      <c r="M34" s="71">
        <v>6019.47802734375</v>
      </c>
      <c r="N34" s="71">
        <v>1746.0048828125</v>
      </c>
      <c r="O34" s="72"/>
      <c r="P34" s="73"/>
      <c r="Q34" s="73"/>
      <c r="R34" s="86"/>
      <c r="S34" s="45">
        <v>1</v>
      </c>
      <c r="T34" s="45">
        <v>0</v>
      </c>
      <c r="U34" s="46">
        <v>0</v>
      </c>
      <c r="V34" s="46">
        <v>0.009045</v>
      </c>
      <c r="W34" s="46">
        <v>0</v>
      </c>
      <c r="X34" s="46">
        <v>0.004565</v>
      </c>
      <c r="Y34" s="46">
        <v>0</v>
      </c>
      <c r="Z34" s="46">
        <v>0</v>
      </c>
      <c r="AA34" s="68">
        <v>34</v>
      </c>
      <c r="AB34" s="68"/>
      <c r="AC34" s="69"/>
      <c r="AD34" s="76" t="s">
        <v>1019</v>
      </c>
      <c r="AE34" s="85" t="s">
        <v>1212</v>
      </c>
      <c r="AF34" s="76">
        <v>773</v>
      </c>
      <c r="AG34" s="76">
        <v>414</v>
      </c>
      <c r="AH34" s="76">
        <v>6692</v>
      </c>
      <c r="AI34" s="76">
        <v>14268</v>
      </c>
      <c r="AJ34" s="76"/>
      <c r="AK34" s="76" t="s">
        <v>1380</v>
      </c>
      <c r="AL34" s="76" t="s">
        <v>1553</v>
      </c>
      <c r="AM34" s="76"/>
      <c r="AN34" s="76"/>
      <c r="AO34" s="78">
        <v>44806.09633101852</v>
      </c>
      <c r="AP34" s="82" t="str">
        <f>HYPERLINK("https://pbs.twimg.com/profile_banners/1565524509326774273/1672001390")</f>
        <v>https://pbs.twimg.com/profile_banners/1565524509326774273/1672001390</v>
      </c>
      <c r="AQ34" s="76" t="b">
        <v>1</v>
      </c>
      <c r="AR34" s="76" t="b">
        <v>0</v>
      </c>
      <c r="AS34" s="76" t="b">
        <v>0</v>
      </c>
      <c r="AT34" s="76"/>
      <c r="AU34" s="76">
        <v>1</v>
      </c>
      <c r="AV34" s="76"/>
      <c r="AW34" s="76" t="b">
        <v>0</v>
      </c>
      <c r="AX34" s="76" t="s">
        <v>1651</v>
      </c>
      <c r="AY34" s="82" t="str">
        <f>HYPERLINK("https://twitter.com/poftcm")</f>
        <v>https://twitter.com/poftcm</v>
      </c>
      <c r="AZ34" s="76" t="s">
        <v>65</v>
      </c>
      <c r="BA34" s="76" t="str">
        <f>REPLACE(INDEX(GroupVertices[Group],MATCH(Vertices[[#This Row],[Vertex]],GroupVertices[Vertex],0)),1,1,"")</f>
        <v>13</v>
      </c>
      <c r="BB34" s="45"/>
      <c r="BC34" s="46"/>
      <c r="BD34" s="45"/>
      <c r="BE34" s="46"/>
      <c r="BF34" s="45"/>
      <c r="BG34" s="46"/>
      <c r="BH34" s="45"/>
      <c r="BI34" s="46"/>
      <c r="BJ34" s="45"/>
      <c r="BK34" s="45"/>
      <c r="BL34" s="45"/>
      <c r="BM34" s="45"/>
      <c r="BN34" s="45"/>
      <c r="BO34" s="2"/>
    </row>
    <row r="35" spans="1:67" ht="15">
      <c r="A35" s="61" t="s">
        <v>393</v>
      </c>
      <c r="B35" s="62"/>
      <c r="C35" s="62"/>
      <c r="D35" s="63">
        <v>80</v>
      </c>
      <c r="E35" s="65"/>
      <c r="F35" s="100" t="str">
        <f>HYPERLINK("https://pbs.twimg.com/profile_images/1601389976637276162/MWmljYFl_normal.jpg")</f>
        <v>https://pbs.twimg.com/profile_images/1601389976637276162/MWmljYFl_normal.jpg</v>
      </c>
      <c r="G35" s="62"/>
      <c r="H35" s="66" t="s">
        <v>393</v>
      </c>
      <c r="I35" s="67"/>
      <c r="J35" s="67"/>
      <c r="K35" s="66" t="s">
        <v>393</v>
      </c>
      <c r="L35" s="70">
        <v>1</v>
      </c>
      <c r="M35" s="71">
        <v>4038.197021484375</v>
      </c>
      <c r="N35" s="71">
        <v>3131.87548828125</v>
      </c>
      <c r="O35" s="72"/>
      <c r="P35" s="73"/>
      <c r="Q35" s="73"/>
      <c r="R35" s="86"/>
      <c r="S35" s="45">
        <v>1</v>
      </c>
      <c r="T35" s="45">
        <v>0</v>
      </c>
      <c r="U35" s="46">
        <v>0</v>
      </c>
      <c r="V35" s="46">
        <v>0.009045</v>
      </c>
      <c r="W35" s="46">
        <v>0</v>
      </c>
      <c r="X35" s="46">
        <v>0.004565</v>
      </c>
      <c r="Y35" s="46">
        <v>0</v>
      </c>
      <c r="Z35" s="46">
        <v>0</v>
      </c>
      <c r="AA35" s="68">
        <v>35</v>
      </c>
      <c r="AB35" s="68"/>
      <c r="AC35" s="69"/>
      <c r="AD35" s="76" t="s">
        <v>1020</v>
      </c>
      <c r="AE35" s="85" t="s">
        <v>920</v>
      </c>
      <c r="AF35" s="76">
        <v>48</v>
      </c>
      <c r="AG35" s="76">
        <v>6970</v>
      </c>
      <c r="AH35" s="76">
        <v>2211</v>
      </c>
      <c r="AI35" s="76">
        <v>681</v>
      </c>
      <c r="AJ35" s="76"/>
      <c r="AK35" s="76" t="s">
        <v>1381</v>
      </c>
      <c r="AL35" s="76"/>
      <c r="AM35" s="76"/>
      <c r="AN35" s="76"/>
      <c r="AO35" s="78">
        <v>44581.070752314816</v>
      </c>
      <c r="AP35" s="82" t="str">
        <f>HYPERLINK("https://pbs.twimg.com/profile_banners/1483977940534710277/1675868639")</f>
        <v>https://pbs.twimg.com/profile_banners/1483977940534710277/1675868639</v>
      </c>
      <c r="AQ35" s="76" t="b">
        <v>1</v>
      </c>
      <c r="AR35" s="76" t="b">
        <v>0</v>
      </c>
      <c r="AS35" s="76" t="b">
        <v>0</v>
      </c>
      <c r="AT35" s="76"/>
      <c r="AU35" s="76">
        <v>26</v>
      </c>
      <c r="AV35" s="76"/>
      <c r="AW35" s="76" t="b">
        <v>0</v>
      </c>
      <c r="AX35" s="76" t="s">
        <v>1651</v>
      </c>
      <c r="AY35" s="82" t="str">
        <f>HYPERLINK("https://twitter.com/kaladinfree")</f>
        <v>https://twitter.com/kaladinfree</v>
      </c>
      <c r="AZ35" s="76" t="s">
        <v>65</v>
      </c>
      <c r="BA35" s="76" t="str">
        <f>REPLACE(INDEX(GroupVertices[Group],MATCH(Vertices[[#This Row],[Vertex]],GroupVertices[Vertex],0)),1,1,"")</f>
        <v>13</v>
      </c>
      <c r="BB35" s="45"/>
      <c r="BC35" s="46"/>
      <c r="BD35" s="45"/>
      <c r="BE35" s="46"/>
      <c r="BF35" s="45"/>
      <c r="BG35" s="46"/>
      <c r="BH35" s="45"/>
      <c r="BI35" s="46"/>
      <c r="BJ35" s="45"/>
      <c r="BK35" s="45"/>
      <c r="BL35" s="45"/>
      <c r="BM35" s="45"/>
      <c r="BN35" s="45"/>
      <c r="BO35" s="2"/>
    </row>
    <row r="36" spans="1:67" ht="15">
      <c r="A36" s="61" t="s">
        <v>268</v>
      </c>
      <c r="B36" s="62"/>
      <c r="C36" s="62"/>
      <c r="D36" s="63">
        <v>80</v>
      </c>
      <c r="E36" s="65"/>
      <c r="F36" s="100" t="str">
        <f>HYPERLINK("https://pbs.twimg.com/profile_images/1033020954144849920/xDQUvsH-_normal.jpg")</f>
        <v>https://pbs.twimg.com/profile_images/1033020954144849920/xDQUvsH-_normal.jpg</v>
      </c>
      <c r="G36" s="62"/>
      <c r="H36" s="66" t="s">
        <v>268</v>
      </c>
      <c r="I36" s="67"/>
      <c r="J36" s="67"/>
      <c r="K36" s="66" t="s">
        <v>268</v>
      </c>
      <c r="L36" s="70">
        <v>1</v>
      </c>
      <c r="M36" s="71">
        <v>6715.005859375</v>
      </c>
      <c r="N36" s="71">
        <v>2916.150146484375</v>
      </c>
      <c r="O36" s="72"/>
      <c r="P36" s="73"/>
      <c r="Q36" s="73"/>
      <c r="R36" s="86"/>
      <c r="S36" s="45">
        <v>0</v>
      </c>
      <c r="T36" s="45">
        <v>1</v>
      </c>
      <c r="U36" s="46">
        <v>0</v>
      </c>
      <c r="V36" s="46">
        <v>0.041498</v>
      </c>
      <c r="W36" s="46">
        <v>9.6E-05</v>
      </c>
      <c r="X36" s="46">
        <v>0.004381</v>
      </c>
      <c r="Y36" s="46">
        <v>0</v>
      </c>
      <c r="Z36" s="46">
        <v>0</v>
      </c>
      <c r="AA36" s="68">
        <v>36</v>
      </c>
      <c r="AB36" s="68"/>
      <c r="AC36" s="69"/>
      <c r="AD36" s="76" t="s">
        <v>1021</v>
      </c>
      <c r="AE36" s="85" t="s">
        <v>1213</v>
      </c>
      <c r="AF36" s="76">
        <v>685</v>
      </c>
      <c r="AG36" s="76">
        <v>909</v>
      </c>
      <c r="AH36" s="76">
        <v>1857</v>
      </c>
      <c r="AI36" s="76">
        <v>2106</v>
      </c>
      <c r="AJ36" s="76"/>
      <c r="AK36" s="76" t="s">
        <v>1382</v>
      </c>
      <c r="AL36" s="76" t="s">
        <v>1554</v>
      </c>
      <c r="AM36" s="82" t="str">
        <f>HYPERLINK("https://t.co/YWjn5FZMvO")</f>
        <v>https://t.co/YWjn5FZMvO</v>
      </c>
      <c r="AN36" s="76"/>
      <c r="AO36" s="78">
        <v>43336.568344907406</v>
      </c>
      <c r="AP36" s="82" t="str">
        <f>HYPERLINK("https://pbs.twimg.com/profile_banners/1032985480244207616/1535127014")</f>
        <v>https://pbs.twimg.com/profile_banners/1032985480244207616/1535127014</v>
      </c>
      <c r="AQ36" s="76" t="b">
        <v>0</v>
      </c>
      <c r="AR36" s="76" t="b">
        <v>0</v>
      </c>
      <c r="AS36" s="76" t="b">
        <v>1</v>
      </c>
      <c r="AT36" s="76"/>
      <c r="AU36" s="76">
        <v>4</v>
      </c>
      <c r="AV36" s="82" t="str">
        <f>HYPERLINK("https://abs.twimg.com/images/themes/theme1/bg.png")</f>
        <v>https://abs.twimg.com/images/themes/theme1/bg.png</v>
      </c>
      <c r="AW36" s="76" t="b">
        <v>0</v>
      </c>
      <c r="AX36" s="76" t="s">
        <v>1651</v>
      </c>
      <c r="AY36" s="82" t="str">
        <f>HYPERLINK("https://twitter.com/rschrobuk")</f>
        <v>https://twitter.com/rschrobuk</v>
      </c>
      <c r="AZ36" s="76" t="s">
        <v>66</v>
      </c>
      <c r="BA36" s="76" t="str">
        <f>REPLACE(INDEX(GroupVertices[Group],MATCH(Vertices[[#This Row],[Vertex]],GroupVertices[Vertex],0)),1,1,"")</f>
        <v>1</v>
      </c>
      <c r="BB36" s="45"/>
      <c r="BC36" s="46"/>
      <c r="BD36" s="45"/>
      <c r="BE36" s="46"/>
      <c r="BF36" s="45"/>
      <c r="BG36" s="46"/>
      <c r="BH36" s="45"/>
      <c r="BI36" s="46"/>
      <c r="BJ36" s="45"/>
      <c r="BK36" s="109" t="s">
        <v>916</v>
      </c>
      <c r="BL36" s="109" t="s">
        <v>916</v>
      </c>
      <c r="BM36" s="109" t="s">
        <v>916</v>
      </c>
      <c r="BN36" s="109" t="s">
        <v>916</v>
      </c>
      <c r="BO36" s="2"/>
    </row>
    <row r="37" spans="1:67" ht="15">
      <c r="A37" s="61" t="s">
        <v>269</v>
      </c>
      <c r="B37" s="62"/>
      <c r="C37" s="62"/>
      <c r="D37" s="63">
        <v>80</v>
      </c>
      <c r="E37" s="65"/>
      <c r="F37" s="100" t="str">
        <f>HYPERLINK("https://pbs.twimg.com/profile_images/688735459892195329/v8sHaWSG_normal.jpg")</f>
        <v>https://pbs.twimg.com/profile_images/688735459892195329/v8sHaWSG_normal.jpg</v>
      </c>
      <c r="G37" s="62"/>
      <c r="H37" s="66" t="s">
        <v>269</v>
      </c>
      <c r="I37" s="67"/>
      <c r="J37" s="67"/>
      <c r="K37" s="66" t="s">
        <v>269</v>
      </c>
      <c r="L37" s="70">
        <v>1</v>
      </c>
      <c r="M37" s="71">
        <v>3519.413818359375</v>
      </c>
      <c r="N37" s="71">
        <v>1686.3326416015625</v>
      </c>
      <c r="O37" s="72"/>
      <c r="P37" s="73"/>
      <c r="Q37" s="73"/>
      <c r="R37" s="86"/>
      <c r="S37" s="45">
        <v>2</v>
      </c>
      <c r="T37" s="45">
        <v>1</v>
      </c>
      <c r="U37" s="46">
        <v>0</v>
      </c>
      <c r="V37" s="46">
        <v>0.005025</v>
      </c>
      <c r="W37" s="46">
        <v>0</v>
      </c>
      <c r="X37" s="46">
        <v>0.005349</v>
      </c>
      <c r="Y37" s="46">
        <v>0</v>
      </c>
      <c r="Z37" s="46">
        <v>0</v>
      </c>
      <c r="AA37" s="68">
        <v>37</v>
      </c>
      <c r="AB37" s="68"/>
      <c r="AC37" s="69"/>
      <c r="AD37" s="76" t="s">
        <v>1022</v>
      </c>
      <c r="AE37" s="85" t="s">
        <v>1214</v>
      </c>
      <c r="AF37" s="76">
        <v>35786</v>
      </c>
      <c r="AG37" s="76">
        <v>155739</v>
      </c>
      <c r="AH37" s="76">
        <v>497718</v>
      </c>
      <c r="AI37" s="76">
        <v>271</v>
      </c>
      <c r="AJ37" s="76"/>
      <c r="AK37" s="76" t="s">
        <v>1383</v>
      </c>
      <c r="AL37" s="76"/>
      <c r="AM37" s="82" t="str">
        <f>HYPERLINK("https://t.co/maTGNIcoWj")</f>
        <v>https://t.co/maTGNIcoWj</v>
      </c>
      <c r="AN37" s="76"/>
      <c r="AO37" s="78">
        <v>42386.497199074074</v>
      </c>
      <c r="AP37" s="82" t="str">
        <f>HYPERLINK("https://pbs.twimg.com/profile_banners/4820804277/1504968657")</f>
        <v>https://pbs.twimg.com/profile_banners/4820804277/1504968657</v>
      </c>
      <c r="AQ37" s="76" t="b">
        <v>0</v>
      </c>
      <c r="AR37" s="76" t="b">
        <v>0</v>
      </c>
      <c r="AS37" s="76" t="b">
        <v>0</v>
      </c>
      <c r="AT37" s="76"/>
      <c r="AU37" s="76">
        <v>2819</v>
      </c>
      <c r="AV37" s="82" t="str">
        <f>HYPERLINK("https://abs.twimg.com/images/themes/theme1/bg.png")</f>
        <v>https://abs.twimg.com/images/themes/theme1/bg.png</v>
      </c>
      <c r="AW37" s="76" t="b">
        <v>0</v>
      </c>
      <c r="AX37" s="76" t="s">
        <v>1651</v>
      </c>
      <c r="AY37" s="82" t="str">
        <f>HYPERLINK("https://twitter.com/machinelearnflx")</f>
        <v>https://twitter.com/machinelearnflx</v>
      </c>
      <c r="AZ37" s="76" t="s">
        <v>66</v>
      </c>
      <c r="BA37" s="76" t="str">
        <f>REPLACE(INDEX(GroupVertices[Group],MATCH(Vertices[[#This Row],[Vertex]],GroupVertices[Vertex],0)),1,1,"")</f>
        <v>42</v>
      </c>
      <c r="BB37" s="45"/>
      <c r="BC37" s="46"/>
      <c r="BD37" s="45"/>
      <c r="BE37" s="46"/>
      <c r="BF37" s="45"/>
      <c r="BG37" s="46"/>
      <c r="BH37" s="45"/>
      <c r="BI37" s="46"/>
      <c r="BJ37" s="45"/>
      <c r="BK37" s="109" t="s">
        <v>916</v>
      </c>
      <c r="BL37" s="109" t="s">
        <v>916</v>
      </c>
      <c r="BM37" s="109" t="s">
        <v>916</v>
      </c>
      <c r="BN37" s="109" t="s">
        <v>916</v>
      </c>
      <c r="BO37" s="2"/>
    </row>
    <row r="38" spans="1:67" ht="15">
      <c r="A38" s="61" t="s">
        <v>270</v>
      </c>
      <c r="B38" s="62"/>
      <c r="C38" s="62"/>
      <c r="D38" s="63">
        <v>80</v>
      </c>
      <c r="E38" s="65"/>
      <c r="F38" s="100" t="str">
        <f>HYPERLINK("https://pbs.twimg.com/profile_images/1098041056371838976/0BMQA72I_normal.png")</f>
        <v>https://pbs.twimg.com/profile_images/1098041056371838976/0BMQA72I_normal.png</v>
      </c>
      <c r="G38" s="62"/>
      <c r="H38" s="66" t="s">
        <v>270</v>
      </c>
      <c r="I38" s="67"/>
      <c r="J38" s="67"/>
      <c r="K38" s="66" t="s">
        <v>270</v>
      </c>
      <c r="L38" s="70">
        <v>1</v>
      </c>
      <c r="M38" s="71">
        <v>4327.9541015625</v>
      </c>
      <c r="N38" s="71">
        <v>2697.409423828125</v>
      </c>
      <c r="O38" s="72"/>
      <c r="P38" s="73"/>
      <c r="Q38" s="73"/>
      <c r="R38" s="86"/>
      <c r="S38" s="45">
        <v>0</v>
      </c>
      <c r="T38" s="45">
        <v>1</v>
      </c>
      <c r="U38" s="46">
        <v>0</v>
      </c>
      <c r="V38" s="46">
        <v>0.005025</v>
      </c>
      <c r="W38" s="46">
        <v>0</v>
      </c>
      <c r="X38" s="46">
        <v>0.004651</v>
      </c>
      <c r="Y38" s="46">
        <v>0</v>
      </c>
      <c r="Z38" s="46">
        <v>0</v>
      </c>
      <c r="AA38" s="68">
        <v>38</v>
      </c>
      <c r="AB38" s="68"/>
      <c r="AC38" s="69"/>
      <c r="AD38" s="76" t="s">
        <v>270</v>
      </c>
      <c r="AE38" s="85" t="s">
        <v>1215</v>
      </c>
      <c r="AF38" s="76">
        <v>881</v>
      </c>
      <c r="AG38" s="76">
        <v>220</v>
      </c>
      <c r="AH38" s="76">
        <v>9764</v>
      </c>
      <c r="AI38" s="76">
        <v>9655</v>
      </c>
      <c r="AJ38" s="76"/>
      <c r="AK38" s="76" t="s">
        <v>1384</v>
      </c>
      <c r="AL38" s="76" t="s">
        <v>1555</v>
      </c>
      <c r="AM38" s="82" t="str">
        <f>HYPERLINK("https://t.co/yEH58r7XAM")</f>
        <v>https://t.co/yEH58r7XAM</v>
      </c>
      <c r="AN38" s="76"/>
      <c r="AO38" s="78">
        <v>41098.78361111111</v>
      </c>
      <c r="AP38" s="82" t="str">
        <f>HYPERLINK("https://pbs.twimg.com/profile_banners/630513801/1572215878")</f>
        <v>https://pbs.twimg.com/profile_banners/630513801/1572215878</v>
      </c>
      <c r="AQ38" s="76" t="b">
        <v>1</v>
      </c>
      <c r="AR38" s="76" t="b">
        <v>0</v>
      </c>
      <c r="AS38" s="76" t="b">
        <v>0</v>
      </c>
      <c r="AT38" s="76"/>
      <c r="AU38" s="76">
        <v>11</v>
      </c>
      <c r="AV38" s="82" t="str">
        <f>HYPERLINK("https://abs.twimg.com/images/themes/theme1/bg.png")</f>
        <v>https://abs.twimg.com/images/themes/theme1/bg.png</v>
      </c>
      <c r="AW38" s="76" t="b">
        <v>0</v>
      </c>
      <c r="AX38" s="76" t="s">
        <v>1651</v>
      </c>
      <c r="AY38" s="82" t="str">
        <f>HYPERLINK("https://twitter.com/venehsoftw")</f>
        <v>https://twitter.com/venehsoftw</v>
      </c>
      <c r="AZ38" s="76" t="s">
        <v>66</v>
      </c>
      <c r="BA38" s="76" t="str">
        <f>REPLACE(INDEX(GroupVertices[Group],MATCH(Vertices[[#This Row],[Vertex]],GroupVertices[Vertex],0)),1,1,"")</f>
        <v>42</v>
      </c>
      <c r="BB38" s="45"/>
      <c r="BC38" s="46"/>
      <c r="BD38" s="45"/>
      <c r="BE38" s="46"/>
      <c r="BF38" s="45"/>
      <c r="BG38" s="46"/>
      <c r="BH38" s="45"/>
      <c r="BI38" s="46"/>
      <c r="BJ38" s="45"/>
      <c r="BK38" s="109" t="s">
        <v>916</v>
      </c>
      <c r="BL38" s="109" t="s">
        <v>916</v>
      </c>
      <c r="BM38" s="109" t="s">
        <v>916</v>
      </c>
      <c r="BN38" s="109" t="s">
        <v>916</v>
      </c>
      <c r="BO38" s="2"/>
    </row>
    <row r="39" spans="1:67" ht="15">
      <c r="A39" s="61" t="s">
        <v>271</v>
      </c>
      <c r="B39" s="62"/>
      <c r="C39" s="62"/>
      <c r="D39" s="63">
        <v>330.9090909090909</v>
      </c>
      <c r="E39" s="65"/>
      <c r="F39" s="100" t="str">
        <f>HYPERLINK("https://pbs.twimg.com/profile_images/1573116676111233025/bIDBW5y2_normal.jpg")</f>
        <v>https://pbs.twimg.com/profile_images/1573116676111233025/bIDBW5y2_normal.jpg</v>
      </c>
      <c r="G39" s="62"/>
      <c r="H39" s="66" t="s">
        <v>271</v>
      </c>
      <c r="I39" s="67"/>
      <c r="J39" s="67"/>
      <c r="K39" s="66" t="s">
        <v>271</v>
      </c>
      <c r="L39" s="70">
        <v>345.7586206896552</v>
      </c>
      <c r="M39" s="71">
        <v>5799.0703125</v>
      </c>
      <c r="N39" s="71">
        <v>5538.2802734375</v>
      </c>
      <c r="O39" s="72"/>
      <c r="P39" s="73"/>
      <c r="Q39" s="73"/>
      <c r="R39" s="86"/>
      <c r="S39" s="45">
        <v>0</v>
      </c>
      <c r="T39" s="45">
        <v>2</v>
      </c>
      <c r="U39" s="46">
        <v>12</v>
      </c>
      <c r="V39" s="46">
        <v>0.017588</v>
      </c>
      <c r="W39" s="46">
        <v>0</v>
      </c>
      <c r="X39" s="46">
        <v>0.005153</v>
      </c>
      <c r="Y39" s="46">
        <v>0</v>
      </c>
      <c r="Z39" s="46">
        <v>0</v>
      </c>
      <c r="AA39" s="68">
        <v>39</v>
      </c>
      <c r="AB39" s="68"/>
      <c r="AC39" s="69"/>
      <c r="AD39" s="76" t="s">
        <v>1023</v>
      </c>
      <c r="AE39" s="85" t="s">
        <v>1216</v>
      </c>
      <c r="AF39" s="76">
        <v>379</v>
      </c>
      <c r="AG39" s="76">
        <v>216</v>
      </c>
      <c r="AH39" s="76">
        <v>1910</v>
      </c>
      <c r="AI39" s="76">
        <v>10037</v>
      </c>
      <c r="AJ39" s="76"/>
      <c r="AK39" s="76" t="s">
        <v>1385</v>
      </c>
      <c r="AL39" s="76" t="s">
        <v>1556</v>
      </c>
      <c r="AM39" s="82" t="str">
        <f>HYPERLINK("https://t.co/nXbT6Xq33j")</f>
        <v>https://t.co/nXbT6Xq33j</v>
      </c>
      <c r="AN39" s="76"/>
      <c r="AO39" s="78">
        <v>44592.84150462963</v>
      </c>
      <c r="AP39" s="82" t="str">
        <f>HYPERLINK("https://pbs.twimg.com/profile_banners/1488243567197704193/1643783516")</f>
        <v>https://pbs.twimg.com/profile_banners/1488243567197704193/1643783516</v>
      </c>
      <c r="AQ39" s="76" t="b">
        <v>1</v>
      </c>
      <c r="AR39" s="76" t="b">
        <v>0</v>
      </c>
      <c r="AS39" s="76" t="b">
        <v>0</v>
      </c>
      <c r="AT39" s="76"/>
      <c r="AU39" s="76">
        <v>1</v>
      </c>
      <c r="AV39" s="76"/>
      <c r="AW39" s="76" t="b">
        <v>0</v>
      </c>
      <c r="AX39" s="76" t="s">
        <v>1651</v>
      </c>
      <c r="AY39" s="82" t="str">
        <f>HYPERLINK("https://twitter.com/wokechurchsigns")</f>
        <v>https://twitter.com/wokechurchsigns</v>
      </c>
      <c r="AZ39" s="76" t="s">
        <v>66</v>
      </c>
      <c r="BA39" s="76" t="str">
        <f>REPLACE(INDEX(GroupVertices[Group],MATCH(Vertices[[#This Row],[Vertex]],GroupVertices[Vertex],0)),1,1,"")</f>
        <v>4</v>
      </c>
      <c r="BB39" s="45"/>
      <c r="BC39" s="46"/>
      <c r="BD39" s="45"/>
      <c r="BE39" s="46"/>
      <c r="BF39" s="45"/>
      <c r="BG39" s="46"/>
      <c r="BH39" s="45"/>
      <c r="BI39" s="46"/>
      <c r="BJ39" s="45"/>
      <c r="BK39" s="109" t="s">
        <v>916</v>
      </c>
      <c r="BL39" s="109" t="s">
        <v>916</v>
      </c>
      <c r="BM39" s="109" t="s">
        <v>916</v>
      </c>
      <c r="BN39" s="109" t="s">
        <v>916</v>
      </c>
      <c r="BO39" s="2"/>
    </row>
    <row r="40" spans="1:67" ht="15">
      <c r="A40" s="61" t="s">
        <v>394</v>
      </c>
      <c r="B40" s="62"/>
      <c r="C40" s="62"/>
      <c r="D40" s="63">
        <v>80</v>
      </c>
      <c r="E40" s="65"/>
      <c r="F40" s="100" t="str">
        <f>HYPERLINK("https://pbs.twimg.com/profile_images/1601714613376241664/NZwmThxI_normal.jpg")</f>
        <v>https://pbs.twimg.com/profile_images/1601714613376241664/NZwmThxI_normal.jpg</v>
      </c>
      <c r="G40" s="62"/>
      <c r="H40" s="66" t="s">
        <v>394</v>
      </c>
      <c r="I40" s="67"/>
      <c r="J40" s="67"/>
      <c r="K40" s="66" t="s">
        <v>394</v>
      </c>
      <c r="L40" s="70">
        <v>1</v>
      </c>
      <c r="M40" s="71">
        <v>7135.37646484375</v>
      </c>
      <c r="N40" s="71">
        <v>5606.16650390625</v>
      </c>
      <c r="O40" s="72"/>
      <c r="P40" s="73"/>
      <c r="Q40" s="73"/>
      <c r="R40" s="86"/>
      <c r="S40" s="45">
        <v>1</v>
      </c>
      <c r="T40" s="45">
        <v>0</v>
      </c>
      <c r="U40" s="46">
        <v>0</v>
      </c>
      <c r="V40" s="46">
        <v>0.012312</v>
      </c>
      <c r="W40" s="46">
        <v>0</v>
      </c>
      <c r="X40" s="46">
        <v>0.004636</v>
      </c>
      <c r="Y40" s="46">
        <v>0</v>
      </c>
      <c r="Z40" s="46">
        <v>0</v>
      </c>
      <c r="AA40" s="68">
        <v>40</v>
      </c>
      <c r="AB40" s="68"/>
      <c r="AC40" s="69"/>
      <c r="AD40" s="76" t="s">
        <v>1024</v>
      </c>
      <c r="AE40" s="85" t="s">
        <v>921</v>
      </c>
      <c r="AF40" s="76">
        <v>1839</v>
      </c>
      <c r="AG40" s="76">
        <v>76242</v>
      </c>
      <c r="AH40" s="76">
        <v>63194</v>
      </c>
      <c r="AI40" s="76">
        <v>43930</v>
      </c>
      <c r="AJ40" s="76"/>
      <c r="AK40" s="76" t="s">
        <v>1386</v>
      </c>
      <c r="AL40" s="76" t="s">
        <v>1557</v>
      </c>
      <c r="AM40" s="76"/>
      <c r="AN40" s="76"/>
      <c r="AO40" s="78">
        <v>43275.92298611111</v>
      </c>
      <c r="AP40" s="82" t="str">
        <f>HYPERLINK("https://pbs.twimg.com/profile_banners/1011008340367953920/1659239094")</f>
        <v>https://pbs.twimg.com/profile_banners/1011008340367953920/1659239094</v>
      </c>
      <c r="AQ40" s="76" t="b">
        <v>1</v>
      </c>
      <c r="AR40" s="76" t="b">
        <v>0</v>
      </c>
      <c r="AS40" s="76" t="b">
        <v>0</v>
      </c>
      <c r="AT40" s="76"/>
      <c r="AU40" s="76">
        <v>433</v>
      </c>
      <c r="AV40" s="76"/>
      <c r="AW40" s="76" t="b">
        <v>0</v>
      </c>
      <c r="AX40" s="76" t="s">
        <v>1651</v>
      </c>
      <c r="AY40" s="82" t="str">
        <f>HYPERLINK("https://twitter.com/wil_da_beast630")</f>
        <v>https://twitter.com/wil_da_beast630</v>
      </c>
      <c r="AZ40" s="76" t="s">
        <v>65</v>
      </c>
      <c r="BA40" s="76" t="str">
        <f>REPLACE(INDEX(GroupVertices[Group],MATCH(Vertices[[#This Row],[Vertex]],GroupVertices[Vertex],0)),1,1,"")</f>
        <v>4</v>
      </c>
      <c r="BB40" s="45"/>
      <c r="BC40" s="46"/>
      <c r="BD40" s="45"/>
      <c r="BE40" s="46"/>
      <c r="BF40" s="45"/>
      <c r="BG40" s="46"/>
      <c r="BH40" s="45"/>
      <c r="BI40" s="46"/>
      <c r="BJ40" s="45"/>
      <c r="BK40" s="45"/>
      <c r="BL40" s="45"/>
      <c r="BM40" s="45"/>
      <c r="BN40" s="45"/>
      <c r="BO40" s="2"/>
    </row>
    <row r="41" spans="1:67" ht="15">
      <c r="A41" s="61" t="s">
        <v>395</v>
      </c>
      <c r="B41" s="62"/>
      <c r="C41" s="62"/>
      <c r="D41" s="63">
        <v>749.0909090909091</v>
      </c>
      <c r="E41" s="65"/>
      <c r="F41" s="100" t="str">
        <f>HYPERLINK("https://pbs.twimg.com/profile_images/1540946872990326784/XnBmp8ar_normal.jpg")</f>
        <v>https://pbs.twimg.com/profile_images/1540946872990326784/XnBmp8ar_normal.jpg</v>
      </c>
      <c r="G41" s="62"/>
      <c r="H41" s="66" t="s">
        <v>395</v>
      </c>
      <c r="I41" s="67"/>
      <c r="J41" s="67"/>
      <c r="K41" s="66" t="s">
        <v>395</v>
      </c>
      <c r="L41" s="70">
        <v>920.3563218390805</v>
      </c>
      <c r="M41" s="71">
        <v>4347.837890625</v>
      </c>
      <c r="N41" s="71">
        <v>5520.40185546875</v>
      </c>
      <c r="O41" s="72"/>
      <c r="P41" s="73"/>
      <c r="Q41" s="73"/>
      <c r="R41" s="86"/>
      <c r="S41" s="45">
        <v>4</v>
      </c>
      <c r="T41" s="45">
        <v>0</v>
      </c>
      <c r="U41" s="46">
        <v>32</v>
      </c>
      <c r="V41" s="46">
        <v>0.024623</v>
      </c>
      <c r="W41" s="46">
        <v>0</v>
      </c>
      <c r="X41" s="46">
        <v>0.00553</v>
      </c>
      <c r="Y41" s="46">
        <v>0.08333333333333333</v>
      </c>
      <c r="Z41" s="46">
        <v>0</v>
      </c>
      <c r="AA41" s="68">
        <v>41</v>
      </c>
      <c r="AB41" s="68"/>
      <c r="AC41" s="69"/>
      <c r="AD41" s="76" t="s">
        <v>1025</v>
      </c>
      <c r="AE41" s="85" t="s">
        <v>922</v>
      </c>
      <c r="AF41" s="76">
        <v>4377</v>
      </c>
      <c r="AG41" s="76">
        <v>34876</v>
      </c>
      <c r="AH41" s="76">
        <v>20500</v>
      </c>
      <c r="AI41" s="76">
        <v>39078</v>
      </c>
      <c r="AJ41" s="76"/>
      <c r="AK41" s="76" t="s">
        <v>1387</v>
      </c>
      <c r="AL41" s="76" t="s">
        <v>1536</v>
      </c>
      <c r="AM41" s="82" t="str">
        <f>HYPERLINK("https://t.co/RVel8MzI7z")</f>
        <v>https://t.co/RVel8MzI7z</v>
      </c>
      <c r="AN41" s="76"/>
      <c r="AO41" s="78">
        <v>42827.06858796296</v>
      </c>
      <c r="AP41" s="82" t="str">
        <f>HYPERLINK("https://pbs.twimg.com/profile_banners/848348952084828160/1609124951")</f>
        <v>https://pbs.twimg.com/profile_banners/848348952084828160/1609124951</v>
      </c>
      <c r="AQ41" s="76" t="b">
        <v>1</v>
      </c>
      <c r="AR41" s="76" t="b">
        <v>0</v>
      </c>
      <c r="AS41" s="76" t="b">
        <v>1</v>
      </c>
      <c r="AT41" s="76"/>
      <c r="AU41" s="76">
        <v>298</v>
      </c>
      <c r="AV41" s="76"/>
      <c r="AW41" s="76" t="b">
        <v>0</v>
      </c>
      <c r="AX41" s="76" t="s">
        <v>1651</v>
      </c>
      <c r="AY41" s="82" t="str">
        <f>HYPERLINK("https://twitter.com/aaronsibarium")</f>
        <v>https://twitter.com/aaronsibarium</v>
      </c>
      <c r="AZ41" s="76" t="s">
        <v>65</v>
      </c>
      <c r="BA41" s="76" t="str">
        <f>REPLACE(INDEX(GroupVertices[Group],MATCH(Vertices[[#This Row],[Vertex]],GroupVertices[Vertex],0)),1,1,"")</f>
        <v>4</v>
      </c>
      <c r="BB41" s="45"/>
      <c r="BC41" s="46"/>
      <c r="BD41" s="45"/>
      <c r="BE41" s="46"/>
      <c r="BF41" s="45"/>
      <c r="BG41" s="46"/>
      <c r="BH41" s="45"/>
      <c r="BI41" s="46"/>
      <c r="BJ41" s="45"/>
      <c r="BK41" s="45"/>
      <c r="BL41" s="45"/>
      <c r="BM41" s="45"/>
      <c r="BN41" s="45"/>
      <c r="BO41" s="2"/>
    </row>
    <row r="42" spans="1:67" ht="15">
      <c r="A42" s="61" t="s">
        <v>272</v>
      </c>
      <c r="B42" s="62"/>
      <c r="C42" s="62"/>
      <c r="D42" s="63">
        <v>330.9090909090909</v>
      </c>
      <c r="E42" s="65"/>
      <c r="F42" s="100" t="str">
        <f>HYPERLINK("https://pbs.twimg.com/profile_images/1511493694188183552/ls6gKwKa_normal.jpg")</f>
        <v>https://pbs.twimg.com/profile_images/1511493694188183552/ls6gKwKa_normal.jpg</v>
      </c>
      <c r="G42" s="62"/>
      <c r="H42" s="66" t="s">
        <v>272</v>
      </c>
      <c r="I42" s="67"/>
      <c r="J42" s="67"/>
      <c r="K42" s="66" t="s">
        <v>272</v>
      </c>
      <c r="L42" s="70">
        <v>345.7586206896552</v>
      </c>
      <c r="M42" s="71">
        <v>3813.087158203125</v>
      </c>
      <c r="N42" s="71">
        <v>4104.28125</v>
      </c>
      <c r="O42" s="72"/>
      <c r="P42" s="73"/>
      <c r="Q42" s="73"/>
      <c r="R42" s="86"/>
      <c r="S42" s="45">
        <v>0</v>
      </c>
      <c r="T42" s="45">
        <v>2</v>
      </c>
      <c r="U42" s="46">
        <v>12</v>
      </c>
      <c r="V42" s="46">
        <v>0.017588</v>
      </c>
      <c r="W42" s="46">
        <v>0</v>
      </c>
      <c r="X42" s="46">
        <v>0.005153</v>
      </c>
      <c r="Y42" s="46">
        <v>0</v>
      </c>
      <c r="Z42" s="46">
        <v>0</v>
      </c>
      <c r="AA42" s="68">
        <v>42</v>
      </c>
      <c r="AB42" s="68"/>
      <c r="AC42" s="69"/>
      <c r="AD42" s="76" t="s">
        <v>1026</v>
      </c>
      <c r="AE42" s="85" t="s">
        <v>1217</v>
      </c>
      <c r="AF42" s="76">
        <v>315</v>
      </c>
      <c r="AG42" s="76">
        <v>22</v>
      </c>
      <c r="AH42" s="76">
        <v>156</v>
      </c>
      <c r="AI42" s="76">
        <v>1504</v>
      </c>
      <c r="AJ42" s="76"/>
      <c r="AK42" s="76" t="s">
        <v>1388</v>
      </c>
      <c r="AL42" s="76"/>
      <c r="AM42" s="76"/>
      <c r="AN42" s="76"/>
      <c r="AO42" s="78">
        <v>44656.99767361111</v>
      </c>
      <c r="AP42" s="76"/>
      <c r="AQ42" s="76" t="b">
        <v>1</v>
      </c>
      <c r="AR42" s="76" t="b">
        <v>0</v>
      </c>
      <c r="AS42" s="76" t="b">
        <v>0</v>
      </c>
      <c r="AT42" s="76"/>
      <c r="AU42" s="76">
        <v>0</v>
      </c>
      <c r="AV42" s="76"/>
      <c r="AW42" s="76" t="b">
        <v>0</v>
      </c>
      <c r="AX42" s="76" t="s">
        <v>1651</v>
      </c>
      <c r="AY42" s="82" t="str">
        <f>HYPERLINK("https://twitter.com/uziballet")</f>
        <v>https://twitter.com/uziballet</v>
      </c>
      <c r="AZ42" s="76" t="s">
        <v>66</v>
      </c>
      <c r="BA42" s="76" t="str">
        <f>REPLACE(INDEX(GroupVertices[Group],MATCH(Vertices[[#This Row],[Vertex]],GroupVertices[Vertex],0)),1,1,"")</f>
        <v>4</v>
      </c>
      <c r="BB42" s="45"/>
      <c r="BC42" s="46"/>
      <c r="BD42" s="45"/>
      <c r="BE42" s="46"/>
      <c r="BF42" s="45"/>
      <c r="BG42" s="46"/>
      <c r="BH42" s="45"/>
      <c r="BI42" s="46"/>
      <c r="BJ42" s="45"/>
      <c r="BK42" s="109" t="s">
        <v>916</v>
      </c>
      <c r="BL42" s="109" t="s">
        <v>916</v>
      </c>
      <c r="BM42" s="109" t="s">
        <v>916</v>
      </c>
      <c r="BN42" s="109" t="s">
        <v>916</v>
      </c>
      <c r="BO42" s="2"/>
    </row>
    <row r="43" spans="1:67" ht="15">
      <c r="A43" s="61" t="s">
        <v>396</v>
      </c>
      <c r="B43" s="62"/>
      <c r="C43" s="62"/>
      <c r="D43" s="63">
        <v>80</v>
      </c>
      <c r="E43" s="65"/>
      <c r="F43" s="100" t="str">
        <f>HYPERLINK("https://pbs.twimg.com/profile_images/1603381593720102913/TeSKLjMN_normal.jpg")</f>
        <v>https://pbs.twimg.com/profile_images/1603381593720102913/TeSKLjMN_normal.jpg</v>
      </c>
      <c r="G43" s="62"/>
      <c r="H43" s="66" t="s">
        <v>396</v>
      </c>
      <c r="I43" s="67"/>
      <c r="J43" s="67"/>
      <c r="K43" s="66" t="s">
        <v>396</v>
      </c>
      <c r="L43" s="70">
        <v>1</v>
      </c>
      <c r="M43" s="71">
        <v>3275.319091796875</v>
      </c>
      <c r="N43" s="71">
        <v>2819.0263671875</v>
      </c>
      <c r="O43" s="72"/>
      <c r="P43" s="73"/>
      <c r="Q43" s="73"/>
      <c r="R43" s="86"/>
      <c r="S43" s="45">
        <v>1</v>
      </c>
      <c r="T43" s="45">
        <v>0</v>
      </c>
      <c r="U43" s="46">
        <v>0</v>
      </c>
      <c r="V43" s="46">
        <v>0.012312</v>
      </c>
      <c r="W43" s="46">
        <v>0</v>
      </c>
      <c r="X43" s="46">
        <v>0.004636</v>
      </c>
      <c r="Y43" s="46">
        <v>0</v>
      </c>
      <c r="Z43" s="46">
        <v>0</v>
      </c>
      <c r="AA43" s="68">
        <v>43</v>
      </c>
      <c r="AB43" s="68"/>
      <c r="AC43" s="69"/>
      <c r="AD43" s="76" t="s">
        <v>1027</v>
      </c>
      <c r="AE43" s="85" t="s">
        <v>1218</v>
      </c>
      <c r="AF43" s="76">
        <v>2076</v>
      </c>
      <c r="AG43" s="76">
        <v>317452</v>
      </c>
      <c r="AH43" s="76">
        <v>6355</v>
      </c>
      <c r="AI43" s="76">
        <v>211466</v>
      </c>
      <c r="AJ43" s="76"/>
      <c r="AK43" s="76" t="s">
        <v>1389</v>
      </c>
      <c r="AL43" s="76" t="s">
        <v>1558</v>
      </c>
      <c r="AM43" s="82" t="str">
        <f>HYPERLINK("https://t.co/QM3r5DkSme")</f>
        <v>https://t.co/QM3r5DkSme</v>
      </c>
      <c r="AN43" s="76"/>
      <c r="AO43" s="78">
        <v>41206.70516203704</v>
      </c>
      <c r="AP43" s="82" t="str">
        <f>HYPERLINK("https://pbs.twimg.com/profile_banners/902200087/1641869427")</f>
        <v>https://pbs.twimg.com/profile_banners/902200087/1641869427</v>
      </c>
      <c r="AQ43" s="76" t="b">
        <v>0</v>
      </c>
      <c r="AR43" s="76" t="b">
        <v>0</v>
      </c>
      <c r="AS43" s="76" t="b">
        <v>1</v>
      </c>
      <c r="AT43" s="76"/>
      <c r="AU43" s="76">
        <v>2215</v>
      </c>
      <c r="AV43" s="82" t="str">
        <f>HYPERLINK("https://abs.twimg.com/images/themes/theme14/bg.gif")</f>
        <v>https://abs.twimg.com/images/themes/theme14/bg.gif</v>
      </c>
      <c r="AW43" s="76" t="b">
        <v>1</v>
      </c>
      <c r="AX43" s="76" t="s">
        <v>1651</v>
      </c>
      <c r="AY43" s="82" t="str">
        <f>HYPERLINK("https://twitter.com/cassandrarules")</f>
        <v>https://twitter.com/cassandrarules</v>
      </c>
      <c r="AZ43" s="76" t="s">
        <v>65</v>
      </c>
      <c r="BA43" s="76" t="str">
        <f>REPLACE(INDEX(GroupVertices[Group],MATCH(Vertices[[#This Row],[Vertex]],GroupVertices[Vertex],0)),1,1,"")</f>
        <v>4</v>
      </c>
      <c r="BB43" s="45"/>
      <c r="BC43" s="46"/>
      <c r="BD43" s="45"/>
      <c r="BE43" s="46"/>
      <c r="BF43" s="45"/>
      <c r="BG43" s="46"/>
      <c r="BH43" s="45"/>
      <c r="BI43" s="46"/>
      <c r="BJ43" s="45"/>
      <c r="BK43" s="45"/>
      <c r="BL43" s="45"/>
      <c r="BM43" s="45"/>
      <c r="BN43" s="45"/>
      <c r="BO43" s="2"/>
    </row>
    <row r="44" spans="1:67" ht="15">
      <c r="A44" s="61" t="s">
        <v>273</v>
      </c>
      <c r="B44" s="62"/>
      <c r="C44" s="62"/>
      <c r="D44" s="63">
        <v>80</v>
      </c>
      <c r="E44" s="65"/>
      <c r="F44" s="100" t="str">
        <f>HYPERLINK("https://pbs.twimg.com/profile_images/1549807220052860930/WEXgl2E5_normal.jpg")</f>
        <v>https://pbs.twimg.com/profile_images/1549807220052860930/WEXgl2E5_normal.jpg</v>
      </c>
      <c r="G44" s="62"/>
      <c r="H44" s="66" t="s">
        <v>273</v>
      </c>
      <c r="I44" s="67"/>
      <c r="J44" s="67"/>
      <c r="K44" s="66" t="s">
        <v>273</v>
      </c>
      <c r="L44" s="70">
        <v>1</v>
      </c>
      <c r="M44" s="71">
        <v>4242.82421875</v>
      </c>
      <c r="N44" s="71">
        <v>2691.752685546875</v>
      </c>
      <c r="O44" s="72"/>
      <c r="P44" s="73"/>
      <c r="Q44" s="73"/>
      <c r="R44" s="86"/>
      <c r="S44" s="45">
        <v>1</v>
      </c>
      <c r="T44" s="45">
        <v>1</v>
      </c>
      <c r="U44" s="46">
        <v>0</v>
      </c>
      <c r="V44" s="46">
        <v>0</v>
      </c>
      <c r="W44" s="46">
        <v>0</v>
      </c>
      <c r="X44" s="46">
        <v>0.005</v>
      </c>
      <c r="Y44" s="46">
        <v>0</v>
      </c>
      <c r="Z44" s="46">
        <v>0</v>
      </c>
      <c r="AA44" s="68">
        <v>44</v>
      </c>
      <c r="AB44" s="68"/>
      <c r="AC44" s="69"/>
      <c r="AD44" s="76" t="s">
        <v>1028</v>
      </c>
      <c r="AE44" s="85" t="s">
        <v>1219</v>
      </c>
      <c r="AF44" s="76">
        <v>196</v>
      </c>
      <c r="AG44" s="76">
        <v>178</v>
      </c>
      <c r="AH44" s="76">
        <v>473</v>
      </c>
      <c r="AI44" s="76">
        <v>720</v>
      </c>
      <c r="AJ44" s="76"/>
      <c r="AK44" s="76" t="s">
        <v>1390</v>
      </c>
      <c r="AL44" s="76" t="s">
        <v>1559</v>
      </c>
      <c r="AM44" s="76"/>
      <c r="AN44" s="76"/>
      <c r="AO44" s="78">
        <v>43858.3403125</v>
      </c>
      <c r="AP44" s="82" t="str">
        <f>HYPERLINK("https://pbs.twimg.com/profile_banners/1222069246680879104/1606237186")</f>
        <v>https://pbs.twimg.com/profile_banners/1222069246680879104/1606237186</v>
      </c>
      <c r="AQ44" s="76" t="b">
        <v>1</v>
      </c>
      <c r="AR44" s="76" t="b">
        <v>0</v>
      </c>
      <c r="AS44" s="76" t="b">
        <v>0</v>
      </c>
      <c r="AT44" s="76"/>
      <c r="AU44" s="76">
        <v>0</v>
      </c>
      <c r="AV44" s="76"/>
      <c r="AW44" s="76" t="b">
        <v>0</v>
      </c>
      <c r="AX44" s="76" t="s">
        <v>1651</v>
      </c>
      <c r="AY44" s="82" t="str">
        <f>HYPERLINK("https://twitter.com/muhirwakyeyune")</f>
        <v>https://twitter.com/muhirwakyeyune</v>
      </c>
      <c r="AZ44" s="76" t="s">
        <v>66</v>
      </c>
      <c r="BA44" s="76" t="str">
        <f>REPLACE(INDEX(GroupVertices[Group],MATCH(Vertices[[#This Row],[Vertex]],GroupVertices[Vertex],0)),1,1,"")</f>
        <v>78</v>
      </c>
      <c r="BB44" s="45"/>
      <c r="BC44" s="46"/>
      <c r="BD44" s="45"/>
      <c r="BE44" s="46"/>
      <c r="BF44" s="45"/>
      <c r="BG44" s="46"/>
      <c r="BH44" s="45"/>
      <c r="BI44" s="46"/>
      <c r="BJ44" s="45"/>
      <c r="BK44" s="109" t="s">
        <v>916</v>
      </c>
      <c r="BL44" s="109" t="s">
        <v>916</v>
      </c>
      <c r="BM44" s="109" t="s">
        <v>916</v>
      </c>
      <c r="BN44" s="109" t="s">
        <v>916</v>
      </c>
      <c r="BO44" s="2"/>
    </row>
    <row r="45" spans="1:67" ht="15">
      <c r="A45" s="61" t="s">
        <v>274</v>
      </c>
      <c r="B45" s="62"/>
      <c r="C45" s="62"/>
      <c r="D45" s="63">
        <v>80</v>
      </c>
      <c r="E45" s="65"/>
      <c r="F45" s="100" t="str">
        <f>HYPERLINK("https://pbs.twimg.com/profile_images/1612851816936640512/K3Mr7JhE_normal.jpg")</f>
        <v>https://pbs.twimg.com/profile_images/1612851816936640512/K3Mr7JhE_normal.jpg</v>
      </c>
      <c r="G45" s="62"/>
      <c r="H45" s="66" t="s">
        <v>274</v>
      </c>
      <c r="I45" s="67"/>
      <c r="J45" s="67"/>
      <c r="K45" s="66" t="s">
        <v>274</v>
      </c>
      <c r="L45" s="70">
        <v>1</v>
      </c>
      <c r="M45" s="71">
        <v>4179.35693359375</v>
      </c>
      <c r="N45" s="71">
        <v>2650.952392578125</v>
      </c>
      <c r="O45" s="72"/>
      <c r="P45" s="73"/>
      <c r="Q45" s="73"/>
      <c r="R45" s="86"/>
      <c r="S45" s="45">
        <v>1</v>
      </c>
      <c r="T45" s="45">
        <v>1</v>
      </c>
      <c r="U45" s="46">
        <v>0</v>
      </c>
      <c r="V45" s="46">
        <v>0</v>
      </c>
      <c r="W45" s="46">
        <v>0</v>
      </c>
      <c r="X45" s="46">
        <v>0.005</v>
      </c>
      <c r="Y45" s="46">
        <v>0</v>
      </c>
      <c r="Z45" s="46">
        <v>0</v>
      </c>
      <c r="AA45" s="68">
        <v>45</v>
      </c>
      <c r="AB45" s="68"/>
      <c r="AC45" s="69"/>
      <c r="AD45" s="76" t="s">
        <v>1029</v>
      </c>
      <c r="AE45" s="85" t="s">
        <v>1220</v>
      </c>
      <c r="AF45" s="76">
        <v>4746</v>
      </c>
      <c r="AG45" s="76">
        <v>2000</v>
      </c>
      <c r="AH45" s="76">
        <v>18345</v>
      </c>
      <c r="AI45" s="76">
        <v>15171</v>
      </c>
      <c r="AJ45" s="76"/>
      <c r="AK45" s="76" t="s">
        <v>1391</v>
      </c>
      <c r="AL45" s="76"/>
      <c r="AM45" s="76"/>
      <c r="AN45" s="76"/>
      <c r="AO45" s="78">
        <v>44139.71296296296</v>
      </c>
      <c r="AP45" s="82" t="str">
        <f>HYPERLINK("https://pbs.twimg.com/profile_banners/1324035281293434881/1643431372")</f>
        <v>https://pbs.twimg.com/profile_banners/1324035281293434881/1643431372</v>
      </c>
      <c r="AQ45" s="76" t="b">
        <v>1</v>
      </c>
      <c r="AR45" s="76" t="b">
        <v>0</v>
      </c>
      <c r="AS45" s="76" t="b">
        <v>0</v>
      </c>
      <c r="AT45" s="76"/>
      <c r="AU45" s="76">
        <v>12</v>
      </c>
      <c r="AV45" s="76"/>
      <c r="AW45" s="76" t="b">
        <v>0</v>
      </c>
      <c r="AX45" s="76" t="s">
        <v>1651</v>
      </c>
      <c r="AY45" s="82" t="str">
        <f>HYPERLINK("https://twitter.com/taknevimnevim")</f>
        <v>https://twitter.com/taknevimnevim</v>
      </c>
      <c r="AZ45" s="76" t="s">
        <v>66</v>
      </c>
      <c r="BA45" s="76" t="str">
        <f>REPLACE(INDEX(GroupVertices[Group],MATCH(Vertices[[#This Row],[Vertex]],GroupVertices[Vertex],0)),1,1,"")</f>
        <v>77</v>
      </c>
      <c r="BB45" s="45"/>
      <c r="BC45" s="46"/>
      <c r="BD45" s="45"/>
      <c r="BE45" s="46"/>
      <c r="BF45" s="45"/>
      <c r="BG45" s="46"/>
      <c r="BH45" s="45"/>
      <c r="BI45" s="46"/>
      <c r="BJ45" s="45"/>
      <c r="BK45" s="109" t="s">
        <v>916</v>
      </c>
      <c r="BL45" s="109" t="s">
        <v>916</v>
      </c>
      <c r="BM45" s="109" t="s">
        <v>916</v>
      </c>
      <c r="BN45" s="109" t="s">
        <v>916</v>
      </c>
      <c r="BO45" s="2"/>
    </row>
    <row r="46" spans="1:67" ht="15">
      <c r="A46" s="61" t="s">
        <v>275</v>
      </c>
      <c r="B46" s="62"/>
      <c r="C46" s="62"/>
      <c r="D46" s="63">
        <v>86.96969</v>
      </c>
      <c r="E46" s="65"/>
      <c r="F46" s="100" t="str">
        <f>HYPERLINK("https://pbs.twimg.com/profile_images/1535527485408182273/ikDoB4oY_normal.jpg")</f>
        <v>https://pbs.twimg.com/profile_images/1535527485408182273/ikDoB4oY_normal.jpg</v>
      </c>
      <c r="G46" s="62"/>
      <c r="H46" s="66" t="s">
        <v>275</v>
      </c>
      <c r="I46" s="67"/>
      <c r="J46" s="67"/>
      <c r="K46" s="66" t="s">
        <v>275</v>
      </c>
      <c r="L46" s="70">
        <v>10.576618775862068</v>
      </c>
      <c r="M46" s="71">
        <v>5366.1171875</v>
      </c>
      <c r="N46" s="71">
        <v>2527.81494140625</v>
      </c>
      <c r="O46" s="72"/>
      <c r="P46" s="73"/>
      <c r="Q46" s="73"/>
      <c r="R46" s="86"/>
      <c r="S46" s="45">
        <v>0</v>
      </c>
      <c r="T46" s="45">
        <v>3</v>
      </c>
      <c r="U46" s="46">
        <v>0.333333</v>
      </c>
      <c r="V46" s="46">
        <v>0.022385</v>
      </c>
      <c r="W46" s="46">
        <v>0.275149</v>
      </c>
      <c r="X46" s="46">
        <v>0.004634</v>
      </c>
      <c r="Y46" s="46">
        <v>0.3333333333333333</v>
      </c>
      <c r="Z46" s="46">
        <v>0</v>
      </c>
      <c r="AA46" s="68">
        <v>46</v>
      </c>
      <c r="AB46" s="68"/>
      <c r="AC46" s="69"/>
      <c r="AD46" s="76" t="s">
        <v>1030</v>
      </c>
      <c r="AE46" s="85" t="s">
        <v>1221</v>
      </c>
      <c r="AF46" s="76">
        <v>2499</v>
      </c>
      <c r="AG46" s="76">
        <v>1685</v>
      </c>
      <c r="AH46" s="76">
        <v>45699</v>
      </c>
      <c r="AI46" s="76">
        <v>166353</v>
      </c>
      <c r="AJ46" s="76"/>
      <c r="AK46" s="76" t="s">
        <v>1392</v>
      </c>
      <c r="AL46" s="76" t="s">
        <v>1560</v>
      </c>
      <c r="AM46" s="76"/>
      <c r="AN46" s="76"/>
      <c r="AO46" s="78">
        <v>39275.4083912037</v>
      </c>
      <c r="AP46" s="82" t="str">
        <f>HYPERLINK("https://pbs.twimg.com/profile_banners/7425082/1654933296")</f>
        <v>https://pbs.twimg.com/profile_banners/7425082/1654933296</v>
      </c>
      <c r="AQ46" s="76" t="b">
        <v>0</v>
      </c>
      <c r="AR46" s="76" t="b">
        <v>0</v>
      </c>
      <c r="AS46" s="76" t="b">
        <v>0</v>
      </c>
      <c r="AT46" s="76"/>
      <c r="AU46" s="76">
        <v>0</v>
      </c>
      <c r="AV46" s="82" t="str">
        <f>HYPERLINK("https://abs.twimg.com/images/themes/theme1/bg.png")</f>
        <v>https://abs.twimg.com/images/themes/theme1/bg.png</v>
      </c>
      <c r="AW46" s="76" t="b">
        <v>0</v>
      </c>
      <c r="AX46" s="76" t="s">
        <v>1651</v>
      </c>
      <c r="AY46" s="82" t="str">
        <f>HYPERLINK("https://twitter.com/liberals_ipa")</f>
        <v>https://twitter.com/liberals_ipa</v>
      </c>
      <c r="AZ46" s="76" t="s">
        <v>66</v>
      </c>
      <c r="BA46" s="76" t="str">
        <f>REPLACE(INDEX(GroupVertices[Group],MATCH(Vertices[[#This Row],[Vertex]],GroupVertices[Vertex],0)),1,1,"")</f>
        <v>5</v>
      </c>
      <c r="BB46" s="45"/>
      <c r="BC46" s="46"/>
      <c r="BD46" s="45"/>
      <c r="BE46" s="46"/>
      <c r="BF46" s="45"/>
      <c r="BG46" s="46"/>
      <c r="BH46" s="45"/>
      <c r="BI46" s="46"/>
      <c r="BJ46" s="45"/>
      <c r="BK46" s="109" t="s">
        <v>916</v>
      </c>
      <c r="BL46" s="109" t="s">
        <v>916</v>
      </c>
      <c r="BM46" s="109" t="s">
        <v>916</v>
      </c>
      <c r="BN46" s="109" t="s">
        <v>916</v>
      </c>
      <c r="BO46" s="2"/>
    </row>
    <row r="47" spans="1:67" ht="15">
      <c r="A47" s="61" t="s">
        <v>397</v>
      </c>
      <c r="B47" s="62"/>
      <c r="C47" s="62"/>
      <c r="D47" s="63">
        <v>219.3939463636364</v>
      </c>
      <c r="E47" s="65"/>
      <c r="F47" s="100" t="str">
        <f>HYPERLINK("https://pbs.twimg.com/profile_images/1496742912679301128/jTzhyNg-_normal.jpg")</f>
        <v>https://pbs.twimg.com/profile_images/1496742912679301128/jTzhyNg-_normal.jpg</v>
      </c>
      <c r="G47" s="62"/>
      <c r="H47" s="66" t="s">
        <v>397</v>
      </c>
      <c r="I47" s="67"/>
      <c r="J47" s="67"/>
      <c r="K47" s="66" t="s">
        <v>397</v>
      </c>
      <c r="L47" s="70">
        <v>192.5325766264368</v>
      </c>
      <c r="M47" s="71">
        <v>3586.858154296875</v>
      </c>
      <c r="N47" s="71">
        <v>3249.485107421875</v>
      </c>
      <c r="O47" s="72"/>
      <c r="P47" s="73"/>
      <c r="Q47" s="73"/>
      <c r="R47" s="86"/>
      <c r="S47" s="45">
        <v>6</v>
      </c>
      <c r="T47" s="45">
        <v>0</v>
      </c>
      <c r="U47" s="46">
        <v>6.666667</v>
      </c>
      <c r="V47" s="46">
        <v>0.030779</v>
      </c>
      <c r="W47" s="46">
        <v>0.394909</v>
      </c>
      <c r="X47" s="46">
        <v>0.005517</v>
      </c>
      <c r="Y47" s="46">
        <v>0.16666666666666666</v>
      </c>
      <c r="Z47" s="46">
        <v>0</v>
      </c>
      <c r="AA47" s="68">
        <v>47</v>
      </c>
      <c r="AB47" s="68"/>
      <c r="AC47" s="69"/>
      <c r="AD47" s="76" t="s">
        <v>1031</v>
      </c>
      <c r="AE47" s="85" t="s">
        <v>1222</v>
      </c>
      <c r="AF47" s="76">
        <v>578</v>
      </c>
      <c r="AG47" s="76">
        <v>49721</v>
      </c>
      <c r="AH47" s="76">
        <v>3080</v>
      </c>
      <c r="AI47" s="76">
        <v>6668</v>
      </c>
      <c r="AJ47" s="76"/>
      <c r="AK47" s="76" t="s">
        <v>1393</v>
      </c>
      <c r="AL47" s="76" t="s">
        <v>1561</v>
      </c>
      <c r="AM47" s="82" t="str">
        <f>HYPERLINK("https://t.co/nNpAKlC9z3")</f>
        <v>https://t.co/nNpAKlC9z3</v>
      </c>
      <c r="AN47" s="76"/>
      <c r="AO47" s="78">
        <v>42557.49486111111</v>
      </c>
      <c r="AP47" s="82" t="str">
        <f>HYPERLINK("https://pbs.twimg.com/profile_banners/750658704949678081/1553913353")</f>
        <v>https://pbs.twimg.com/profile_banners/750658704949678081/1553913353</v>
      </c>
      <c r="AQ47" s="76" t="b">
        <v>0</v>
      </c>
      <c r="AR47" s="76" t="b">
        <v>0</v>
      </c>
      <c r="AS47" s="76" t="b">
        <v>0</v>
      </c>
      <c r="AT47" s="76"/>
      <c r="AU47" s="76">
        <v>269</v>
      </c>
      <c r="AV47" s="82" t="str">
        <f>HYPERLINK("https://abs.twimg.com/images/themes/theme1/bg.png")</f>
        <v>https://abs.twimg.com/images/themes/theme1/bg.png</v>
      </c>
      <c r="AW47" s="76" t="b">
        <v>1</v>
      </c>
      <c r="AX47" s="76" t="s">
        <v>1651</v>
      </c>
      <c r="AY47" s="82" t="str">
        <f>HYPERLINK("https://twitter.com/julianhillmp")</f>
        <v>https://twitter.com/julianhillmp</v>
      </c>
      <c r="AZ47" s="76" t="s">
        <v>65</v>
      </c>
      <c r="BA47" s="76" t="str">
        <f>REPLACE(INDEX(GroupVertices[Group],MATCH(Vertices[[#This Row],[Vertex]],GroupVertices[Vertex],0)),1,1,"")</f>
        <v>5</v>
      </c>
      <c r="BB47" s="45"/>
      <c r="BC47" s="46"/>
      <c r="BD47" s="45"/>
      <c r="BE47" s="46"/>
      <c r="BF47" s="45"/>
      <c r="BG47" s="46"/>
      <c r="BH47" s="45"/>
      <c r="BI47" s="46"/>
      <c r="BJ47" s="45"/>
      <c r="BK47" s="45"/>
      <c r="BL47" s="45"/>
      <c r="BM47" s="45"/>
      <c r="BN47" s="45"/>
      <c r="BO47" s="2"/>
    </row>
    <row r="48" spans="1:67" ht="15">
      <c r="A48" s="61" t="s">
        <v>279</v>
      </c>
      <c r="B48" s="62"/>
      <c r="C48" s="62"/>
      <c r="D48" s="63">
        <v>226.36363636363637</v>
      </c>
      <c r="E48" s="65"/>
      <c r="F48" s="100" t="str">
        <f>HYPERLINK("https://pbs.twimg.com/profile_images/1010363771796140033/S2oq4Ge0_normal.jpg")</f>
        <v>https://pbs.twimg.com/profile_images/1010363771796140033/S2oq4Ge0_normal.jpg</v>
      </c>
      <c r="G48" s="62"/>
      <c r="H48" s="66" t="s">
        <v>279</v>
      </c>
      <c r="I48" s="67"/>
      <c r="J48" s="67"/>
      <c r="K48" s="66" t="s">
        <v>279</v>
      </c>
      <c r="L48" s="70">
        <v>202.10919540229884</v>
      </c>
      <c r="M48" s="71">
        <v>4243.3671875</v>
      </c>
      <c r="N48" s="71">
        <v>3229.640380859375</v>
      </c>
      <c r="O48" s="72"/>
      <c r="P48" s="73"/>
      <c r="Q48" s="73"/>
      <c r="R48" s="86"/>
      <c r="S48" s="45">
        <v>6</v>
      </c>
      <c r="T48" s="45">
        <v>3</v>
      </c>
      <c r="U48" s="46">
        <v>7</v>
      </c>
      <c r="V48" s="46">
        <v>0.035176</v>
      </c>
      <c r="W48" s="46">
        <v>0.556345</v>
      </c>
      <c r="X48" s="46">
        <v>0.005793</v>
      </c>
      <c r="Y48" s="46">
        <v>0.23809523809523808</v>
      </c>
      <c r="Z48" s="46">
        <v>0</v>
      </c>
      <c r="AA48" s="68">
        <v>48</v>
      </c>
      <c r="AB48" s="68"/>
      <c r="AC48" s="69"/>
      <c r="AD48" s="76" t="s">
        <v>1032</v>
      </c>
      <c r="AE48" s="85" t="s">
        <v>1223</v>
      </c>
      <c r="AF48" s="76">
        <v>28159</v>
      </c>
      <c r="AG48" s="76">
        <v>35916</v>
      </c>
      <c r="AH48" s="76">
        <v>1290053</v>
      </c>
      <c r="AI48" s="76">
        <v>33768</v>
      </c>
      <c r="AJ48" s="76"/>
      <c r="AK48" s="76" t="s">
        <v>1394</v>
      </c>
      <c r="AL48" s="76" t="s">
        <v>1561</v>
      </c>
      <c r="AM48" s="82" t="str">
        <f>HYPERLINK("https://t.co/l6gAFLhu5Q")</f>
        <v>https://t.co/l6gAFLhu5Q</v>
      </c>
      <c r="AN48" s="76"/>
      <c r="AO48" s="78">
        <v>40016.017534722225</v>
      </c>
      <c r="AP48" s="82" t="str">
        <f>HYPERLINK("https://pbs.twimg.com/profile_banners/58974496/1510976644")</f>
        <v>https://pbs.twimg.com/profile_banners/58974496/1510976644</v>
      </c>
      <c r="AQ48" s="76" t="b">
        <v>0</v>
      </c>
      <c r="AR48" s="76" t="b">
        <v>0</v>
      </c>
      <c r="AS48" s="76" t="b">
        <v>1</v>
      </c>
      <c r="AT48" s="76"/>
      <c r="AU48" s="76">
        <v>436</v>
      </c>
      <c r="AV48" s="82" t="str">
        <f>HYPERLINK("https://abs.twimg.com/images/themes/theme1/bg.png")</f>
        <v>https://abs.twimg.com/images/themes/theme1/bg.png</v>
      </c>
      <c r="AW48" s="76" t="b">
        <v>0</v>
      </c>
      <c r="AX48" s="76" t="s">
        <v>1651</v>
      </c>
      <c r="AY48" s="82" t="str">
        <f>HYPERLINK("https://twitter.com/davidbewart")</f>
        <v>https://twitter.com/davidbewart</v>
      </c>
      <c r="AZ48" s="76" t="s">
        <v>66</v>
      </c>
      <c r="BA48" s="76" t="str">
        <f>REPLACE(INDEX(GroupVertices[Group],MATCH(Vertices[[#This Row],[Vertex]],GroupVertices[Vertex],0)),1,1,"")</f>
        <v>5</v>
      </c>
      <c r="BB48" s="45"/>
      <c r="BC48" s="46"/>
      <c r="BD48" s="45"/>
      <c r="BE48" s="46"/>
      <c r="BF48" s="45"/>
      <c r="BG48" s="46"/>
      <c r="BH48" s="45"/>
      <c r="BI48" s="46"/>
      <c r="BJ48" s="45"/>
      <c r="BK48" s="109" t="s">
        <v>916</v>
      </c>
      <c r="BL48" s="109" t="s">
        <v>916</v>
      </c>
      <c r="BM48" s="109" t="s">
        <v>916</v>
      </c>
      <c r="BN48" s="109" t="s">
        <v>916</v>
      </c>
      <c r="BO48" s="2"/>
    </row>
    <row r="49" spans="1:67" ht="15">
      <c r="A49" s="61" t="s">
        <v>398</v>
      </c>
      <c r="B49" s="62"/>
      <c r="C49" s="62"/>
      <c r="D49" s="63">
        <v>219.3939463636364</v>
      </c>
      <c r="E49" s="65"/>
      <c r="F49" s="100" t="str">
        <f>HYPERLINK("https://pbs.twimg.com/profile_images/1061915596328263680/EcBjYl5z_normal.jpg")</f>
        <v>https://pbs.twimg.com/profile_images/1061915596328263680/EcBjYl5z_normal.jpg</v>
      </c>
      <c r="G49" s="62"/>
      <c r="H49" s="66" t="s">
        <v>398</v>
      </c>
      <c r="I49" s="67"/>
      <c r="J49" s="67"/>
      <c r="K49" s="66" t="s">
        <v>398</v>
      </c>
      <c r="L49" s="70">
        <v>192.5325766264368</v>
      </c>
      <c r="M49" s="71">
        <v>4358.70703125</v>
      </c>
      <c r="N49" s="71">
        <v>2550.99853515625</v>
      </c>
      <c r="O49" s="72"/>
      <c r="P49" s="73"/>
      <c r="Q49" s="73"/>
      <c r="R49" s="86"/>
      <c r="S49" s="45">
        <v>6</v>
      </c>
      <c r="T49" s="45">
        <v>0</v>
      </c>
      <c r="U49" s="46">
        <v>6.666667</v>
      </c>
      <c r="V49" s="46">
        <v>0.030779</v>
      </c>
      <c r="W49" s="46">
        <v>0.394909</v>
      </c>
      <c r="X49" s="46">
        <v>0.005517</v>
      </c>
      <c r="Y49" s="46">
        <v>0.16666666666666666</v>
      </c>
      <c r="Z49" s="46">
        <v>0</v>
      </c>
      <c r="AA49" s="68">
        <v>49</v>
      </c>
      <c r="AB49" s="68"/>
      <c r="AC49" s="69"/>
      <c r="AD49" s="76" t="s">
        <v>1033</v>
      </c>
      <c r="AE49" s="85" t="s">
        <v>923</v>
      </c>
      <c r="AF49" s="76">
        <v>1217</v>
      </c>
      <c r="AG49" s="76">
        <v>3860150</v>
      </c>
      <c r="AH49" s="76">
        <v>341216</v>
      </c>
      <c r="AI49" s="76">
        <v>11</v>
      </c>
      <c r="AJ49" s="76"/>
      <c r="AK49" s="76" t="s">
        <v>1395</v>
      </c>
      <c r="AL49" s="76"/>
      <c r="AM49" s="82" t="str">
        <f>HYPERLINK("https://t.co/UxihdJO26W")</f>
        <v>https://t.co/UxihdJO26W</v>
      </c>
      <c r="AN49" s="76"/>
      <c r="AO49" s="78">
        <v>39135.52276620371</v>
      </c>
      <c r="AP49" s="82" t="str">
        <f>HYPERLINK("https://pbs.twimg.com/profile_banners/788524/1542015319")</f>
        <v>https://pbs.twimg.com/profile_banners/788524/1542015319</v>
      </c>
      <c r="AQ49" s="76" t="b">
        <v>0</v>
      </c>
      <c r="AR49" s="76" t="b">
        <v>0</v>
      </c>
      <c r="AS49" s="76" t="b">
        <v>1</v>
      </c>
      <c r="AT49" s="76"/>
      <c r="AU49" s="76">
        <v>35577</v>
      </c>
      <c r="AV49" s="82" t="str">
        <f>HYPERLINK("https://abs.twimg.com/images/themes/theme1/bg.png")</f>
        <v>https://abs.twimg.com/images/themes/theme1/bg.png</v>
      </c>
      <c r="AW49" s="76" t="b">
        <v>1</v>
      </c>
      <c r="AX49" s="76" t="s">
        <v>1651</v>
      </c>
      <c r="AY49" s="82" t="str">
        <f>HYPERLINK("https://twitter.com/guardiannews")</f>
        <v>https://twitter.com/guardiannews</v>
      </c>
      <c r="AZ49" s="76" t="s">
        <v>65</v>
      </c>
      <c r="BA49" s="76" t="str">
        <f>REPLACE(INDEX(GroupVertices[Group],MATCH(Vertices[[#This Row],[Vertex]],GroupVertices[Vertex],0)),1,1,"")</f>
        <v>5</v>
      </c>
      <c r="BB49" s="45"/>
      <c r="BC49" s="46"/>
      <c r="BD49" s="45"/>
      <c r="BE49" s="46"/>
      <c r="BF49" s="45"/>
      <c r="BG49" s="46"/>
      <c r="BH49" s="45"/>
      <c r="BI49" s="46"/>
      <c r="BJ49" s="45"/>
      <c r="BK49" s="45"/>
      <c r="BL49" s="45"/>
      <c r="BM49" s="45"/>
      <c r="BN49" s="45"/>
      <c r="BO49" s="2"/>
    </row>
    <row r="50" spans="1:67" ht="15">
      <c r="A50" s="61" t="s">
        <v>276</v>
      </c>
      <c r="B50" s="62"/>
      <c r="C50" s="62"/>
      <c r="D50" s="63">
        <v>86.96969</v>
      </c>
      <c r="E50" s="65"/>
      <c r="F50" s="100" t="str">
        <f>HYPERLINK("https://pbs.twimg.com/profile_images/1142696602479423488/EtErUzHL_normal.jpg")</f>
        <v>https://pbs.twimg.com/profile_images/1142696602479423488/EtErUzHL_normal.jpg</v>
      </c>
      <c r="G50" s="62"/>
      <c r="H50" s="66" t="s">
        <v>276</v>
      </c>
      <c r="I50" s="67"/>
      <c r="J50" s="67"/>
      <c r="K50" s="66" t="s">
        <v>276</v>
      </c>
      <c r="L50" s="70">
        <v>10.576618775862068</v>
      </c>
      <c r="M50" s="71">
        <v>4954.19091796875</v>
      </c>
      <c r="N50" s="71">
        <v>4091.083251953125</v>
      </c>
      <c r="O50" s="72"/>
      <c r="P50" s="73"/>
      <c r="Q50" s="73"/>
      <c r="R50" s="86"/>
      <c r="S50" s="45">
        <v>0</v>
      </c>
      <c r="T50" s="45">
        <v>3</v>
      </c>
      <c r="U50" s="46">
        <v>0.333333</v>
      </c>
      <c r="V50" s="46">
        <v>0.022385</v>
      </c>
      <c r="W50" s="46">
        <v>0.275149</v>
      </c>
      <c r="X50" s="46">
        <v>0.004634</v>
      </c>
      <c r="Y50" s="46">
        <v>0.3333333333333333</v>
      </c>
      <c r="Z50" s="46">
        <v>0</v>
      </c>
      <c r="AA50" s="68">
        <v>50</v>
      </c>
      <c r="AB50" s="68"/>
      <c r="AC50" s="69"/>
      <c r="AD50" s="76" t="s">
        <v>1034</v>
      </c>
      <c r="AE50" s="85" t="s">
        <v>1224</v>
      </c>
      <c r="AF50" s="76">
        <v>392</v>
      </c>
      <c r="AG50" s="76">
        <v>169</v>
      </c>
      <c r="AH50" s="76">
        <v>36267</v>
      </c>
      <c r="AI50" s="76">
        <v>19983</v>
      </c>
      <c r="AJ50" s="76"/>
      <c r="AK50" s="76" t="s">
        <v>1396</v>
      </c>
      <c r="AL50" s="76"/>
      <c r="AM50" s="76"/>
      <c r="AN50" s="76"/>
      <c r="AO50" s="78">
        <v>41197.45767361111</v>
      </c>
      <c r="AP50" s="76"/>
      <c r="AQ50" s="76" t="b">
        <v>1</v>
      </c>
      <c r="AR50" s="76" t="b">
        <v>0</v>
      </c>
      <c r="AS50" s="76" t="b">
        <v>0</v>
      </c>
      <c r="AT50" s="76"/>
      <c r="AU50" s="76">
        <v>0</v>
      </c>
      <c r="AV50" s="82" t="str">
        <f>HYPERLINK("https://abs.twimg.com/images/themes/theme1/bg.png")</f>
        <v>https://abs.twimg.com/images/themes/theme1/bg.png</v>
      </c>
      <c r="AW50" s="76" t="b">
        <v>0</v>
      </c>
      <c r="AX50" s="76" t="s">
        <v>1651</v>
      </c>
      <c r="AY50" s="82" t="str">
        <f>HYPERLINK("https://twitter.com/neddycgoon")</f>
        <v>https://twitter.com/neddycgoon</v>
      </c>
      <c r="AZ50" s="76" t="s">
        <v>66</v>
      </c>
      <c r="BA50" s="76" t="str">
        <f>REPLACE(INDEX(GroupVertices[Group],MATCH(Vertices[[#This Row],[Vertex]],GroupVertices[Vertex],0)),1,1,"")</f>
        <v>5</v>
      </c>
      <c r="BB50" s="45"/>
      <c r="BC50" s="46"/>
      <c r="BD50" s="45"/>
      <c r="BE50" s="46"/>
      <c r="BF50" s="45"/>
      <c r="BG50" s="46"/>
      <c r="BH50" s="45"/>
      <c r="BI50" s="46"/>
      <c r="BJ50" s="45"/>
      <c r="BK50" s="109" t="s">
        <v>916</v>
      </c>
      <c r="BL50" s="109" t="s">
        <v>916</v>
      </c>
      <c r="BM50" s="109" t="s">
        <v>916</v>
      </c>
      <c r="BN50" s="109" t="s">
        <v>916</v>
      </c>
      <c r="BO50" s="2"/>
    </row>
    <row r="51" spans="1:67" ht="15">
      <c r="A51" s="61" t="s">
        <v>277</v>
      </c>
      <c r="B51" s="62"/>
      <c r="C51" s="62"/>
      <c r="D51" s="63">
        <v>86.96969</v>
      </c>
      <c r="E51" s="65"/>
      <c r="F51" s="100" t="str">
        <f>HYPERLINK("https://pbs.twimg.com/profile_images/1622110671885438976/C0CcKlWc_normal.jpg")</f>
        <v>https://pbs.twimg.com/profile_images/1622110671885438976/C0CcKlWc_normal.jpg</v>
      </c>
      <c r="G51" s="62"/>
      <c r="H51" s="66" t="s">
        <v>277</v>
      </c>
      <c r="I51" s="67"/>
      <c r="J51" s="67"/>
      <c r="K51" s="66" t="s">
        <v>277</v>
      </c>
      <c r="L51" s="70">
        <v>10.576618775862068</v>
      </c>
      <c r="M51" s="71">
        <v>3420.968017578125</v>
      </c>
      <c r="N51" s="71">
        <v>4293.68017578125</v>
      </c>
      <c r="O51" s="72"/>
      <c r="P51" s="73"/>
      <c r="Q51" s="73"/>
      <c r="R51" s="86"/>
      <c r="S51" s="45">
        <v>0</v>
      </c>
      <c r="T51" s="45">
        <v>3</v>
      </c>
      <c r="U51" s="46">
        <v>0.333333</v>
      </c>
      <c r="V51" s="46">
        <v>0.022385</v>
      </c>
      <c r="W51" s="46">
        <v>0.275149</v>
      </c>
      <c r="X51" s="46">
        <v>0.004634</v>
      </c>
      <c r="Y51" s="46">
        <v>0.3333333333333333</v>
      </c>
      <c r="Z51" s="46">
        <v>0</v>
      </c>
      <c r="AA51" s="68">
        <v>51</v>
      </c>
      <c r="AB51" s="68"/>
      <c r="AC51" s="69"/>
      <c r="AD51" s="76" t="s">
        <v>1035</v>
      </c>
      <c r="AE51" s="85" t="s">
        <v>1225</v>
      </c>
      <c r="AF51" s="76">
        <v>23239</v>
      </c>
      <c r="AG51" s="76">
        <v>21406</v>
      </c>
      <c r="AH51" s="76">
        <v>1013639</v>
      </c>
      <c r="AI51" s="76">
        <v>38521</v>
      </c>
      <c r="AJ51" s="76"/>
      <c r="AK51" s="76" t="s">
        <v>1397</v>
      </c>
      <c r="AL51" s="76" t="s">
        <v>1561</v>
      </c>
      <c r="AM51" s="76"/>
      <c r="AN51" s="76"/>
      <c r="AO51" s="78">
        <v>41363.283530092594</v>
      </c>
      <c r="AP51" s="82" t="str">
        <f>HYPERLINK("https://pbs.twimg.com/profile_banners/1315921093/1673267041")</f>
        <v>https://pbs.twimg.com/profile_banners/1315921093/1673267041</v>
      </c>
      <c r="AQ51" s="76" t="b">
        <v>0</v>
      </c>
      <c r="AR51" s="76" t="b">
        <v>0</v>
      </c>
      <c r="AS51" s="76" t="b">
        <v>0</v>
      </c>
      <c r="AT51" s="76"/>
      <c r="AU51" s="76">
        <v>423</v>
      </c>
      <c r="AV51" s="82" t="str">
        <f>HYPERLINK("https://abs.twimg.com/images/themes/theme1/bg.png")</f>
        <v>https://abs.twimg.com/images/themes/theme1/bg.png</v>
      </c>
      <c r="AW51" s="76" t="b">
        <v>0</v>
      </c>
      <c r="AX51" s="76" t="s">
        <v>1651</v>
      </c>
      <c r="AY51" s="82" t="str">
        <f>HYPERLINK("https://twitter.com/msmwatchdog2013")</f>
        <v>https://twitter.com/msmwatchdog2013</v>
      </c>
      <c r="AZ51" s="76" t="s">
        <v>66</v>
      </c>
      <c r="BA51" s="76" t="str">
        <f>REPLACE(INDEX(GroupVertices[Group],MATCH(Vertices[[#This Row],[Vertex]],GroupVertices[Vertex],0)),1,1,"")</f>
        <v>5</v>
      </c>
      <c r="BB51" s="45"/>
      <c r="BC51" s="46"/>
      <c r="BD51" s="45"/>
      <c r="BE51" s="46"/>
      <c r="BF51" s="45"/>
      <c r="BG51" s="46"/>
      <c r="BH51" s="45"/>
      <c r="BI51" s="46"/>
      <c r="BJ51" s="45"/>
      <c r="BK51" s="109" t="s">
        <v>916</v>
      </c>
      <c r="BL51" s="109" t="s">
        <v>916</v>
      </c>
      <c r="BM51" s="109" t="s">
        <v>916</v>
      </c>
      <c r="BN51" s="109" t="s">
        <v>916</v>
      </c>
      <c r="BO51" s="2"/>
    </row>
    <row r="52" spans="1:67" ht="15">
      <c r="A52" s="61" t="s">
        <v>278</v>
      </c>
      <c r="B52" s="62"/>
      <c r="C52" s="62"/>
      <c r="D52" s="63">
        <v>86.96969</v>
      </c>
      <c r="E52" s="65"/>
      <c r="F52" s="100" t="str">
        <f>HYPERLINK("https://pbs.twimg.com/profile_images/1106779977238798336/mpyFrAX3_normal.jpg")</f>
        <v>https://pbs.twimg.com/profile_images/1106779977238798336/mpyFrAX3_normal.jpg</v>
      </c>
      <c r="G52" s="62"/>
      <c r="H52" s="66" t="s">
        <v>278</v>
      </c>
      <c r="I52" s="67"/>
      <c r="J52" s="67"/>
      <c r="K52" s="66" t="s">
        <v>278</v>
      </c>
      <c r="L52" s="70">
        <v>10.576618775862068</v>
      </c>
      <c r="M52" s="71">
        <v>3859.4375</v>
      </c>
      <c r="N52" s="71">
        <v>1603.81884765625</v>
      </c>
      <c r="O52" s="72"/>
      <c r="P52" s="73"/>
      <c r="Q52" s="73"/>
      <c r="R52" s="86"/>
      <c r="S52" s="45">
        <v>0</v>
      </c>
      <c r="T52" s="45">
        <v>3</v>
      </c>
      <c r="U52" s="46">
        <v>0.333333</v>
      </c>
      <c r="V52" s="46">
        <v>0.022385</v>
      </c>
      <c r="W52" s="46">
        <v>0.275149</v>
      </c>
      <c r="X52" s="46">
        <v>0.004634</v>
      </c>
      <c r="Y52" s="46">
        <v>0.3333333333333333</v>
      </c>
      <c r="Z52" s="46">
        <v>0</v>
      </c>
      <c r="AA52" s="68">
        <v>52</v>
      </c>
      <c r="AB52" s="68"/>
      <c r="AC52" s="69"/>
      <c r="AD52" s="76" t="s">
        <v>1036</v>
      </c>
      <c r="AE52" s="85" t="s">
        <v>1226</v>
      </c>
      <c r="AF52" s="76">
        <v>691</v>
      </c>
      <c r="AG52" s="76">
        <v>344</v>
      </c>
      <c r="AH52" s="76">
        <v>14370</v>
      </c>
      <c r="AI52" s="76">
        <v>22544</v>
      </c>
      <c r="AJ52" s="76"/>
      <c r="AK52" s="76" t="s">
        <v>1398</v>
      </c>
      <c r="AL52" s="76"/>
      <c r="AM52" s="76"/>
      <c r="AN52" s="76"/>
      <c r="AO52" s="78">
        <v>42398.39226851852</v>
      </c>
      <c r="AP52" s="76"/>
      <c r="AQ52" s="76" t="b">
        <v>1</v>
      </c>
      <c r="AR52" s="76" t="b">
        <v>0</v>
      </c>
      <c r="AS52" s="76" t="b">
        <v>1</v>
      </c>
      <c r="AT52" s="76"/>
      <c r="AU52" s="76">
        <v>2</v>
      </c>
      <c r="AV52" s="76"/>
      <c r="AW52" s="76" t="b">
        <v>0</v>
      </c>
      <c r="AX52" s="76" t="s">
        <v>1651</v>
      </c>
      <c r="AY52" s="82" t="str">
        <f>HYPERLINK("https://twitter.com/von_herren")</f>
        <v>https://twitter.com/von_herren</v>
      </c>
      <c r="AZ52" s="76" t="s">
        <v>66</v>
      </c>
      <c r="BA52" s="76" t="str">
        <f>REPLACE(INDEX(GroupVertices[Group],MATCH(Vertices[[#This Row],[Vertex]],GroupVertices[Vertex],0)),1,1,"")</f>
        <v>5</v>
      </c>
      <c r="BB52" s="45"/>
      <c r="BC52" s="46"/>
      <c r="BD52" s="45"/>
      <c r="BE52" s="46"/>
      <c r="BF52" s="45"/>
      <c r="BG52" s="46"/>
      <c r="BH52" s="45"/>
      <c r="BI52" s="46"/>
      <c r="BJ52" s="45"/>
      <c r="BK52" s="109" t="s">
        <v>916</v>
      </c>
      <c r="BL52" s="109" t="s">
        <v>916</v>
      </c>
      <c r="BM52" s="109" t="s">
        <v>916</v>
      </c>
      <c r="BN52" s="109" t="s">
        <v>916</v>
      </c>
      <c r="BO52" s="2"/>
    </row>
    <row r="53" spans="1:67" ht="15">
      <c r="A53" s="61" t="s">
        <v>280</v>
      </c>
      <c r="B53" s="62"/>
      <c r="C53" s="62"/>
      <c r="D53" s="63">
        <v>86.96969</v>
      </c>
      <c r="E53" s="65"/>
      <c r="F53" s="100" t="str">
        <f>HYPERLINK("https://pbs.twimg.com/profile_images/1593445873526050816/WVFznGvf_normal.jpg")</f>
        <v>https://pbs.twimg.com/profile_images/1593445873526050816/WVFznGvf_normal.jpg</v>
      </c>
      <c r="G53" s="62"/>
      <c r="H53" s="66" t="s">
        <v>280</v>
      </c>
      <c r="I53" s="67"/>
      <c r="J53" s="67"/>
      <c r="K53" s="66" t="s">
        <v>280</v>
      </c>
      <c r="L53" s="70">
        <v>10.576618775862068</v>
      </c>
      <c r="M53" s="71">
        <v>2766.41015625</v>
      </c>
      <c r="N53" s="71">
        <v>2595.076416015625</v>
      </c>
      <c r="O53" s="72"/>
      <c r="P53" s="73"/>
      <c r="Q53" s="73"/>
      <c r="R53" s="86"/>
      <c r="S53" s="45">
        <v>0</v>
      </c>
      <c r="T53" s="45">
        <v>3</v>
      </c>
      <c r="U53" s="46">
        <v>0.333333</v>
      </c>
      <c r="V53" s="46">
        <v>0.022385</v>
      </c>
      <c r="W53" s="46">
        <v>0.275149</v>
      </c>
      <c r="X53" s="46">
        <v>0.004634</v>
      </c>
      <c r="Y53" s="46">
        <v>0.3333333333333333</v>
      </c>
      <c r="Z53" s="46">
        <v>0</v>
      </c>
      <c r="AA53" s="68">
        <v>53</v>
      </c>
      <c r="AB53" s="68"/>
      <c r="AC53" s="69"/>
      <c r="AD53" s="76" t="s">
        <v>1037</v>
      </c>
      <c r="AE53" s="85" t="s">
        <v>1227</v>
      </c>
      <c r="AF53" s="76">
        <v>4991</v>
      </c>
      <c r="AG53" s="76">
        <v>4262</v>
      </c>
      <c r="AH53" s="76">
        <v>523129</v>
      </c>
      <c r="AI53" s="76">
        <v>93597</v>
      </c>
      <c r="AJ53" s="76"/>
      <c r="AK53" s="76" t="s">
        <v>1399</v>
      </c>
      <c r="AL53" s="76" t="s">
        <v>1562</v>
      </c>
      <c r="AM53" s="82" t="str">
        <f>HYPERLINK("https://t.co/AsmHWDLbKm")</f>
        <v>https://t.co/AsmHWDLbKm</v>
      </c>
      <c r="AN53" s="76"/>
      <c r="AO53" s="78">
        <v>41711.13909722222</v>
      </c>
      <c r="AP53" s="82" t="str">
        <f>HYPERLINK("https://pbs.twimg.com/profile_banners/2386229700/1662105216")</f>
        <v>https://pbs.twimg.com/profile_banners/2386229700/1662105216</v>
      </c>
      <c r="AQ53" s="76" t="b">
        <v>1</v>
      </c>
      <c r="AR53" s="76" t="b">
        <v>0</v>
      </c>
      <c r="AS53" s="76" t="b">
        <v>0</v>
      </c>
      <c r="AT53" s="76"/>
      <c r="AU53" s="76">
        <v>206</v>
      </c>
      <c r="AV53" s="82" t="str">
        <f>HYPERLINK("https://abs.twimg.com/images/themes/theme1/bg.png")</f>
        <v>https://abs.twimg.com/images/themes/theme1/bg.png</v>
      </c>
      <c r="AW53" s="76" t="b">
        <v>0</v>
      </c>
      <c r="AX53" s="76" t="s">
        <v>1651</v>
      </c>
      <c r="AY53" s="82" t="str">
        <f>HYPERLINK("https://twitter.com/jrehnj")</f>
        <v>https://twitter.com/jrehnj</v>
      </c>
      <c r="AZ53" s="76" t="s">
        <v>66</v>
      </c>
      <c r="BA53" s="76" t="str">
        <f>REPLACE(INDEX(GroupVertices[Group],MATCH(Vertices[[#This Row],[Vertex]],GroupVertices[Vertex],0)),1,1,"")</f>
        <v>5</v>
      </c>
      <c r="BB53" s="45"/>
      <c r="BC53" s="46"/>
      <c r="BD53" s="45"/>
      <c r="BE53" s="46"/>
      <c r="BF53" s="45"/>
      <c r="BG53" s="46"/>
      <c r="BH53" s="45"/>
      <c r="BI53" s="46"/>
      <c r="BJ53" s="45"/>
      <c r="BK53" s="109" t="s">
        <v>916</v>
      </c>
      <c r="BL53" s="109" t="s">
        <v>916</v>
      </c>
      <c r="BM53" s="109" t="s">
        <v>916</v>
      </c>
      <c r="BN53" s="109" t="s">
        <v>916</v>
      </c>
      <c r="BO53" s="2"/>
    </row>
    <row r="54" spans="1:67" ht="15">
      <c r="A54" s="61" t="s">
        <v>281</v>
      </c>
      <c r="B54" s="62"/>
      <c r="C54" s="62"/>
      <c r="D54" s="63">
        <v>205.45454545454544</v>
      </c>
      <c r="E54" s="65"/>
      <c r="F54" s="100" t="str">
        <f>HYPERLINK("https://pbs.twimg.com/profile_images/1432764138397175809/N5q_XtWH_normal.jpg")</f>
        <v>https://pbs.twimg.com/profile_images/1432764138397175809/N5q_XtWH_normal.jpg</v>
      </c>
      <c r="G54" s="62"/>
      <c r="H54" s="66" t="s">
        <v>281</v>
      </c>
      <c r="I54" s="67"/>
      <c r="J54" s="67"/>
      <c r="K54" s="66" t="s">
        <v>281</v>
      </c>
      <c r="L54" s="70">
        <v>173.3793103448276</v>
      </c>
      <c r="M54" s="71">
        <v>4024.447021484375</v>
      </c>
      <c r="N54" s="71">
        <v>998.9614868164062</v>
      </c>
      <c r="O54" s="72"/>
      <c r="P54" s="73"/>
      <c r="Q54" s="73"/>
      <c r="R54" s="86"/>
      <c r="S54" s="45">
        <v>0</v>
      </c>
      <c r="T54" s="45">
        <v>3</v>
      </c>
      <c r="U54" s="46">
        <v>6</v>
      </c>
      <c r="V54" s="46">
        <v>0.015075</v>
      </c>
      <c r="W54" s="46">
        <v>0</v>
      </c>
      <c r="X54" s="46">
        <v>0.006304</v>
      </c>
      <c r="Y54" s="46">
        <v>0</v>
      </c>
      <c r="Z54" s="46">
        <v>0</v>
      </c>
      <c r="AA54" s="68">
        <v>54</v>
      </c>
      <c r="AB54" s="68"/>
      <c r="AC54" s="69"/>
      <c r="AD54" s="76" t="s">
        <v>1038</v>
      </c>
      <c r="AE54" s="85" t="s">
        <v>1228</v>
      </c>
      <c r="AF54" s="76">
        <v>785</v>
      </c>
      <c r="AG54" s="76">
        <v>253</v>
      </c>
      <c r="AH54" s="76">
        <v>2399</v>
      </c>
      <c r="AI54" s="76">
        <v>9869</v>
      </c>
      <c r="AJ54" s="76"/>
      <c r="AK54" s="76" t="s">
        <v>1400</v>
      </c>
      <c r="AL54" s="76" t="s">
        <v>1563</v>
      </c>
      <c r="AM54" s="76"/>
      <c r="AN54" s="76"/>
      <c r="AO54" s="78">
        <v>42689.06284722222</v>
      </c>
      <c r="AP54" s="82" t="str">
        <f>HYPERLINK("https://pbs.twimg.com/profile_banners/798337345367851008/1621531739")</f>
        <v>https://pbs.twimg.com/profile_banners/798337345367851008/1621531739</v>
      </c>
      <c r="AQ54" s="76" t="b">
        <v>1</v>
      </c>
      <c r="AR54" s="76" t="b">
        <v>0</v>
      </c>
      <c r="AS54" s="76" t="b">
        <v>1</v>
      </c>
      <c r="AT54" s="76"/>
      <c r="AU54" s="76">
        <v>5</v>
      </c>
      <c r="AV54" s="76"/>
      <c r="AW54" s="76" t="b">
        <v>0</v>
      </c>
      <c r="AX54" s="76" t="s">
        <v>1651</v>
      </c>
      <c r="AY54" s="82" t="str">
        <f>HYPERLINK("https://twitter.com/cosmkiwi")</f>
        <v>https://twitter.com/cosmkiwi</v>
      </c>
      <c r="AZ54" s="76" t="s">
        <v>66</v>
      </c>
      <c r="BA54" s="76" t="str">
        <f>REPLACE(INDEX(GroupVertices[Group],MATCH(Vertices[[#This Row],[Vertex]],GroupVertices[Vertex],0)),1,1,"")</f>
        <v>12</v>
      </c>
      <c r="BB54" s="45"/>
      <c r="BC54" s="46"/>
      <c r="BD54" s="45"/>
      <c r="BE54" s="46"/>
      <c r="BF54" s="45"/>
      <c r="BG54" s="46"/>
      <c r="BH54" s="45"/>
      <c r="BI54" s="46"/>
      <c r="BJ54" s="45"/>
      <c r="BK54" s="109" t="s">
        <v>916</v>
      </c>
      <c r="BL54" s="109" t="s">
        <v>916</v>
      </c>
      <c r="BM54" s="109" t="s">
        <v>916</v>
      </c>
      <c r="BN54" s="109" t="s">
        <v>916</v>
      </c>
      <c r="BO54" s="2"/>
    </row>
    <row r="55" spans="1:67" ht="15">
      <c r="A55" s="61" t="s">
        <v>399</v>
      </c>
      <c r="B55" s="62"/>
      <c r="C55" s="62"/>
      <c r="D55" s="63">
        <v>80</v>
      </c>
      <c r="E55" s="65"/>
      <c r="F55" s="100" t="str">
        <f>HYPERLINK("https://pbs.twimg.com/profile_images/841781516141178881/upMdrdgb_normal.jpg")</f>
        <v>https://pbs.twimg.com/profile_images/841781516141178881/upMdrdgb_normal.jpg</v>
      </c>
      <c r="G55" s="62"/>
      <c r="H55" s="66" t="s">
        <v>399</v>
      </c>
      <c r="I55" s="67"/>
      <c r="J55" s="67"/>
      <c r="K55" s="66" t="s">
        <v>399</v>
      </c>
      <c r="L55" s="70">
        <v>1</v>
      </c>
      <c r="M55" s="71">
        <v>5297.90673828125</v>
      </c>
      <c r="N55" s="71">
        <v>456.8031311035156</v>
      </c>
      <c r="O55" s="72"/>
      <c r="P55" s="73"/>
      <c r="Q55" s="73"/>
      <c r="R55" s="86"/>
      <c r="S55" s="45">
        <v>1</v>
      </c>
      <c r="T55" s="45">
        <v>0</v>
      </c>
      <c r="U55" s="46">
        <v>0</v>
      </c>
      <c r="V55" s="46">
        <v>0.009045</v>
      </c>
      <c r="W55" s="46">
        <v>0</v>
      </c>
      <c r="X55" s="46">
        <v>0.004565</v>
      </c>
      <c r="Y55" s="46">
        <v>0</v>
      </c>
      <c r="Z55" s="46">
        <v>0</v>
      </c>
      <c r="AA55" s="68">
        <v>55</v>
      </c>
      <c r="AB55" s="68"/>
      <c r="AC55" s="69"/>
      <c r="AD55" s="76" t="s">
        <v>1039</v>
      </c>
      <c r="AE55" s="85" t="s">
        <v>1229</v>
      </c>
      <c r="AF55" s="76">
        <v>1887</v>
      </c>
      <c r="AG55" s="76">
        <v>33593</v>
      </c>
      <c r="AH55" s="76">
        <v>35067</v>
      </c>
      <c r="AI55" s="76">
        <v>3773</v>
      </c>
      <c r="AJ55" s="76"/>
      <c r="AK55" s="76" t="s">
        <v>1401</v>
      </c>
      <c r="AL55" s="76" t="s">
        <v>1564</v>
      </c>
      <c r="AM55" s="82" t="str">
        <f>HYPERLINK("https://t.co/Yh0qmrr6us")</f>
        <v>https://t.co/Yh0qmrr6us</v>
      </c>
      <c r="AN55" s="76"/>
      <c r="AO55" s="78">
        <v>42650.28916666667</v>
      </c>
      <c r="AP55" s="82" t="str">
        <f>HYPERLINK("https://pbs.twimg.com/profile_banners/784286232511520773/1630534011")</f>
        <v>https://pbs.twimg.com/profile_banners/784286232511520773/1630534011</v>
      </c>
      <c r="AQ55" s="76" t="b">
        <v>0</v>
      </c>
      <c r="AR55" s="76" t="b">
        <v>0</v>
      </c>
      <c r="AS55" s="76" t="b">
        <v>1</v>
      </c>
      <c r="AT55" s="76"/>
      <c r="AU55" s="76">
        <v>318</v>
      </c>
      <c r="AV55" s="82" t="str">
        <f>HYPERLINK("https://abs.twimg.com/images/themes/theme1/bg.png")</f>
        <v>https://abs.twimg.com/images/themes/theme1/bg.png</v>
      </c>
      <c r="AW55" s="76" t="b">
        <v>1</v>
      </c>
      <c r="AX55" s="76" t="s">
        <v>1651</v>
      </c>
      <c r="AY55" s="82" t="str">
        <f>HYPERLINK("https://twitter.com/newsroomnz")</f>
        <v>https://twitter.com/newsroomnz</v>
      </c>
      <c r="AZ55" s="76" t="s">
        <v>65</v>
      </c>
      <c r="BA55" s="76" t="str">
        <f>REPLACE(INDEX(GroupVertices[Group],MATCH(Vertices[[#This Row],[Vertex]],GroupVertices[Vertex],0)),1,1,"")</f>
        <v>12</v>
      </c>
      <c r="BB55" s="45"/>
      <c r="BC55" s="46"/>
      <c r="BD55" s="45"/>
      <c r="BE55" s="46"/>
      <c r="BF55" s="45"/>
      <c r="BG55" s="46"/>
      <c r="BH55" s="45"/>
      <c r="BI55" s="46"/>
      <c r="BJ55" s="45"/>
      <c r="BK55" s="45"/>
      <c r="BL55" s="45"/>
      <c r="BM55" s="45"/>
      <c r="BN55" s="45"/>
      <c r="BO55" s="2"/>
    </row>
    <row r="56" spans="1:67" ht="15">
      <c r="A56" s="61" t="s">
        <v>400</v>
      </c>
      <c r="B56" s="62"/>
      <c r="C56" s="62"/>
      <c r="D56" s="63">
        <v>80</v>
      </c>
      <c r="E56" s="65"/>
      <c r="F56" s="100" t="str">
        <f>HYPERLINK("https://pbs.twimg.com/profile_images/1582189268507668480/q-oEzIFR_normal.jpg")</f>
        <v>https://pbs.twimg.com/profile_images/1582189268507668480/q-oEzIFR_normal.jpg</v>
      </c>
      <c r="G56" s="62"/>
      <c r="H56" s="66" t="s">
        <v>400</v>
      </c>
      <c r="I56" s="67"/>
      <c r="J56" s="67"/>
      <c r="K56" s="66" t="s">
        <v>400</v>
      </c>
      <c r="L56" s="70">
        <v>1</v>
      </c>
      <c r="M56" s="71">
        <v>3833.88525390625</v>
      </c>
      <c r="N56" s="71">
        <v>2427.45703125</v>
      </c>
      <c r="O56" s="72"/>
      <c r="P56" s="73"/>
      <c r="Q56" s="73"/>
      <c r="R56" s="86"/>
      <c r="S56" s="45">
        <v>1</v>
      </c>
      <c r="T56" s="45">
        <v>0</v>
      </c>
      <c r="U56" s="46">
        <v>0</v>
      </c>
      <c r="V56" s="46">
        <v>0.009045</v>
      </c>
      <c r="W56" s="46">
        <v>0</v>
      </c>
      <c r="X56" s="46">
        <v>0.004565</v>
      </c>
      <c r="Y56" s="46">
        <v>0</v>
      </c>
      <c r="Z56" s="46">
        <v>0</v>
      </c>
      <c r="AA56" s="68">
        <v>56</v>
      </c>
      <c r="AB56" s="68"/>
      <c r="AC56" s="69"/>
      <c r="AD56" s="76" t="s">
        <v>1040</v>
      </c>
      <c r="AE56" s="85" t="s">
        <v>924</v>
      </c>
      <c r="AF56" s="76">
        <v>3731</v>
      </c>
      <c r="AG56" s="76">
        <v>3078</v>
      </c>
      <c r="AH56" s="76">
        <v>675</v>
      </c>
      <c r="AI56" s="76">
        <v>12570</v>
      </c>
      <c r="AJ56" s="76"/>
      <c r="AK56" s="76" t="s">
        <v>1402</v>
      </c>
      <c r="AL56" s="76"/>
      <c r="AM56" s="76"/>
      <c r="AN56" s="76"/>
      <c r="AO56" s="78">
        <v>44367.11467592593</v>
      </c>
      <c r="AP56" s="82" t="str">
        <f>HYPERLINK("https://pbs.twimg.com/profile_banners/1406442429549481986/1637196111")</f>
        <v>https://pbs.twimg.com/profile_banners/1406442429549481986/1637196111</v>
      </c>
      <c r="AQ56" s="76" t="b">
        <v>1</v>
      </c>
      <c r="AR56" s="76" t="b">
        <v>0</v>
      </c>
      <c r="AS56" s="76" t="b">
        <v>0</v>
      </c>
      <c r="AT56" s="76"/>
      <c r="AU56" s="76">
        <v>0</v>
      </c>
      <c r="AV56" s="76"/>
      <c r="AW56" s="76" t="b">
        <v>0</v>
      </c>
      <c r="AX56" s="76" t="s">
        <v>1651</v>
      </c>
      <c r="AY56" s="82" t="str">
        <f>HYPERLINK("https://twitter.com/spm219")</f>
        <v>https://twitter.com/spm219</v>
      </c>
      <c r="AZ56" s="76" t="s">
        <v>65</v>
      </c>
      <c r="BA56" s="76" t="str">
        <f>REPLACE(INDEX(GroupVertices[Group],MATCH(Vertices[[#This Row],[Vertex]],GroupVertices[Vertex],0)),1,1,"")</f>
        <v>12</v>
      </c>
      <c r="BB56" s="45"/>
      <c r="BC56" s="46"/>
      <c r="BD56" s="45"/>
      <c r="BE56" s="46"/>
      <c r="BF56" s="45"/>
      <c r="BG56" s="46"/>
      <c r="BH56" s="45"/>
      <c r="BI56" s="46"/>
      <c r="BJ56" s="45"/>
      <c r="BK56" s="45"/>
      <c r="BL56" s="45"/>
      <c r="BM56" s="45"/>
      <c r="BN56" s="45"/>
      <c r="BO56" s="2"/>
    </row>
    <row r="57" spans="1:67" ht="15">
      <c r="A57" s="61" t="s">
        <v>401</v>
      </c>
      <c r="B57" s="62"/>
      <c r="C57" s="62"/>
      <c r="D57" s="63">
        <v>80</v>
      </c>
      <c r="E57" s="65"/>
      <c r="F57" s="100" t="str">
        <f>HYPERLINK("https://pbs.twimg.com/profile_images/1587606682167029760/VXpTrRRC_normal.jpg")</f>
        <v>https://pbs.twimg.com/profile_images/1587606682167029760/VXpTrRRC_normal.jpg</v>
      </c>
      <c r="G57" s="62"/>
      <c r="H57" s="66" t="s">
        <v>401</v>
      </c>
      <c r="I57" s="67"/>
      <c r="J57" s="67"/>
      <c r="K57" s="66" t="s">
        <v>401</v>
      </c>
      <c r="L57" s="70">
        <v>1</v>
      </c>
      <c r="M57" s="71">
        <v>2940.132080078125</v>
      </c>
      <c r="N57" s="71">
        <v>205.71922302246094</v>
      </c>
      <c r="O57" s="72"/>
      <c r="P57" s="73"/>
      <c r="Q57" s="73"/>
      <c r="R57" s="86"/>
      <c r="S57" s="45">
        <v>1</v>
      </c>
      <c r="T57" s="45">
        <v>0</v>
      </c>
      <c r="U57" s="46">
        <v>0</v>
      </c>
      <c r="V57" s="46">
        <v>0.009045</v>
      </c>
      <c r="W57" s="46">
        <v>0</v>
      </c>
      <c r="X57" s="46">
        <v>0.004565</v>
      </c>
      <c r="Y57" s="46">
        <v>0</v>
      </c>
      <c r="Z57" s="46">
        <v>0</v>
      </c>
      <c r="AA57" s="68">
        <v>57</v>
      </c>
      <c r="AB57" s="68"/>
      <c r="AC57" s="69"/>
      <c r="AD57" s="76" t="s">
        <v>1041</v>
      </c>
      <c r="AE57" s="85" t="s">
        <v>925</v>
      </c>
      <c r="AF57" s="76">
        <v>622</v>
      </c>
      <c r="AG57" s="76">
        <v>2438</v>
      </c>
      <c r="AH57" s="76">
        <v>7784</v>
      </c>
      <c r="AI57" s="76">
        <v>25385</v>
      </c>
      <c r="AJ57" s="76"/>
      <c r="AK57" s="76" t="s">
        <v>1403</v>
      </c>
      <c r="AL57" s="76" t="s">
        <v>1565</v>
      </c>
      <c r="AM57" s="76"/>
      <c r="AN57" s="76"/>
      <c r="AO57" s="78">
        <v>44654.23106481481</v>
      </c>
      <c r="AP57" s="82" t="str">
        <f>HYPERLINK("https://pbs.twimg.com/profile_banners/1510490371578822658/1648965416")</f>
        <v>https://pbs.twimg.com/profile_banners/1510490371578822658/1648965416</v>
      </c>
      <c r="AQ57" s="76" t="b">
        <v>1</v>
      </c>
      <c r="AR57" s="76" t="b">
        <v>0</v>
      </c>
      <c r="AS57" s="76" t="b">
        <v>0</v>
      </c>
      <c r="AT57" s="76"/>
      <c r="AU57" s="76">
        <v>5</v>
      </c>
      <c r="AV57" s="76"/>
      <c r="AW57" s="76" t="b">
        <v>0</v>
      </c>
      <c r="AX57" s="76" t="s">
        <v>1651</v>
      </c>
      <c r="AY57" s="82" t="str">
        <f>HYPERLINK("https://twitter.com/infideliter2022")</f>
        <v>https://twitter.com/infideliter2022</v>
      </c>
      <c r="AZ57" s="76" t="s">
        <v>65</v>
      </c>
      <c r="BA57" s="76" t="str">
        <f>REPLACE(INDEX(GroupVertices[Group],MATCH(Vertices[[#This Row],[Vertex]],GroupVertices[Vertex],0)),1,1,"")</f>
        <v>12</v>
      </c>
      <c r="BB57" s="45"/>
      <c r="BC57" s="46"/>
      <c r="BD57" s="45"/>
      <c r="BE57" s="46"/>
      <c r="BF57" s="45"/>
      <c r="BG57" s="46"/>
      <c r="BH57" s="45"/>
      <c r="BI57" s="46"/>
      <c r="BJ57" s="45"/>
      <c r="BK57" s="45"/>
      <c r="BL57" s="45"/>
      <c r="BM57" s="45"/>
      <c r="BN57" s="45"/>
      <c r="BO57" s="2"/>
    </row>
    <row r="58" spans="1:67" ht="15">
      <c r="A58" s="61" t="s">
        <v>282</v>
      </c>
      <c r="B58" s="62"/>
      <c r="C58" s="62"/>
      <c r="D58" s="63">
        <v>80</v>
      </c>
      <c r="E58" s="65"/>
      <c r="F58" s="100" t="str">
        <f>HYPERLINK("https://pbs.twimg.com/profile_images/1330322396298027009/ELRejnVW_normal.jpg")</f>
        <v>https://pbs.twimg.com/profile_images/1330322396298027009/ELRejnVW_normal.jpg</v>
      </c>
      <c r="G58" s="62"/>
      <c r="H58" s="66" t="s">
        <v>282</v>
      </c>
      <c r="I58" s="67"/>
      <c r="J58" s="67"/>
      <c r="K58" s="66" t="s">
        <v>282</v>
      </c>
      <c r="L58" s="70">
        <v>1</v>
      </c>
      <c r="M58" s="71">
        <v>2232.22900390625</v>
      </c>
      <c r="N58" s="71">
        <v>6619.04443359375</v>
      </c>
      <c r="O58" s="72"/>
      <c r="P58" s="73"/>
      <c r="Q58" s="73"/>
      <c r="R58" s="86"/>
      <c r="S58" s="45">
        <v>0</v>
      </c>
      <c r="T58" s="45">
        <v>2</v>
      </c>
      <c r="U58" s="46">
        <v>0</v>
      </c>
      <c r="V58" s="46">
        <v>0.038526</v>
      </c>
      <c r="W58" s="46">
        <v>0.000961</v>
      </c>
      <c r="X58" s="46">
        <v>0.004521</v>
      </c>
      <c r="Y58" s="46">
        <v>0.5</v>
      </c>
      <c r="Z58" s="46">
        <v>0</v>
      </c>
      <c r="AA58" s="68">
        <v>58</v>
      </c>
      <c r="AB58" s="68"/>
      <c r="AC58" s="69"/>
      <c r="AD58" s="76" t="s">
        <v>282</v>
      </c>
      <c r="AE58" s="85" t="s">
        <v>1230</v>
      </c>
      <c r="AF58" s="76">
        <v>5024</v>
      </c>
      <c r="AG58" s="76">
        <v>2827</v>
      </c>
      <c r="AH58" s="76">
        <v>74897</v>
      </c>
      <c r="AI58" s="76">
        <v>48167</v>
      </c>
      <c r="AJ58" s="76"/>
      <c r="AK58" s="76" t="s">
        <v>1404</v>
      </c>
      <c r="AL58" s="76" t="s">
        <v>1566</v>
      </c>
      <c r="AM58" s="76"/>
      <c r="AN58" s="76"/>
      <c r="AO58" s="78">
        <v>43798.34138888889</v>
      </c>
      <c r="AP58" s="82" t="str">
        <f>HYPERLINK("https://pbs.twimg.com/profile_banners/1200326345680539649/1589163317")</f>
        <v>https://pbs.twimg.com/profile_banners/1200326345680539649/1589163317</v>
      </c>
      <c r="AQ58" s="76" t="b">
        <v>1</v>
      </c>
      <c r="AR58" s="76" t="b">
        <v>0</v>
      </c>
      <c r="AS58" s="76" t="b">
        <v>0</v>
      </c>
      <c r="AT58" s="76"/>
      <c r="AU58" s="76">
        <v>7</v>
      </c>
      <c r="AV58" s="76"/>
      <c r="AW58" s="76" t="b">
        <v>0</v>
      </c>
      <c r="AX58" s="76" t="s">
        <v>1651</v>
      </c>
      <c r="AY58" s="82" t="str">
        <f>HYPERLINK("https://twitter.com/cjtjgeol")</f>
        <v>https://twitter.com/cjtjgeol</v>
      </c>
      <c r="AZ58" s="76" t="s">
        <v>66</v>
      </c>
      <c r="BA58" s="76" t="str">
        <f>REPLACE(INDEX(GroupVertices[Group],MATCH(Vertices[[#This Row],[Vertex]],GroupVertices[Vertex],0)),1,1,"")</f>
        <v>2</v>
      </c>
      <c r="BB58" s="45"/>
      <c r="BC58" s="46"/>
      <c r="BD58" s="45"/>
      <c r="BE58" s="46"/>
      <c r="BF58" s="45"/>
      <c r="BG58" s="46"/>
      <c r="BH58" s="45"/>
      <c r="BI58" s="46"/>
      <c r="BJ58" s="45"/>
      <c r="BK58" s="109" t="s">
        <v>916</v>
      </c>
      <c r="BL58" s="109" t="s">
        <v>916</v>
      </c>
      <c r="BM58" s="109" t="s">
        <v>916</v>
      </c>
      <c r="BN58" s="109" t="s">
        <v>916</v>
      </c>
      <c r="BO58" s="2"/>
    </row>
    <row r="59" spans="1:67" ht="15">
      <c r="A59" s="61" t="s">
        <v>299</v>
      </c>
      <c r="B59" s="62"/>
      <c r="C59" s="62"/>
      <c r="D59" s="63">
        <v>1000</v>
      </c>
      <c r="E59" s="65"/>
      <c r="F59" s="100" t="str">
        <f>HYPERLINK("https://pbs.twimg.com/profile_images/1590861229190307840/93ixPbuW_normal.jpg")</f>
        <v>https://pbs.twimg.com/profile_images/1590861229190307840/93ixPbuW_normal.jpg</v>
      </c>
      <c r="G59" s="62"/>
      <c r="H59" s="66" t="s">
        <v>299</v>
      </c>
      <c r="I59" s="67"/>
      <c r="J59" s="67"/>
      <c r="K59" s="66" t="s">
        <v>299</v>
      </c>
      <c r="L59" s="70">
        <v>6143.4494252873565</v>
      </c>
      <c r="M59" s="71">
        <v>3605.140380859375</v>
      </c>
      <c r="N59" s="71">
        <v>5974.72021484375</v>
      </c>
      <c r="O59" s="72"/>
      <c r="P59" s="73"/>
      <c r="Q59" s="73"/>
      <c r="R59" s="86"/>
      <c r="S59" s="45">
        <v>6</v>
      </c>
      <c r="T59" s="45">
        <v>3</v>
      </c>
      <c r="U59" s="46">
        <v>213.8</v>
      </c>
      <c r="V59" s="46">
        <v>0.052123</v>
      </c>
      <c r="W59" s="46">
        <v>0.003184</v>
      </c>
      <c r="X59" s="46">
        <v>0.006294</v>
      </c>
      <c r="Y59" s="46">
        <v>0.1388888888888889</v>
      </c>
      <c r="Z59" s="46">
        <v>0</v>
      </c>
      <c r="AA59" s="68">
        <v>59</v>
      </c>
      <c r="AB59" s="68"/>
      <c r="AC59" s="69"/>
      <c r="AD59" s="76" t="s">
        <v>1042</v>
      </c>
      <c r="AE59" s="85" t="s">
        <v>1231</v>
      </c>
      <c r="AF59" s="76">
        <v>2474</v>
      </c>
      <c r="AG59" s="76">
        <v>4597</v>
      </c>
      <c r="AH59" s="76">
        <v>26122</v>
      </c>
      <c r="AI59" s="76">
        <v>127200</v>
      </c>
      <c r="AJ59" s="76"/>
      <c r="AK59" s="76" t="s">
        <v>1405</v>
      </c>
      <c r="AL59" s="76" t="s">
        <v>1567</v>
      </c>
      <c r="AM59" s="76"/>
      <c r="AN59" s="76"/>
      <c r="AO59" s="78">
        <v>40815.00163194445</v>
      </c>
      <c r="AP59" s="82" t="str">
        <f>HYPERLINK("https://pbs.twimg.com/profile_banners/381809023/1562164295")</f>
        <v>https://pbs.twimg.com/profile_banners/381809023/1562164295</v>
      </c>
      <c r="AQ59" s="76" t="b">
        <v>1</v>
      </c>
      <c r="AR59" s="76" t="b">
        <v>0</v>
      </c>
      <c r="AS59" s="76" t="b">
        <v>1</v>
      </c>
      <c r="AT59" s="76"/>
      <c r="AU59" s="76">
        <v>54</v>
      </c>
      <c r="AV59" s="82" t="str">
        <f>HYPERLINK("https://abs.twimg.com/images/themes/theme1/bg.png")</f>
        <v>https://abs.twimg.com/images/themes/theme1/bg.png</v>
      </c>
      <c r="AW59" s="76" t="b">
        <v>0</v>
      </c>
      <c r="AX59" s="76" t="s">
        <v>1651</v>
      </c>
      <c r="AY59" s="82" t="str">
        <f>HYPERLINK("https://twitter.com/medbennett")</f>
        <v>https://twitter.com/medbennett</v>
      </c>
      <c r="AZ59" s="76" t="s">
        <v>66</v>
      </c>
      <c r="BA59" s="76" t="str">
        <f>REPLACE(INDEX(GroupVertices[Group],MATCH(Vertices[[#This Row],[Vertex]],GroupVertices[Vertex],0)),1,1,"")</f>
        <v>2</v>
      </c>
      <c r="BB59" s="45"/>
      <c r="BC59" s="46"/>
      <c r="BD59" s="45"/>
      <c r="BE59" s="46"/>
      <c r="BF59" s="45"/>
      <c r="BG59" s="46"/>
      <c r="BH59" s="45"/>
      <c r="BI59" s="46"/>
      <c r="BJ59" s="45"/>
      <c r="BK59" s="109" t="s">
        <v>916</v>
      </c>
      <c r="BL59" s="109" t="s">
        <v>916</v>
      </c>
      <c r="BM59" s="109" t="s">
        <v>916</v>
      </c>
      <c r="BN59" s="109" t="s">
        <v>916</v>
      </c>
      <c r="BO59" s="2"/>
    </row>
    <row r="60" spans="1:67" ht="15">
      <c r="A60" s="61" t="s">
        <v>283</v>
      </c>
      <c r="B60" s="62"/>
      <c r="C60" s="62"/>
      <c r="D60" s="63">
        <v>184.54545454545456</v>
      </c>
      <c r="E60" s="65"/>
      <c r="F60" s="100" t="str">
        <f>HYPERLINK("https://pbs.twimg.com/profile_images/1525494225726541826/heUrKdPu_normal.jpg")</f>
        <v>https://pbs.twimg.com/profile_images/1525494225726541826/heUrKdPu_normal.jpg</v>
      </c>
      <c r="G60" s="62"/>
      <c r="H60" s="66" t="s">
        <v>283</v>
      </c>
      <c r="I60" s="67"/>
      <c r="J60" s="67"/>
      <c r="K60" s="66" t="s">
        <v>283</v>
      </c>
      <c r="L60" s="70">
        <v>144.6494252873563</v>
      </c>
      <c r="M60" s="71">
        <v>3196.212158203125</v>
      </c>
      <c r="N60" s="71">
        <v>6402.48193359375</v>
      </c>
      <c r="O60" s="72"/>
      <c r="P60" s="73"/>
      <c r="Q60" s="73"/>
      <c r="R60" s="86"/>
      <c r="S60" s="45">
        <v>1</v>
      </c>
      <c r="T60" s="45">
        <v>2</v>
      </c>
      <c r="U60" s="46">
        <v>5</v>
      </c>
      <c r="V60" s="46">
        <v>0.018941</v>
      </c>
      <c r="W60" s="46">
        <v>0</v>
      </c>
      <c r="X60" s="46">
        <v>0.005067</v>
      </c>
      <c r="Y60" s="46">
        <v>0.3333333333333333</v>
      </c>
      <c r="Z60" s="46">
        <v>0</v>
      </c>
      <c r="AA60" s="68">
        <v>60</v>
      </c>
      <c r="AB60" s="68"/>
      <c r="AC60" s="69"/>
      <c r="AD60" s="76" t="s">
        <v>1043</v>
      </c>
      <c r="AE60" s="85" t="s">
        <v>1232</v>
      </c>
      <c r="AF60" s="76">
        <v>570</v>
      </c>
      <c r="AG60" s="76">
        <v>739</v>
      </c>
      <c r="AH60" s="76">
        <v>13537</v>
      </c>
      <c r="AI60" s="76">
        <v>9744</v>
      </c>
      <c r="AJ60" s="76"/>
      <c r="AK60" s="76" t="s">
        <v>1406</v>
      </c>
      <c r="AL60" s="76"/>
      <c r="AM60" s="76"/>
      <c r="AN60" s="76"/>
      <c r="AO60" s="78">
        <v>40384.69917824074</v>
      </c>
      <c r="AP60" s="82" t="str">
        <f>HYPERLINK("https://pbs.twimg.com/profile_banners/170740170/1570995048")</f>
        <v>https://pbs.twimg.com/profile_banners/170740170/1570995048</v>
      </c>
      <c r="AQ60" s="76" t="b">
        <v>1</v>
      </c>
      <c r="AR60" s="76" t="b">
        <v>0</v>
      </c>
      <c r="AS60" s="76" t="b">
        <v>0</v>
      </c>
      <c r="AT60" s="76"/>
      <c r="AU60" s="76">
        <v>8</v>
      </c>
      <c r="AV60" s="82" t="str">
        <f>HYPERLINK("https://abs.twimg.com/images/themes/theme1/bg.png")</f>
        <v>https://abs.twimg.com/images/themes/theme1/bg.png</v>
      </c>
      <c r="AW60" s="76" t="b">
        <v>0</v>
      </c>
      <c r="AX60" s="76" t="s">
        <v>1651</v>
      </c>
      <c r="AY60" s="82" t="str">
        <f>HYPERLINK("https://twitter.com/geofrec")</f>
        <v>https://twitter.com/geofrec</v>
      </c>
      <c r="AZ60" s="76" t="s">
        <v>66</v>
      </c>
      <c r="BA60" s="76" t="str">
        <f>REPLACE(INDEX(GroupVertices[Group],MATCH(Vertices[[#This Row],[Vertex]],GroupVertices[Vertex],0)),1,1,"")</f>
        <v>4</v>
      </c>
      <c r="BB60" s="45"/>
      <c r="BC60" s="46"/>
      <c r="BD60" s="45"/>
      <c r="BE60" s="46"/>
      <c r="BF60" s="45"/>
      <c r="BG60" s="46"/>
      <c r="BH60" s="45"/>
      <c r="BI60" s="46"/>
      <c r="BJ60" s="45"/>
      <c r="BK60" s="109" t="s">
        <v>916</v>
      </c>
      <c r="BL60" s="109" t="s">
        <v>916</v>
      </c>
      <c r="BM60" s="109" t="s">
        <v>916</v>
      </c>
      <c r="BN60" s="109" t="s">
        <v>916</v>
      </c>
      <c r="BO60" s="2"/>
    </row>
    <row r="61" spans="1:67" ht="15">
      <c r="A61" s="61" t="s">
        <v>402</v>
      </c>
      <c r="B61" s="62"/>
      <c r="C61" s="62"/>
      <c r="D61" s="63">
        <v>80</v>
      </c>
      <c r="E61" s="65"/>
      <c r="F61" s="100" t="str">
        <f>HYPERLINK("https://pbs.twimg.com/profile_images/1109510451266764800/kdHneMs__normal.jpg")</f>
        <v>https://pbs.twimg.com/profile_images/1109510451266764800/kdHneMs__normal.jpg</v>
      </c>
      <c r="G61" s="62"/>
      <c r="H61" s="66" t="s">
        <v>402</v>
      </c>
      <c r="I61" s="67"/>
      <c r="J61" s="67"/>
      <c r="K61" s="66" t="s">
        <v>402</v>
      </c>
      <c r="L61" s="70">
        <v>1</v>
      </c>
      <c r="M61" s="71">
        <v>2868.0302734375</v>
      </c>
      <c r="N61" s="71">
        <v>7776.404296875</v>
      </c>
      <c r="O61" s="72"/>
      <c r="P61" s="73"/>
      <c r="Q61" s="73"/>
      <c r="R61" s="86"/>
      <c r="S61" s="45">
        <v>2</v>
      </c>
      <c r="T61" s="45">
        <v>0</v>
      </c>
      <c r="U61" s="46">
        <v>0</v>
      </c>
      <c r="V61" s="46">
        <v>0.01368</v>
      </c>
      <c r="W61" s="46">
        <v>0</v>
      </c>
      <c r="X61" s="46">
        <v>0.004757</v>
      </c>
      <c r="Y61" s="46">
        <v>0.5</v>
      </c>
      <c r="Z61" s="46">
        <v>0</v>
      </c>
      <c r="AA61" s="68">
        <v>61</v>
      </c>
      <c r="AB61" s="68"/>
      <c r="AC61" s="69"/>
      <c r="AD61" s="76" t="s">
        <v>1044</v>
      </c>
      <c r="AE61" s="85" t="s">
        <v>1233</v>
      </c>
      <c r="AF61" s="76">
        <v>5004</v>
      </c>
      <c r="AG61" s="76">
        <v>3978</v>
      </c>
      <c r="AH61" s="76">
        <v>128178</v>
      </c>
      <c r="AI61" s="76">
        <v>636031</v>
      </c>
      <c r="AJ61" s="76"/>
      <c r="AK61" s="76" t="s">
        <v>1407</v>
      </c>
      <c r="AL61" s="76" t="s">
        <v>1568</v>
      </c>
      <c r="AM61" s="76"/>
      <c r="AN61" s="76"/>
      <c r="AO61" s="78">
        <v>39909.512037037035</v>
      </c>
      <c r="AP61" s="82" t="str">
        <f>HYPERLINK("https://pbs.twimg.com/profile_banners/29188599/1487847605")</f>
        <v>https://pbs.twimg.com/profile_banners/29188599/1487847605</v>
      </c>
      <c r="AQ61" s="76" t="b">
        <v>0</v>
      </c>
      <c r="AR61" s="76" t="b">
        <v>0</v>
      </c>
      <c r="AS61" s="76" t="b">
        <v>0</v>
      </c>
      <c r="AT61" s="76"/>
      <c r="AU61" s="76">
        <v>30</v>
      </c>
      <c r="AV61" s="82" t="str">
        <f>HYPERLINK("https://abs.twimg.com/images/themes/theme3/bg.gif")</f>
        <v>https://abs.twimg.com/images/themes/theme3/bg.gif</v>
      </c>
      <c r="AW61" s="76" t="b">
        <v>0</v>
      </c>
      <c r="AX61" s="76" t="s">
        <v>1651</v>
      </c>
      <c r="AY61" s="82" t="str">
        <f>HYPERLINK("https://twitter.com/venicelaura")</f>
        <v>https://twitter.com/venicelaura</v>
      </c>
      <c r="AZ61" s="76" t="s">
        <v>65</v>
      </c>
      <c r="BA61" s="76" t="str">
        <f>REPLACE(INDEX(GroupVertices[Group],MATCH(Vertices[[#This Row],[Vertex]],GroupVertices[Vertex],0)),1,1,"")</f>
        <v>4</v>
      </c>
      <c r="BB61" s="45"/>
      <c r="BC61" s="46"/>
      <c r="BD61" s="45"/>
      <c r="BE61" s="46"/>
      <c r="BF61" s="45"/>
      <c r="BG61" s="46"/>
      <c r="BH61" s="45"/>
      <c r="BI61" s="46"/>
      <c r="BJ61" s="45"/>
      <c r="BK61" s="45"/>
      <c r="BL61" s="45"/>
      <c r="BM61" s="45"/>
      <c r="BN61" s="45"/>
      <c r="BO61" s="2"/>
    </row>
    <row r="62" spans="1:67" ht="15">
      <c r="A62" s="61" t="s">
        <v>284</v>
      </c>
      <c r="B62" s="62"/>
      <c r="C62" s="62"/>
      <c r="D62" s="63">
        <v>184.54545454545456</v>
      </c>
      <c r="E62" s="65"/>
      <c r="F62" s="100" t="str">
        <f>HYPERLINK("https://pbs.twimg.com/profile_images/1154122977878978560/RhlaYGak_normal.jpg")</f>
        <v>https://pbs.twimg.com/profile_images/1154122977878978560/RhlaYGak_normal.jpg</v>
      </c>
      <c r="G62" s="62"/>
      <c r="H62" s="66" t="s">
        <v>284</v>
      </c>
      <c r="I62" s="67"/>
      <c r="J62" s="67"/>
      <c r="K62" s="66" t="s">
        <v>284</v>
      </c>
      <c r="L62" s="70">
        <v>144.6494252873563</v>
      </c>
      <c r="M62" s="71">
        <v>3974.159912109375</v>
      </c>
      <c r="N62" s="71">
        <v>6964.4560546875</v>
      </c>
      <c r="O62" s="72"/>
      <c r="P62" s="73"/>
      <c r="Q62" s="73"/>
      <c r="R62" s="86"/>
      <c r="S62" s="45">
        <v>0</v>
      </c>
      <c r="T62" s="45">
        <v>3</v>
      </c>
      <c r="U62" s="46">
        <v>5</v>
      </c>
      <c r="V62" s="46">
        <v>0.018941</v>
      </c>
      <c r="W62" s="46">
        <v>0</v>
      </c>
      <c r="X62" s="46">
        <v>0.005067</v>
      </c>
      <c r="Y62" s="46">
        <v>0.3333333333333333</v>
      </c>
      <c r="Z62" s="46">
        <v>0</v>
      </c>
      <c r="AA62" s="68">
        <v>62</v>
      </c>
      <c r="AB62" s="68"/>
      <c r="AC62" s="69"/>
      <c r="AD62" s="76" t="s">
        <v>1045</v>
      </c>
      <c r="AE62" s="85" t="s">
        <v>1234</v>
      </c>
      <c r="AF62" s="76">
        <v>1127</v>
      </c>
      <c r="AG62" s="76">
        <v>179</v>
      </c>
      <c r="AH62" s="76">
        <v>40494</v>
      </c>
      <c r="AI62" s="76">
        <v>70184</v>
      </c>
      <c r="AJ62" s="76"/>
      <c r="AK62" s="76" t="s">
        <v>1408</v>
      </c>
      <c r="AL62" s="76"/>
      <c r="AM62" s="82" t="str">
        <f>HYPERLINK("https://t.co/r4IDytKfXw")</f>
        <v>https://t.co/r4IDytKfXw</v>
      </c>
      <c r="AN62" s="76"/>
      <c r="AO62" s="78">
        <v>43670.80954861111</v>
      </c>
      <c r="AP62" s="82" t="str">
        <f>HYPERLINK("https://pbs.twimg.com/profile_banners/1154110436918407168/1563996490")</f>
        <v>https://pbs.twimg.com/profile_banners/1154110436918407168/1563996490</v>
      </c>
      <c r="AQ62" s="76" t="b">
        <v>1</v>
      </c>
      <c r="AR62" s="76" t="b">
        <v>0</v>
      </c>
      <c r="AS62" s="76" t="b">
        <v>1</v>
      </c>
      <c r="AT62" s="76"/>
      <c r="AU62" s="76">
        <v>1</v>
      </c>
      <c r="AV62" s="76"/>
      <c r="AW62" s="76" t="b">
        <v>0</v>
      </c>
      <c r="AX62" s="76" t="s">
        <v>1651</v>
      </c>
      <c r="AY62" s="82" t="str">
        <f>HYPERLINK("https://twitter.com/synthicyde")</f>
        <v>https://twitter.com/synthicyde</v>
      </c>
      <c r="AZ62" s="76" t="s">
        <v>66</v>
      </c>
      <c r="BA62" s="76" t="str">
        <f>REPLACE(INDEX(GroupVertices[Group],MATCH(Vertices[[#This Row],[Vertex]],GroupVertices[Vertex],0)),1,1,"")</f>
        <v>4</v>
      </c>
      <c r="BB62" s="45"/>
      <c r="BC62" s="46"/>
      <c r="BD62" s="45"/>
      <c r="BE62" s="46"/>
      <c r="BF62" s="45"/>
      <c r="BG62" s="46"/>
      <c r="BH62" s="45"/>
      <c r="BI62" s="46"/>
      <c r="BJ62" s="45"/>
      <c r="BK62" s="109" t="s">
        <v>916</v>
      </c>
      <c r="BL62" s="109" t="s">
        <v>916</v>
      </c>
      <c r="BM62" s="109" t="s">
        <v>916</v>
      </c>
      <c r="BN62" s="109" t="s">
        <v>916</v>
      </c>
      <c r="BO62" s="2"/>
    </row>
    <row r="63" spans="1:67" ht="15">
      <c r="A63" s="61" t="s">
        <v>285</v>
      </c>
      <c r="B63" s="62"/>
      <c r="C63" s="62"/>
      <c r="D63" s="63">
        <v>80</v>
      </c>
      <c r="E63" s="65"/>
      <c r="F63" s="100" t="str">
        <f>HYPERLINK("https://pbs.twimg.com/profile_images/1523230053131337729/0mXZ_0Xe_normal.jpg")</f>
        <v>https://pbs.twimg.com/profile_images/1523230053131337729/0mXZ_0Xe_normal.jpg</v>
      </c>
      <c r="G63" s="62"/>
      <c r="H63" s="66" t="s">
        <v>285</v>
      </c>
      <c r="I63" s="67"/>
      <c r="J63" s="67"/>
      <c r="K63" s="66" t="s">
        <v>285</v>
      </c>
      <c r="L63" s="70">
        <v>1</v>
      </c>
      <c r="M63" s="71">
        <v>2449.54443359375</v>
      </c>
      <c r="N63" s="71">
        <v>5846.2041015625</v>
      </c>
      <c r="O63" s="72"/>
      <c r="P63" s="73"/>
      <c r="Q63" s="73"/>
      <c r="R63" s="86"/>
      <c r="S63" s="45">
        <v>0</v>
      </c>
      <c r="T63" s="45">
        <v>2</v>
      </c>
      <c r="U63" s="46">
        <v>0</v>
      </c>
      <c r="V63" s="46">
        <v>0.038526</v>
      </c>
      <c r="W63" s="46">
        <v>0.000961</v>
      </c>
      <c r="X63" s="46">
        <v>0.004521</v>
      </c>
      <c r="Y63" s="46">
        <v>0.5</v>
      </c>
      <c r="Z63" s="46">
        <v>0</v>
      </c>
      <c r="AA63" s="68">
        <v>63</v>
      </c>
      <c r="AB63" s="68"/>
      <c r="AC63" s="69"/>
      <c r="AD63" s="76" t="s">
        <v>1046</v>
      </c>
      <c r="AE63" s="85" t="s">
        <v>1235</v>
      </c>
      <c r="AF63" s="76">
        <v>269</v>
      </c>
      <c r="AG63" s="76">
        <v>2526</v>
      </c>
      <c r="AH63" s="76">
        <v>8305</v>
      </c>
      <c r="AI63" s="76">
        <v>17794</v>
      </c>
      <c r="AJ63" s="76"/>
      <c r="AK63" s="76" t="s">
        <v>1409</v>
      </c>
      <c r="AL63" s="76" t="s">
        <v>1569</v>
      </c>
      <c r="AM63" s="76"/>
      <c r="AN63" s="76"/>
      <c r="AO63" s="78">
        <v>44471.69547453704</v>
      </c>
      <c r="AP63" s="76"/>
      <c r="AQ63" s="76" t="b">
        <v>1</v>
      </c>
      <c r="AR63" s="76" t="b">
        <v>0</v>
      </c>
      <c r="AS63" s="76" t="b">
        <v>0</v>
      </c>
      <c r="AT63" s="76"/>
      <c r="AU63" s="76">
        <v>50</v>
      </c>
      <c r="AV63" s="76"/>
      <c r="AW63" s="76" t="b">
        <v>0</v>
      </c>
      <c r="AX63" s="76" t="s">
        <v>1651</v>
      </c>
      <c r="AY63" s="82" t="str">
        <f>HYPERLINK("https://twitter.com/michael71718318")</f>
        <v>https://twitter.com/michael71718318</v>
      </c>
      <c r="AZ63" s="76" t="s">
        <v>66</v>
      </c>
      <c r="BA63" s="76" t="str">
        <f>REPLACE(INDEX(GroupVertices[Group],MATCH(Vertices[[#This Row],[Vertex]],GroupVertices[Vertex],0)),1,1,"")</f>
        <v>2</v>
      </c>
      <c r="BB63" s="45"/>
      <c r="BC63" s="46"/>
      <c r="BD63" s="45"/>
      <c r="BE63" s="46"/>
      <c r="BF63" s="45"/>
      <c r="BG63" s="46"/>
      <c r="BH63" s="45"/>
      <c r="BI63" s="46"/>
      <c r="BJ63" s="45"/>
      <c r="BK63" s="109" t="s">
        <v>916</v>
      </c>
      <c r="BL63" s="109" t="s">
        <v>916</v>
      </c>
      <c r="BM63" s="109" t="s">
        <v>916</v>
      </c>
      <c r="BN63" s="109" t="s">
        <v>916</v>
      </c>
      <c r="BO63" s="2"/>
    </row>
    <row r="64" spans="1:67" ht="15">
      <c r="A64" s="61" t="s">
        <v>287</v>
      </c>
      <c r="B64" s="62"/>
      <c r="C64" s="62"/>
      <c r="D64" s="63">
        <v>80</v>
      </c>
      <c r="E64" s="65"/>
      <c r="F64" s="100" t="str">
        <f>HYPERLINK("https://pbs.twimg.com/profile_images/1164676837198503936/iUSH_uBA_normal.jpg")</f>
        <v>https://pbs.twimg.com/profile_images/1164676837198503936/iUSH_uBA_normal.jpg</v>
      </c>
      <c r="G64" s="62"/>
      <c r="H64" s="66" t="s">
        <v>287</v>
      </c>
      <c r="I64" s="67"/>
      <c r="J64" s="67"/>
      <c r="K64" s="66" t="s">
        <v>287</v>
      </c>
      <c r="L64" s="70">
        <v>1</v>
      </c>
      <c r="M64" s="71">
        <v>4929.740234375</v>
      </c>
      <c r="N64" s="71">
        <v>4352.34814453125</v>
      </c>
      <c r="O64" s="72"/>
      <c r="P64" s="73"/>
      <c r="Q64" s="73"/>
      <c r="R64" s="86"/>
      <c r="S64" s="45">
        <v>0</v>
      </c>
      <c r="T64" s="45">
        <v>1</v>
      </c>
      <c r="U64" s="46">
        <v>0</v>
      </c>
      <c r="V64" s="46">
        <v>0.041498</v>
      </c>
      <c r="W64" s="46">
        <v>9.6E-05</v>
      </c>
      <c r="X64" s="46">
        <v>0.004381</v>
      </c>
      <c r="Y64" s="46">
        <v>0</v>
      </c>
      <c r="Z64" s="46">
        <v>0</v>
      </c>
      <c r="AA64" s="68">
        <v>64</v>
      </c>
      <c r="AB64" s="68"/>
      <c r="AC64" s="69"/>
      <c r="AD64" s="76" t="s">
        <v>1047</v>
      </c>
      <c r="AE64" s="85" t="s">
        <v>1236</v>
      </c>
      <c r="AF64" s="76">
        <v>429</v>
      </c>
      <c r="AG64" s="76">
        <v>6216</v>
      </c>
      <c r="AH64" s="76">
        <v>1926</v>
      </c>
      <c r="AI64" s="76">
        <v>7530</v>
      </c>
      <c r="AJ64" s="76"/>
      <c r="AK64" s="76" t="s">
        <v>1410</v>
      </c>
      <c r="AL64" s="76" t="s">
        <v>1570</v>
      </c>
      <c r="AM64" s="82" t="str">
        <f>HYPERLINK("https://t.co/gDoRxd6tOz")</f>
        <v>https://t.co/gDoRxd6tOz</v>
      </c>
      <c r="AN64" s="76"/>
      <c r="AO64" s="78">
        <v>42971.10554398148</v>
      </c>
      <c r="AP64" s="82" t="str">
        <f>HYPERLINK("https://pbs.twimg.com/profile_banners/900546195252289537/1572443985")</f>
        <v>https://pbs.twimg.com/profile_banners/900546195252289537/1572443985</v>
      </c>
      <c r="AQ64" s="76" t="b">
        <v>0</v>
      </c>
      <c r="AR64" s="76" t="b">
        <v>0</v>
      </c>
      <c r="AS64" s="76" t="b">
        <v>0</v>
      </c>
      <c r="AT64" s="76"/>
      <c r="AU64" s="76">
        <v>176</v>
      </c>
      <c r="AV64" s="82" t="str">
        <f>HYPERLINK("https://abs.twimg.com/images/themes/theme1/bg.png")</f>
        <v>https://abs.twimg.com/images/themes/theme1/bg.png</v>
      </c>
      <c r="AW64" s="76" t="b">
        <v>0</v>
      </c>
      <c r="AX64" s="76" t="s">
        <v>1651</v>
      </c>
      <c r="AY64" s="82" t="str">
        <f>HYPERLINK("https://twitter.com/coles_nicholas_")</f>
        <v>https://twitter.com/coles_nicholas_</v>
      </c>
      <c r="AZ64" s="76" t="s">
        <v>66</v>
      </c>
      <c r="BA64" s="76" t="str">
        <f>REPLACE(INDEX(GroupVertices[Group],MATCH(Vertices[[#This Row],[Vertex]],GroupVertices[Vertex],0)),1,1,"")</f>
        <v>1</v>
      </c>
      <c r="BB64" s="45"/>
      <c r="BC64" s="46"/>
      <c r="BD64" s="45"/>
      <c r="BE64" s="46"/>
      <c r="BF64" s="45"/>
      <c r="BG64" s="46"/>
      <c r="BH64" s="45"/>
      <c r="BI64" s="46"/>
      <c r="BJ64" s="45"/>
      <c r="BK64" s="109" t="s">
        <v>916</v>
      </c>
      <c r="BL64" s="109" t="s">
        <v>916</v>
      </c>
      <c r="BM64" s="109" t="s">
        <v>916</v>
      </c>
      <c r="BN64" s="109" t="s">
        <v>916</v>
      </c>
      <c r="BO64" s="2"/>
    </row>
    <row r="65" spans="1:67" ht="15">
      <c r="A65" s="61" t="s">
        <v>288</v>
      </c>
      <c r="B65" s="62"/>
      <c r="C65" s="62"/>
      <c r="D65" s="63">
        <v>80</v>
      </c>
      <c r="E65" s="65"/>
      <c r="F65" s="100" t="str">
        <f>HYPERLINK("https://pbs.twimg.com/profile_images/1478390248350564353/Pm31FWJN_normal.jpg")</f>
        <v>https://pbs.twimg.com/profile_images/1478390248350564353/Pm31FWJN_normal.jpg</v>
      </c>
      <c r="G65" s="62"/>
      <c r="H65" s="66" t="s">
        <v>288</v>
      </c>
      <c r="I65" s="67"/>
      <c r="J65" s="67"/>
      <c r="K65" s="66" t="s">
        <v>288</v>
      </c>
      <c r="L65" s="70">
        <v>1</v>
      </c>
      <c r="M65" s="71">
        <v>2659.240478515625</v>
      </c>
      <c r="N65" s="71">
        <v>3600.253173828125</v>
      </c>
      <c r="O65" s="72"/>
      <c r="P65" s="73"/>
      <c r="Q65" s="73"/>
      <c r="R65" s="86"/>
      <c r="S65" s="45">
        <v>0</v>
      </c>
      <c r="T65" s="45">
        <v>1</v>
      </c>
      <c r="U65" s="46">
        <v>0</v>
      </c>
      <c r="V65" s="46">
        <v>0.009045</v>
      </c>
      <c r="W65" s="46">
        <v>0</v>
      </c>
      <c r="X65" s="46">
        <v>0.004494</v>
      </c>
      <c r="Y65" s="46">
        <v>0</v>
      </c>
      <c r="Z65" s="46">
        <v>0</v>
      </c>
      <c r="AA65" s="68">
        <v>65</v>
      </c>
      <c r="AB65" s="68"/>
      <c r="AC65" s="69"/>
      <c r="AD65" s="76" t="s">
        <v>1048</v>
      </c>
      <c r="AE65" s="85" t="s">
        <v>1237</v>
      </c>
      <c r="AF65" s="76">
        <v>163</v>
      </c>
      <c r="AG65" s="76">
        <v>139</v>
      </c>
      <c r="AH65" s="76">
        <v>448</v>
      </c>
      <c r="AI65" s="76">
        <v>2913</v>
      </c>
      <c r="AJ65" s="76"/>
      <c r="AK65" s="76"/>
      <c r="AL65" s="76" t="s">
        <v>1571</v>
      </c>
      <c r="AM65" s="76"/>
      <c r="AN65" s="76"/>
      <c r="AO65" s="78">
        <v>42423.72802083333</v>
      </c>
      <c r="AP65" s="82" t="str">
        <f>HYPERLINK("https://pbs.twimg.com/profile_banners/702183223388987392/1596405003")</f>
        <v>https://pbs.twimg.com/profile_banners/702183223388987392/1596405003</v>
      </c>
      <c r="AQ65" s="76" t="b">
        <v>0</v>
      </c>
      <c r="AR65" s="76" t="b">
        <v>0</v>
      </c>
      <c r="AS65" s="76" t="b">
        <v>0</v>
      </c>
      <c r="AT65" s="76"/>
      <c r="AU65" s="76">
        <v>3</v>
      </c>
      <c r="AV65" s="82" t="str">
        <f>HYPERLINK("https://abs.twimg.com/images/themes/theme1/bg.png")</f>
        <v>https://abs.twimg.com/images/themes/theme1/bg.png</v>
      </c>
      <c r="AW65" s="76" t="b">
        <v>0</v>
      </c>
      <c r="AX65" s="76" t="s">
        <v>1651</v>
      </c>
      <c r="AY65" s="82" t="str">
        <f>HYPERLINK("https://twitter.com/bioscript21")</f>
        <v>https://twitter.com/bioscript21</v>
      </c>
      <c r="AZ65" s="76" t="s">
        <v>66</v>
      </c>
      <c r="BA65" s="76" t="str">
        <f>REPLACE(INDEX(GroupVertices[Group],MATCH(Vertices[[#This Row],[Vertex]],GroupVertices[Vertex],0)),1,1,"")</f>
        <v>9</v>
      </c>
      <c r="BB65" s="45"/>
      <c r="BC65" s="46"/>
      <c r="BD65" s="45"/>
      <c r="BE65" s="46"/>
      <c r="BF65" s="45"/>
      <c r="BG65" s="46"/>
      <c r="BH65" s="45"/>
      <c r="BI65" s="46"/>
      <c r="BJ65" s="45"/>
      <c r="BK65" s="109" t="s">
        <v>916</v>
      </c>
      <c r="BL65" s="109" t="s">
        <v>916</v>
      </c>
      <c r="BM65" s="109" t="s">
        <v>916</v>
      </c>
      <c r="BN65" s="109" t="s">
        <v>916</v>
      </c>
      <c r="BO65" s="2"/>
    </row>
    <row r="66" spans="1:67" ht="15">
      <c r="A66" s="61" t="s">
        <v>349</v>
      </c>
      <c r="B66" s="62"/>
      <c r="C66" s="62"/>
      <c r="D66" s="63">
        <v>205.45454545454544</v>
      </c>
      <c r="E66" s="65"/>
      <c r="F66" s="100" t="str">
        <f>HYPERLINK("https://pbs.twimg.com/profile_images/989066461435097088/AQZSFyuk_normal.jpg")</f>
        <v>https://pbs.twimg.com/profile_images/989066461435097088/AQZSFyuk_normal.jpg</v>
      </c>
      <c r="G66" s="62"/>
      <c r="H66" s="66" t="s">
        <v>349</v>
      </c>
      <c r="I66" s="67"/>
      <c r="J66" s="67"/>
      <c r="K66" s="66" t="s">
        <v>349</v>
      </c>
      <c r="L66" s="70">
        <v>173.3793103448276</v>
      </c>
      <c r="M66" s="71">
        <v>3665.76806640625</v>
      </c>
      <c r="N66" s="71">
        <v>2670.4541015625</v>
      </c>
      <c r="O66" s="72"/>
      <c r="P66" s="73"/>
      <c r="Q66" s="73"/>
      <c r="R66" s="86"/>
      <c r="S66" s="45">
        <v>4</v>
      </c>
      <c r="T66" s="45">
        <v>1</v>
      </c>
      <c r="U66" s="46">
        <v>6</v>
      </c>
      <c r="V66" s="46">
        <v>0.015075</v>
      </c>
      <c r="W66" s="46">
        <v>0</v>
      </c>
      <c r="X66" s="46">
        <v>0.006517</v>
      </c>
      <c r="Y66" s="46">
        <v>0</v>
      </c>
      <c r="Z66" s="46">
        <v>0</v>
      </c>
      <c r="AA66" s="68">
        <v>66</v>
      </c>
      <c r="AB66" s="68"/>
      <c r="AC66" s="69"/>
      <c r="AD66" s="76" t="s">
        <v>1049</v>
      </c>
      <c r="AE66" s="85" t="s">
        <v>1238</v>
      </c>
      <c r="AF66" s="76">
        <v>16303</v>
      </c>
      <c r="AG66" s="76">
        <v>32559</v>
      </c>
      <c r="AH66" s="76">
        <v>271480</v>
      </c>
      <c r="AI66" s="76">
        <v>218</v>
      </c>
      <c r="AJ66" s="76"/>
      <c r="AK66" s="76" t="s">
        <v>1411</v>
      </c>
      <c r="AL66" s="76"/>
      <c r="AM66" s="76"/>
      <c r="AN66" s="76"/>
      <c r="AO66" s="78">
        <v>42735.50971064815</v>
      </c>
      <c r="AP66" s="82" t="str">
        <f>HYPERLINK("https://pbs.twimg.com/profile_banners/815169124322201600/1524646304")</f>
        <v>https://pbs.twimg.com/profile_banners/815169124322201600/1524646304</v>
      </c>
      <c r="AQ66" s="76" t="b">
        <v>0</v>
      </c>
      <c r="AR66" s="76" t="b">
        <v>0</v>
      </c>
      <c r="AS66" s="76" t="b">
        <v>0</v>
      </c>
      <c r="AT66" s="76"/>
      <c r="AU66" s="76">
        <v>551</v>
      </c>
      <c r="AV66" s="82" t="str">
        <f>HYPERLINK("https://abs.twimg.com/images/themes/theme1/bg.png")</f>
        <v>https://abs.twimg.com/images/themes/theme1/bg.png</v>
      </c>
      <c r="AW66" s="76" t="b">
        <v>0</v>
      </c>
      <c r="AX66" s="76" t="s">
        <v>1651</v>
      </c>
      <c r="AY66" s="82" t="str">
        <f>HYPERLINK("https://twitter.com/datascience__")</f>
        <v>https://twitter.com/datascience__</v>
      </c>
      <c r="AZ66" s="76" t="s">
        <v>66</v>
      </c>
      <c r="BA66" s="76" t="str">
        <f>REPLACE(INDEX(GroupVertices[Group],MATCH(Vertices[[#This Row],[Vertex]],GroupVertices[Vertex],0)),1,1,"")</f>
        <v>9</v>
      </c>
      <c r="BB66" s="45"/>
      <c r="BC66" s="46"/>
      <c r="BD66" s="45"/>
      <c r="BE66" s="46"/>
      <c r="BF66" s="45"/>
      <c r="BG66" s="46"/>
      <c r="BH66" s="45"/>
      <c r="BI66" s="46"/>
      <c r="BJ66" s="45"/>
      <c r="BK66" s="109" t="s">
        <v>916</v>
      </c>
      <c r="BL66" s="109" t="s">
        <v>916</v>
      </c>
      <c r="BM66" s="109" t="s">
        <v>916</v>
      </c>
      <c r="BN66" s="109" t="s">
        <v>916</v>
      </c>
      <c r="BO66" s="2"/>
    </row>
    <row r="67" spans="1:67" ht="15">
      <c r="A67" s="61" t="s">
        <v>289</v>
      </c>
      <c r="B67" s="62"/>
      <c r="C67" s="62"/>
      <c r="D67" s="63">
        <v>1000</v>
      </c>
      <c r="E67" s="65"/>
      <c r="F67" s="100" t="str">
        <f>HYPERLINK("https://pbs.twimg.com/profile_images/1586069551233392640/Po14gHto_normal.jpg")</f>
        <v>https://pbs.twimg.com/profile_images/1586069551233392640/Po14gHto_normal.jpg</v>
      </c>
      <c r="G67" s="62"/>
      <c r="H67" s="66" t="s">
        <v>289</v>
      </c>
      <c r="I67" s="67"/>
      <c r="J67" s="67"/>
      <c r="K67" s="66" t="s">
        <v>289</v>
      </c>
      <c r="L67" s="70">
        <v>3448.5862068965516</v>
      </c>
      <c r="M67" s="71">
        <v>6214.13623046875</v>
      </c>
      <c r="N67" s="71">
        <v>7483.60595703125</v>
      </c>
      <c r="O67" s="72"/>
      <c r="P67" s="73"/>
      <c r="Q67" s="73"/>
      <c r="R67" s="86"/>
      <c r="S67" s="45">
        <v>1</v>
      </c>
      <c r="T67" s="45">
        <v>3</v>
      </c>
      <c r="U67" s="46">
        <v>120</v>
      </c>
      <c r="V67" s="46">
        <v>0.042195</v>
      </c>
      <c r="W67" s="46">
        <v>0.000757</v>
      </c>
      <c r="X67" s="46">
        <v>0.004982</v>
      </c>
      <c r="Y67" s="46">
        <v>0</v>
      </c>
      <c r="Z67" s="46">
        <v>0</v>
      </c>
      <c r="AA67" s="68">
        <v>67</v>
      </c>
      <c r="AB67" s="68"/>
      <c r="AC67" s="69"/>
      <c r="AD67" s="76" t="s">
        <v>1050</v>
      </c>
      <c r="AE67" s="85" t="s">
        <v>1239</v>
      </c>
      <c r="AF67" s="76">
        <v>744</v>
      </c>
      <c r="AG67" s="76">
        <v>206</v>
      </c>
      <c r="AH67" s="76">
        <v>2436</v>
      </c>
      <c r="AI67" s="76">
        <v>1049</v>
      </c>
      <c r="AJ67" s="76"/>
      <c r="AK67" s="76" t="s">
        <v>1412</v>
      </c>
      <c r="AL67" s="76" t="s">
        <v>1572</v>
      </c>
      <c r="AM67" s="76"/>
      <c r="AN67" s="76"/>
      <c r="AO67" s="78">
        <v>44862.6658912037</v>
      </c>
      <c r="AP67" s="82" t="str">
        <f>HYPERLINK("https://pbs.twimg.com/profile_banners/1586024676387524608/1672597875")</f>
        <v>https://pbs.twimg.com/profile_banners/1586024676387524608/1672597875</v>
      </c>
      <c r="AQ67" s="76" t="b">
        <v>1</v>
      </c>
      <c r="AR67" s="76" t="b">
        <v>0</v>
      </c>
      <c r="AS67" s="76" t="b">
        <v>0</v>
      </c>
      <c r="AT67" s="76"/>
      <c r="AU67" s="76">
        <v>0</v>
      </c>
      <c r="AV67" s="76"/>
      <c r="AW67" s="76" t="b">
        <v>0</v>
      </c>
      <c r="AX67" s="76" t="s">
        <v>1651</v>
      </c>
      <c r="AY67" s="82" t="str">
        <f>HYPERLINK("https://twitter.com/chriojoe")</f>
        <v>https://twitter.com/chriojoe</v>
      </c>
      <c r="AZ67" s="76" t="s">
        <v>66</v>
      </c>
      <c r="BA67" s="76" t="str">
        <f>REPLACE(INDEX(GroupVertices[Group],MATCH(Vertices[[#This Row],[Vertex]],GroupVertices[Vertex],0)),1,1,"")</f>
        <v>11</v>
      </c>
      <c r="BB67" s="45"/>
      <c r="BC67" s="46"/>
      <c r="BD67" s="45"/>
      <c r="BE67" s="46"/>
      <c r="BF67" s="45"/>
      <c r="BG67" s="46"/>
      <c r="BH67" s="45"/>
      <c r="BI67" s="46"/>
      <c r="BJ67" s="45"/>
      <c r="BK67" s="109" t="s">
        <v>916</v>
      </c>
      <c r="BL67" s="109" t="s">
        <v>916</v>
      </c>
      <c r="BM67" s="109" t="s">
        <v>916</v>
      </c>
      <c r="BN67" s="109" t="s">
        <v>916</v>
      </c>
      <c r="BO67" s="2"/>
    </row>
    <row r="68" spans="1:67" ht="15">
      <c r="A68" s="61" t="s">
        <v>403</v>
      </c>
      <c r="B68" s="62"/>
      <c r="C68" s="62"/>
      <c r="D68" s="63">
        <v>1000</v>
      </c>
      <c r="E68" s="65"/>
      <c r="F68" s="100" t="str">
        <f>HYPERLINK("https://pbs.twimg.com/profile_images/1397875788028985344/mfns57Qn_normal.jpg")</f>
        <v>https://pbs.twimg.com/profile_images/1397875788028985344/mfns57Qn_normal.jpg</v>
      </c>
      <c r="G68" s="62"/>
      <c r="H68" s="66" t="s">
        <v>403</v>
      </c>
      <c r="I68" s="67"/>
      <c r="J68" s="67"/>
      <c r="K68" s="66" t="s">
        <v>403</v>
      </c>
      <c r="L68" s="70">
        <v>2414.310344827586</v>
      </c>
      <c r="M68" s="71">
        <v>7353.84033203125</v>
      </c>
      <c r="N68" s="71">
        <v>8436.2509765625</v>
      </c>
      <c r="O68" s="72"/>
      <c r="P68" s="73"/>
      <c r="Q68" s="73"/>
      <c r="R68" s="86"/>
      <c r="S68" s="45">
        <v>2</v>
      </c>
      <c r="T68" s="45">
        <v>0</v>
      </c>
      <c r="U68" s="46">
        <v>84</v>
      </c>
      <c r="V68" s="46">
        <v>0.032818</v>
      </c>
      <c r="W68" s="46">
        <v>0.000171</v>
      </c>
      <c r="X68" s="46">
        <v>0.004898</v>
      </c>
      <c r="Y68" s="46">
        <v>0</v>
      </c>
      <c r="Z68" s="46">
        <v>0</v>
      </c>
      <c r="AA68" s="68">
        <v>68</v>
      </c>
      <c r="AB68" s="68"/>
      <c r="AC68" s="69"/>
      <c r="AD68" s="76" t="s">
        <v>1051</v>
      </c>
      <c r="AE68" s="85" t="s">
        <v>929</v>
      </c>
      <c r="AF68" s="76">
        <v>413</v>
      </c>
      <c r="AG68" s="76">
        <v>224581</v>
      </c>
      <c r="AH68" s="76">
        <v>18021</v>
      </c>
      <c r="AI68" s="76">
        <v>16195</v>
      </c>
      <c r="AJ68" s="76"/>
      <c r="AK68" s="76" t="s">
        <v>1413</v>
      </c>
      <c r="AL68" s="76"/>
      <c r="AM68" s="82" t="str">
        <f>HYPERLINK("https://t.co/LqCnTOQ6ce")</f>
        <v>https://t.co/LqCnTOQ6ce</v>
      </c>
      <c r="AN68" s="76"/>
      <c r="AO68" s="78">
        <v>39892.02826388889</v>
      </c>
      <c r="AP68" s="82" t="str">
        <f>HYPERLINK("https://pbs.twimg.com/profile_banners/25422302/1634502355")</f>
        <v>https://pbs.twimg.com/profile_banners/25422302/1634502355</v>
      </c>
      <c r="AQ68" s="76" t="b">
        <v>0</v>
      </c>
      <c r="AR68" s="76" t="b">
        <v>0</v>
      </c>
      <c r="AS68" s="76" t="b">
        <v>0</v>
      </c>
      <c r="AT68" s="76"/>
      <c r="AU68" s="76">
        <v>2319</v>
      </c>
      <c r="AV68" s="82" t="str">
        <f>HYPERLINK("https://abs.twimg.com/images/themes/theme9/bg.gif")</f>
        <v>https://abs.twimg.com/images/themes/theme9/bg.gif</v>
      </c>
      <c r="AW68" s="76" t="b">
        <v>1</v>
      </c>
      <c r="AX68" s="76" t="s">
        <v>1651</v>
      </c>
      <c r="AY68" s="82" t="str">
        <f>HYPERLINK("https://twitter.com/liv_boeree")</f>
        <v>https://twitter.com/liv_boeree</v>
      </c>
      <c r="AZ68" s="76" t="s">
        <v>65</v>
      </c>
      <c r="BA68" s="76" t="str">
        <f>REPLACE(INDEX(GroupVertices[Group],MATCH(Vertices[[#This Row],[Vertex]],GroupVertices[Vertex],0)),1,1,"")</f>
        <v>11</v>
      </c>
      <c r="BB68" s="45"/>
      <c r="BC68" s="46"/>
      <c r="BD68" s="45"/>
      <c r="BE68" s="46"/>
      <c r="BF68" s="45"/>
      <c r="BG68" s="46"/>
      <c r="BH68" s="45"/>
      <c r="BI68" s="46"/>
      <c r="BJ68" s="45"/>
      <c r="BK68" s="45"/>
      <c r="BL68" s="45"/>
      <c r="BM68" s="45"/>
      <c r="BN68" s="45"/>
      <c r="BO68" s="2"/>
    </row>
    <row r="69" spans="1:67" ht="15">
      <c r="A69" s="61" t="s">
        <v>290</v>
      </c>
      <c r="B69" s="62"/>
      <c r="C69" s="62"/>
      <c r="D69" s="63">
        <v>80</v>
      </c>
      <c r="E69" s="65"/>
      <c r="F69" s="100" t="str">
        <f>HYPERLINK("https://pbs.twimg.com/profile_images/1534682334682677248/2rUTIa79_normal.jpg")</f>
        <v>https://pbs.twimg.com/profile_images/1534682334682677248/2rUTIa79_normal.jpg</v>
      </c>
      <c r="G69" s="62"/>
      <c r="H69" s="66" t="s">
        <v>290</v>
      </c>
      <c r="I69" s="67"/>
      <c r="J69" s="67"/>
      <c r="K69" s="66" t="s">
        <v>290</v>
      </c>
      <c r="L69" s="70">
        <v>1</v>
      </c>
      <c r="M69" s="71">
        <v>3465.49169921875</v>
      </c>
      <c r="N69" s="71">
        <v>3805.406494140625</v>
      </c>
      <c r="O69" s="72"/>
      <c r="P69" s="73"/>
      <c r="Q69" s="73"/>
      <c r="R69" s="86"/>
      <c r="S69" s="45">
        <v>0</v>
      </c>
      <c r="T69" s="45">
        <v>1</v>
      </c>
      <c r="U69" s="46">
        <v>0</v>
      </c>
      <c r="V69" s="46">
        <v>0.005025</v>
      </c>
      <c r="W69" s="46">
        <v>0</v>
      </c>
      <c r="X69" s="46">
        <v>0.005</v>
      </c>
      <c r="Y69" s="46">
        <v>0</v>
      </c>
      <c r="Z69" s="46">
        <v>0</v>
      </c>
      <c r="AA69" s="68">
        <v>69</v>
      </c>
      <c r="AB69" s="68"/>
      <c r="AC69" s="69"/>
      <c r="AD69" s="76" t="s">
        <v>1052</v>
      </c>
      <c r="AE69" s="85" t="s">
        <v>1240</v>
      </c>
      <c r="AF69" s="76">
        <v>86</v>
      </c>
      <c r="AG69" s="76">
        <v>55</v>
      </c>
      <c r="AH69" s="76">
        <v>1528</v>
      </c>
      <c r="AI69" s="76">
        <v>654</v>
      </c>
      <c r="AJ69" s="76"/>
      <c r="AK69" s="76" t="s">
        <v>1414</v>
      </c>
      <c r="AL69" s="76" t="s">
        <v>1573</v>
      </c>
      <c r="AM69" s="76"/>
      <c r="AN69" s="76"/>
      <c r="AO69" s="78">
        <v>44677.84920138889</v>
      </c>
      <c r="AP69" s="82" t="str">
        <f>HYPERLINK("https://pbs.twimg.com/profile_banners/1519049181037428736/1675789482")</f>
        <v>https://pbs.twimg.com/profile_banners/1519049181037428736/1675789482</v>
      </c>
      <c r="AQ69" s="76" t="b">
        <v>1</v>
      </c>
      <c r="AR69" s="76" t="b">
        <v>0</v>
      </c>
      <c r="AS69" s="76" t="b">
        <v>0</v>
      </c>
      <c r="AT69" s="76"/>
      <c r="AU69" s="76">
        <v>0</v>
      </c>
      <c r="AV69" s="76"/>
      <c r="AW69" s="76" t="b">
        <v>0</v>
      </c>
      <c r="AX69" s="76" t="s">
        <v>1651</v>
      </c>
      <c r="AY69" s="82" t="str">
        <f>HYPERLINK("https://twitter.com/eliseusnoir")</f>
        <v>https://twitter.com/eliseusnoir</v>
      </c>
      <c r="AZ69" s="76" t="s">
        <v>66</v>
      </c>
      <c r="BA69" s="76" t="str">
        <f>REPLACE(INDEX(GroupVertices[Group],MATCH(Vertices[[#This Row],[Vertex]],GroupVertices[Vertex],0)),1,1,"")</f>
        <v>41</v>
      </c>
      <c r="BB69" s="45"/>
      <c r="BC69" s="46"/>
      <c r="BD69" s="45"/>
      <c r="BE69" s="46"/>
      <c r="BF69" s="45"/>
      <c r="BG69" s="46"/>
      <c r="BH69" s="45"/>
      <c r="BI69" s="46"/>
      <c r="BJ69" s="45"/>
      <c r="BK69" s="109" t="s">
        <v>916</v>
      </c>
      <c r="BL69" s="109" t="s">
        <v>916</v>
      </c>
      <c r="BM69" s="109" t="s">
        <v>916</v>
      </c>
      <c r="BN69" s="109" t="s">
        <v>916</v>
      </c>
      <c r="BO69" s="2"/>
    </row>
    <row r="70" spans="1:67" ht="15">
      <c r="A70" s="61" t="s">
        <v>404</v>
      </c>
      <c r="B70" s="62"/>
      <c r="C70" s="62"/>
      <c r="D70" s="63">
        <v>80</v>
      </c>
      <c r="E70" s="65"/>
      <c r="F70" s="100" t="str">
        <f>HYPERLINK("https://pbs.twimg.com/profile_images/1620481709249536009/en9guJoK_normal.jpg")</f>
        <v>https://pbs.twimg.com/profile_images/1620481709249536009/en9guJoK_normal.jpg</v>
      </c>
      <c r="G70" s="62"/>
      <c r="H70" s="66" t="s">
        <v>404</v>
      </c>
      <c r="I70" s="67"/>
      <c r="J70" s="67"/>
      <c r="K70" s="66" t="s">
        <v>404</v>
      </c>
      <c r="L70" s="70">
        <v>1</v>
      </c>
      <c r="M70" s="71">
        <v>4126.11083984375</v>
      </c>
      <c r="N70" s="71">
        <v>2682.207763671875</v>
      </c>
      <c r="O70" s="72"/>
      <c r="P70" s="73"/>
      <c r="Q70" s="73"/>
      <c r="R70" s="86"/>
      <c r="S70" s="45">
        <v>1</v>
      </c>
      <c r="T70" s="45">
        <v>0</v>
      </c>
      <c r="U70" s="46">
        <v>0</v>
      </c>
      <c r="V70" s="46">
        <v>0.005025</v>
      </c>
      <c r="W70" s="46">
        <v>0</v>
      </c>
      <c r="X70" s="46">
        <v>0.005</v>
      </c>
      <c r="Y70" s="46">
        <v>0</v>
      </c>
      <c r="Z70" s="46">
        <v>0</v>
      </c>
      <c r="AA70" s="68">
        <v>70</v>
      </c>
      <c r="AB70" s="68"/>
      <c r="AC70" s="69"/>
      <c r="AD70" s="76" t="s">
        <v>1053</v>
      </c>
      <c r="AE70" s="85" t="s">
        <v>927</v>
      </c>
      <c r="AF70" s="76">
        <v>75589</v>
      </c>
      <c r="AG70" s="76">
        <v>71544</v>
      </c>
      <c r="AH70" s="76">
        <v>139865</v>
      </c>
      <c r="AI70" s="76">
        <v>13256</v>
      </c>
      <c r="AJ70" s="76"/>
      <c r="AK70" s="76" t="s">
        <v>1415</v>
      </c>
      <c r="AL70" s="76" t="s">
        <v>1574</v>
      </c>
      <c r="AM70" s="82" t="str">
        <f>HYPERLINK("https://t.co/uRc5PVIAwB")</f>
        <v>https://t.co/uRc5PVIAwB</v>
      </c>
      <c r="AN70" s="76"/>
      <c r="AO70" s="78">
        <v>39659.50038194445</v>
      </c>
      <c r="AP70" s="82" t="str">
        <f>HYPERLINK("https://pbs.twimg.com/profile_banners/15659178/1651778415")</f>
        <v>https://pbs.twimg.com/profile_banners/15659178/1651778415</v>
      </c>
      <c r="AQ70" s="76" t="b">
        <v>0</v>
      </c>
      <c r="AR70" s="76" t="b">
        <v>0</v>
      </c>
      <c r="AS70" s="76" t="b">
        <v>0</v>
      </c>
      <c r="AT70" s="76"/>
      <c r="AU70" s="76">
        <v>32</v>
      </c>
      <c r="AV70" s="82" t="str">
        <f>HYPERLINK("https://abs.twimg.com/images/themes/theme9/bg.gif")</f>
        <v>https://abs.twimg.com/images/themes/theme9/bg.gif</v>
      </c>
      <c r="AW70" s="76" t="b">
        <v>1</v>
      </c>
      <c r="AX70" s="76" t="s">
        <v>1651</v>
      </c>
      <c r="AY70" s="82" t="str">
        <f>HYPERLINK("https://twitter.com/mpukita")</f>
        <v>https://twitter.com/mpukita</v>
      </c>
      <c r="AZ70" s="76" t="s">
        <v>65</v>
      </c>
      <c r="BA70" s="76" t="str">
        <f>REPLACE(INDEX(GroupVertices[Group],MATCH(Vertices[[#This Row],[Vertex]],GroupVertices[Vertex],0)),1,1,"")</f>
        <v>41</v>
      </c>
      <c r="BB70" s="45"/>
      <c r="BC70" s="46"/>
      <c r="BD70" s="45"/>
      <c r="BE70" s="46"/>
      <c r="BF70" s="45"/>
      <c r="BG70" s="46"/>
      <c r="BH70" s="45"/>
      <c r="BI70" s="46"/>
      <c r="BJ70" s="45"/>
      <c r="BK70" s="45"/>
      <c r="BL70" s="45"/>
      <c r="BM70" s="45"/>
      <c r="BN70" s="45"/>
      <c r="BO70" s="2"/>
    </row>
    <row r="71" spans="1:67" ht="15">
      <c r="A71" s="61" t="s">
        <v>291</v>
      </c>
      <c r="B71" s="62"/>
      <c r="C71" s="62"/>
      <c r="D71" s="63">
        <v>80</v>
      </c>
      <c r="E71" s="65"/>
      <c r="F71" s="100" t="str">
        <f>HYPERLINK("https://pbs.twimg.com/profile_images/1588902670512840705/iBGfm085_normal.jpg")</f>
        <v>https://pbs.twimg.com/profile_images/1588902670512840705/iBGfm085_normal.jpg</v>
      </c>
      <c r="G71" s="62"/>
      <c r="H71" s="66" t="s">
        <v>291</v>
      </c>
      <c r="I71" s="67"/>
      <c r="J71" s="67"/>
      <c r="K71" s="66" t="s">
        <v>291</v>
      </c>
      <c r="L71" s="70">
        <v>1</v>
      </c>
      <c r="M71" s="71">
        <v>4900.517578125</v>
      </c>
      <c r="N71" s="71">
        <v>1535.286376953125</v>
      </c>
      <c r="O71" s="72"/>
      <c r="P71" s="73"/>
      <c r="Q71" s="73"/>
      <c r="R71" s="86"/>
      <c r="S71" s="45">
        <v>0</v>
      </c>
      <c r="T71" s="45">
        <v>1</v>
      </c>
      <c r="U71" s="46">
        <v>0</v>
      </c>
      <c r="V71" s="46">
        <v>0.005025</v>
      </c>
      <c r="W71" s="46">
        <v>0</v>
      </c>
      <c r="X71" s="46">
        <v>0.005</v>
      </c>
      <c r="Y71" s="46">
        <v>0</v>
      </c>
      <c r="Z71" s="46">
        <v>0</v>
      </c>
      <c r="AA71" s="68">
        <v>71</v>
      </c>
      <c r="AB71" s="68"/>
      <c r="AC71" s="69"/>
      <c r="AD71" s="76" t="s">
        <v>1054</v>
      </c>
      <c r="AE71" s="85" t="s">
        <v>1241</v>
      </c>
      <c r="AF71" s="76">
        <v>710</v>
      </c>
      <c r="AG71" s="76">
        <v>76</v>
      </c>
      <c r="AH71" s="76">
        <v>973</v>
      </c>
      <c r="AI71" s="76">
        <v>1688</v>
      </c>
      <c r="AJ71" s="76"/>
      <c r="AK71" s="76" t="s">
        <v>1416</v>
      </c>
      <c r="AL71" s="76"/>
      <c r="AM71" s="76"/>
      <c r="AN71" s="76"/>
      <c r="AO71" s="78">
        <v>42884.72859953704</v>
      </c>
      <c r="AP71" s="82" t="str">
        <f>HYPERLINK("https://pbs.twimg.com/profile_banners/869244241028947968/1500675285")</f>
        <v>https://pbs.twimg.com/profile_banners/869244241028947968/1500675285</v>
      </c>
      <c r="AQ71" s="76" t="b">
        <v>0</v>
      </c>
      <c r="AR71" s="76" t="b">
        <v>0</v>
      </c>
      <c r="AS71" s="76" t="b">
        <v>0</v>
      </c>
      <c r="AT71" s="76"/>
      <c r="AU71" s="76">
        <v>1</v>
      </c>
      <c r="AV71" s="82" t="str">
        <f>HYPERLINK("https://abs.twimg.com/images/themes/theme1/bg.png")</f>
        <v>https://abs.twimg.com/images/themes/theme1/bg.png</v>
      </c>
      <c r="AW71" s="76" t="b">
        <v>0</v>
      </c>
      <c r="AX71" s="76" t="s">
        <v>1651</v>
      </c>
      <c r="AY71" s="82" t="str">
        <f>HYPERLINK("https://twitter.com/sharkadvisory")</f>
        <v>https://twitter.com/sharkadvisory</v>
      </c>
      <c r="AZ71" s="76" t="s">
        <v>66</v>
      </c>
      <c r="BA71" s="76" t="str">
        <f>REPLACE(INDEX(GroupVertices[Group],MATCH(Vertices[[#This Row],[Vertex]],GroupVertices[Vertex],0)),1,1,"")</f>
        <v>40</v>
      </c>
      <c r="BB71" s="45"/>
      <c r="BC71" s="46"/>
      <c r="BD71" s="45"/>
      <c r="BE71" s="46"/>
      <c r="BF71" s="45"/>
      <c r="BG71" s="46"/>
      <c r="BH71" s="45"/>
      <c r="BI71" s="46"/>
      <c r="BJ71" s="45"/>
      <c r="BK71" s="109" t="s">
        <v>916</v>
      </c>
      <c r="BL71" s="109" t="s">
        <v>916</v>
      </c>
      <c r="BM71" s="109" t="s">
        <v>916</v>
      </c>
      <c r="BN71" s="109" t="s">
        <v>916</v>
      </c>
      <c r="BO71" s="2"/>
    </row>
    <row r="72" spans="1:67" ht="15">
      <c r="A72" s="61" t="s">
        <v>405</v>
      </c>
      <c r="B72" s="62"/>
      <c r="C72" s="62"/>
      <c r="D72" s="63">
        <v>80</v>
      </c>
      <c r="E72" s="65"/>
      <c r="F72" s="100" t="str">
        <f>HYPERLINK("https://pbs.twimg.com/profile_images/1359368547642732544/nxM9bEnp_normal.jpg")</f>
        <v>https://pbs.twimg.com/profile_images/1359368547642732544/nxM9bEnp_normal.jpg</v>
      </c>
      <c r="G72" s="62"/>
      <c r="H72" s="66" t="s">
        <v>405</v>
      </c>
      <c r="I72" s="67"/>
      <c r="J72" s="67"/>
      <c r="K72" s="66" t="s">
        <v>405</v>
      </c>
      <c r="L72" s="70">
        <v>1</v>
      </c>
      <c r="M72" s="71">
        <v>4226.775390625</v>
      </c>
      <c r="N72" s="71">
        <v>2649.869140625</v>
      </c>
      <c r="O72" s="72"/>
      <c r="P72" s="73"/>
      <c r="Q72" s="73"/>
      <c r="R72" s="86"/>
      <c r="S72" s="45">
        <v>1</v>
      </c>
      <c r="T72" s="45">
        <v>0</v>
      </c>
      <c r="U72" s="46">
        <v>0</v>
      </c>
      <c r="V72" s="46">
        <v>0.005025</v>
      </c>
      <c r="W72" s="46">
        <v>0</v>
      </c>
      <c r="X72" s="46">
        <v>0.005</v>
      </c>
      <c r="Y72" s="46">
        <v>0</v>
      </c>
      <c r="Z72" s="46">
        <v>0</v>
      </c>
      <c r="AA72" s="68">
        <v>72</v>
      </c>
      <c r="AB72" s="68"/>
      <c r="AC72" s="69"/>
      <c r="AD72" s="76" t="s">
        <v>1055</v>
      </c>
      <c r="AE72" s="85" t="s">
        <v>928</v>
      </c>
      <c r="AF72" s="76">
        <v>6009</v>
      </c>
      <c r="AG72" s="76">
        <v>184203</v>
      </c>
      <c r="AH72" s="76">
        <v>48583</v>
      </c>
      <c r="AI72" s="76">
        <v>297676</v>
      </c>
      <c r="AJ72" s="76"/>
      <c r="AK72" s="76" t="s">
        <v>1417</v>
      </c>
      <c r="AL72" s="76" t="s">
        <v>1575</v>
      </c>
      <c r="AM72" s="82" t="str">
        <f>HYPERLINK("https://t.co/lhrzFwPtOQ")</f>
        <v>https://t.co/lhrzFwPtOQ</v>
      </c>
      <c r="AN72" s="76"/>
      <c r="AO72" s="78">
        <v>41915.8896875</v>
      </c>
      <c r="AP72" s="82" t="str">
        <f>HYPERLINK("https://pbs.twimg.com/profile_banners/2839374404/1473544602")</f>
        <v>https://pbs.twimg.com/profile_banners/2839374404/1473544602</v>
      </c>
      <c r="AQ72" s="76" t="b">
        <v>0</v>
      </c>
      <c r="AR72" s="76" t="b">
        <v>0</v>
      </c>
      <c r="AS72" s="76" t="b">
        <v>1</v>
      </c>
      <c r="AT72" s="76"/>
      <c r="AU72" s="76">
        <v>525</v>
      </c>
      <c r="AV72" s="82" t="str">
        <f>HYPERLINK("https://abs.twimg.com/images/themes/theme1/bg.png")</f>
        <v>https://abs.twimg.com/images/themes/theme1/bg.png</v>
      </c>
      <c r="AW72" s="76" t="b">
        <v>1</v>
      </c>
      <c r="AX72" s="76" t="s">
        <v>1651</v>
      </c>
      <c r="AY72" s="82" t="str">
        <f>HYPERLINK("https://twitter.com/chefgruel")</f>
        <v>https://twitter.com/chefgruel</v>
      </c>
      <c r="AZ72" s="76" t="s">
        <v>65</v>
      </c>
      <c r="BA72" s="76" t="str">
        <f>REPLACE(INDEX(GroupVertices[Group],MATCH(Vertices[[#This Row],[Vertex]],GroupVertices[Vertex],0)),1,1,"")</f>
        <v>40</v>
      </c>
      <c r="BB72" s="45"/>
      <c r="BC72" s="46"/>
      <c r="BD72" s="45"/>
      <c r="BE72" s="46"/>
      <c r="BF72" s="45"/>
      <c r="BG72" s="46"/>
      <c r="BH72" s="45"/>
      <c r="BI72" s="46"/>
      <c r="BJ72" s="45"/>
      <c r="BK72" s="45"/>
      <c r="BL72" s="45"/>
      <c r="BM72" s="45"/>
      <c r="BN72" s="45"/>
      <c r="BO72" s="2"/>
    </row>
    <row r="73" spans="1:67" ht="15">
      <c r="A73" s="61" t="s">
        <v>292</v>
      </c>
      <c r="B73" s="62"/>
      <c r="C73" s="62"/>
      <c r="D73" s="63">
        <v>80</v>
      </c>
      <c r="E73" s="65"/>
      <c r="F73" s="100" t="str">
        <f>HYPERLINK("https://pbs.twimg.com/profile_images/1616026580203048961/d52jmsK4_normal.jpg")</f>
        <v>https://pbs.twimg.com/profile_images/1616026580203048961/d52jmsK4_normal.jpg</v>
      </c>
      <c r="G73" s="62"/>
      <c r="H73" s="66" t="s">
        <v>292</v>
      </c>
      <c r="I73" s="67"/>
      <c r="J73" s="67"/>
      <c r="K73" s="66" t="s">
        <v>292</v>
      </c>
      <c r="L73" s="70">
        <v>1</v>
      </c>
      <c r="M73" s="71">
        <v>4103.86279296875</v>
      </c>
      <c r="N73" s="71">
        <v>2734.970458984375</v>
      </c>
      <c r="O73" s="72"/>
      <c r="P73" s="73"/>
      <c r="Q73" s="73"/>
      <c r="R73" s="86"/>
      <c r="S73" s="45">
        <v>1</v>
      </c>
      <c r="T73" s="45">
        <v>1</v>
      </c>
      <c r="U73" s="46">
        <v>0</v>
      </c>
      <c r="V73" s="46">
        <v>0</v>
      </c>
      <c r="W73" s="46">
        <v>0</v>
      </c>
      <c r="X73" s="46">
        <v>0.005</v>
      </c>
      <c r="Y73" s="46">
        <v>0</v>
      </c>
      <c r="Z73" s="46">
        <v>0</v>
      </c>
      <c r="AA73" s="68">
        <v>73</v>
      </c>
      <c r="AB73" s="68"/>
      <c r="AC73" s="69"/>
      <c r="AD73" s="76" t="s">
        <v>1056</v>
      </c>
      <c r="AE73" s="85" t="s">
        <v>1242</v>
      </c>
      <c r="AF73" s="76">
        <v>19</v>
      </c>
      <c r="AG73" s="76">
        <v>0</v>
      </c>
      <c r="AH73" s="76">
        <v>9</v>
      </c>
      <c r="AI73" s="76">
        <v>0</v>
      </c>
      <c r="AJ73" s="76"/>
      <c r="AK73" s="76" t="s">
        <v>1418</v>
      </c>
      <c r="AL73" s="76"/>
      <c r="AM73" s="82" t="str">
        <f>HYPERLINK("https://t.co/5vKALjVNTV")</f>
        <v>https://t.co/5vKALjVNTV</v>
      </c>
      <c r="AN73" s="76"/>
      <c r="AO73" s="78">
        <v>44945.45416666667</v>
      </c>
      <c r="AP73" s="82" t="str">
        <f>HYPERLINK("https://pbs.twimg.com/profile_banners/1616026150718869504/1675716557")</f>
        <v>https://pbs.twimg.com/profile_banners/1616026150718869504/1675716557</v>
      </c>
      <c r="AQ73" s="76" t="b">
        <v>1</v>
      </c>
      <c r="AR73" s="76" t="b">
        <v>0</v>
      </c>
      <c r="AS73" s="76" t="b">
        <v>0</v>
      </c>
      <c r="AT73" s="76"/>
      <c r="AU73" s="76">
        <v>0</v>
      </c>
      <c r="AV73" s="76"/>
      <c r="AW73" s="76" t="b">
        <v>0</v>
      </c>
      <c r="AX73" s="76" t="s">
        <v>1651</v>
      </c>
      <c r="AY73" s="82" t="str">
        <f>HYPERLINK("https://twitter.com/sonssingularity")</f>
        <v>https://twitter.com/sonssingularity</v>
      </c>
      <c r="AZ73" s="76" t="s">
        <v>66</v>
      </c>
      <c r="BA73" s="76" t="str">
        <f>REPLACE(INDEX(GroupVertices[Group],MATCH(Vertices[[#This Row],[Vertex]],GroupVertices[Vertex],0)),1,1,"")</f>
        <v>76</v>
      </c>
      <c r="BB73" s="45"/>
      <c r="BC73" s="46"/>
      <c r="BD73" s="45"/>
      <c r="BE73" s="46"/>
      <c r="BF73" s="45"/>
      <c r="BG73" s="46"/>
      <c r="BH73" s="45"/>
      <c r="BI73" s="46"/>
      <c r="BJ73" s="45"/>
      <c r="BK73" s="109" t="s">
        <v>916</v>
      </c>
      <c r="BL73" s="109" t="s">
        <v>916</v>
      </c>
      <c r="BM73" s="109" t="s">
        <v>916</v>
      </c>
      <c r="BN73" s="109" t="s">
        <v>916</v>
      </c>
      <c r="BO73" s="2"/>
    </row>
    <row r="74" spans="1:67" ht="15">
      <c r="A74" s="61" t="s">
        <v>293</v>
      </c>
      <c r="B74" s="62"/>
      <c r="C74" s="62"/>
      <c r="D74" s="63">
        <v>1000</v>
      </c>
      <c r="E74" s="65"/>
      <c r="F74" s="100" t="str">
        <f>HYPERLINK("https://pbs.twimg.com/profile_images/1391968607656202244/mNJ0KIMG_normal.jpg")</f>
        <v>https://pbs.twimg.com/profile_images/1391968607656202244/mNJ0KIMG_normal.jpg</v>
      </c>
      <c r="G74" s="62"/>
      <c r="H74" s="66" t="s">
        <v>293</v>
      </c>
      <c r="I74" s="67"/>
      <c r="J74" s="67"/>
      <c r="K74" s="66" t="s">
        <v>293</v>
      </c>
      <c r="L74" s="70">
        <v>1265.1149425287356</v>
      </c>
      <c r="M74" s="71">
        <v>8478.20703125</v>
      </c>
      <c r="N74" s="71">
        <v>9365.1982421875</v>
      </c>
      <c r="O74" s="72"/>
      <c r="P74" s="73"/>
      <c r="Q74" s="73"/>
      <c r="R74" s="86"/>
      <c r="S74" s="45">
        <v>0</v>
      </c>
      <c r="T74" s="45">
        <v>2</v>
      </c>
      <c r="U74" s="46">
        <v>44</v>
      </c>
      <c r="V74" s="46">
        <v>0.02632</v>
      </c>
      <c r="W74" s="46">
        <v>3.9E-05</v>
      </c>
      <c r="X74" s="46">
        <v>0.005315</v>
      </c>
      <c r="Y74" s="46">
        <v>0</v>
      </c>
      <c r="Z74" s="46">
        <v>0</v>
      </c>
      <c r="AA74" s="68">
        <v>74</v>
      </c>
      <c r="AB74" s="68"/>
      <c r="AC74" s="69"/>
      <c r="AD74" s="76" t="s">
        <v>1057</v>
      </c>
      <c r="AE74" s="85" t="s">
        <v>1243</v>
      </c>
      <c r="AF74" s="76">
        <v>111</v>
      </c>
      <c r="AG74" s="76">
        <v>45</v>
      </c>
      <c r="AH74" s="76">
        <v>3596</v>
      </c>
      <c r="AI74" s="76">
        <v>4109</v>
      </c>
      <c r="AJ74" s="76"/>
      <c r="AK74" s="76" t="s">
        <v>1419</v>
      </c>
      <c r="AL74" s="76" t="s">
        <v>1576</v>
      </c>
      <c r="AM74" s="76"/>
      <c r="AN74" s="76"/>
      <c r="AO74" s="78">
        <v>44327.00210648148</v>
      </c>
      <c r="AP74" s="82" t="str">
        <f>HYPERLINK("https://pbs.twimg.com/profile_banners/1391906571588968450/1620706453")</f>
        <v>https://pbs.twimg.com/profile_banners/1391906571588968450/1620706453</v>
      </c>
      <c r="AQ74" s="76" t="b">
        <v>1</v>
      </c>
      <c r="AR74" s="76" t="b">
        <v>0</v>
      </c>
      <c r="AS74" s="76" t="b">
        <v>0</v>
      </c>
      <c r="AT74" s="76"/>
      <c r="AU74" s="76">
        <v>1</v>
      </c>
      <c r="AV74" s="76"/>
      <c r="AW74" s="76" t="b">
        <v>0</v>
      </c>
      <c r="AX74" s="76" t="s">
        <v>1651</v>
      </c>
      <c r="AY74" s="82" t="str">
        <f>HYPERLINK("https://twitter.com/wall_finger")</f>
        <v>https://twitter.com/wall_finger</v>
      </c>
      <c r="AZ74" s="76" t="s">
        <v>66</v>
      </c>
      <c r="BA74" s="76" t="str">
        <f>REPLACE(INDEX(GroupVertices[Group],MATCH(Vertices[[#This Row],[Vertex]],GroupVertices[Vertex],0)),1,1,"")</f>
        <v>11</v>
      </c>
      <c r="BB74" s="45"/>
      <c r="BC74" s="46"/>
      <c r="BD74" s="45"/>
      <c r="BE74" s="46"/>
      <c r="BF74" s="45"/>
      <c r="BG74" s="46"/>
      <c r="BH74" s="45"/>
      <c r="BI74" s="46"/>
      <c r="BJ74" s="45"/>
      <c r="BK74" s="109" t="s">
        <v>916</v>
      </c>
      <c r="BL74" s="109" t="s">
        <v>916</v>
      </c>
      <c r="BM74" s="109" t="s">
        <v>916</v>
      </c>
      <c r="BN74" s="109" t="s">
        <v>916</v>
      </c>
      <c r="BO74" s="2"/>
    </row>
    <row r="75" spans="1:67" ht="15">
      <c r="A75" s="61" t="s">
        <v>406</v>
      </c>
      <c r="B75" s="62"/>
      <c r="C75" s="62"/>
      <c r="D75" s="63">
        <v>80</v>
      </c>
      <c r="E75" s="65"/>
      <c r="F75" s="100" t="str">
        <f>HYPERLINK("https://pbs.twimg.com/profile_images/1144717059042861056/IrsMNQB7_normal.png")</f>
        <v>https://pbs.twimg.com/profile_images/1144717059042861056/IrsMNQB7_normal.png</v>
      </c>
      <c r="G75" s="62"/>
      <c r="H75" s="66" t="s">
        <v>406</v>
      </c>
      <c r="I75" s="67"/>
      <c r="J75" s="67"/>
      <c r="K75" s="66" t="s">
        <v>406</v>
      </c>
      <c r="L75" s="70">
        <v>1</v>
      </c>
      <c r="M75" s="71">
        <v>9871.671875</v>
      </c>
      <c r="N75" s="71">
        <v>9373.068359375</v>
      </c>
      <c r="O75" s="72"/>
      <c r="P75" s="73"/>
      <c r="Q75" s="73"/>
      <c r="R75" s="86"/>
      <c r="S75" s="45">
        <v>1</v>
      </c>
      <c r="T75" s="45">
        <v>0</v>
      </c>
      <c r="U75" s="46">
        <v>0</v>
      </c>
      <c r="V75" s="46">
        <v>0.021612</v>
      </c>
      <c r="W75" s="46">
        <v>8E-06</v>
      </c>
      <c r="X75" s="46">
        <v>0.004649</v>
      </c>
      <c r="Y75" s="46">
        <v>0</v>
      </c>
      <c r="Z75" s="46">
        <v>0</v>
      </c>
      <c r="AA75" s="68">
        <v>75</v>
      </c>
      <c r="AB75" s="68"/>
      <c r="AC75" s="69"/>
      <c r="AD75" s="76" t="s">
        <v>1058</v>
      </c>
      <c r="AE75" s="85" t="s">
        <v>930</v>
      </c>
      <c r="AF75" s="76">
        <v>587</v>
      </c>
      <c r="AG75" s="76">
        <v>123281</v>
      </c>
      <c r="AH75" s="76">
        <v>10157</v>
      </c>
      <c r="AI75" s="76">
        <v>134737</v>
      </c>
      <c r="AJ75" s="76"/>
      <c r="AK75" s="76" t="s">
        <v>1420</v>
      </c>
      <c r="AL75" s="76" t="s">
        <v>1577</v>
      </c>
      <c r="AM75" s="82" t="str">
        <f>HYPERLINK("https://t.co/GN662pUgLJ")</f>
        <v>https://t.co/GN662pUgLJ</v>
      </c>
      <c r="AN75" s="76"/>
      <c r="AO75" s="78">
        <v>40445.81350694445</v>
      </c>
      <c r="AP75" s="82" t="str">
        <f>HYPERLINK("https://pbs.twimg.com/profile_banners/194694215/1659456610")</f>
        <v>https://pbs.twimg.com/profile_banners/194694215/1659456610</v>
      </c>
      <c r="AQ75" s="76" t="b">
        <v>0</v>
      </c>
      <c r="AR75" s="76" t="b">
        <v>0</v>
      </c>
      <c r="AS75" s="76" t="b">
        <v>1</v>
      </c>
      <c r="AT75" s="76"/>
      <c r="AU75" s="76">
        <v>1183</v>
      </c>
      <c r="AV75" s="82" t="str">
        <f>HYPERLINK("https://abs.twimg.com/images/themes/theme5/bg.gif")</f>
        <v>https://abs.twimg.com/images/themes/theme5/bg.gif</v>
      </c>
      <c r="AW75" s="76" t="b">
        <v>0</v>
      </c>
      <c r="AX75" s="76" t="s">
        <v>1651</v>
      </c>
      <c r="AY75" s="82" t="str">
        <f>HYPERLINK("https://twitter.com/zebulgar")</f>
        <v>https://twitter.com/zebulgar</v>
      </c>
      <c r="AZ75" s="76" t="s">
        <v>65</v>
      </c>
      <c r="BA75" s="76" t="str">
        <f>REPLACE(INDEX(GroupVertices[Group],MATCH(Vertices[[#This Row],[Vertex]],GroupVertices[Vertex],0)),1,1,"")</f>
        <v>11</v>
      </c>
      <c r="BB75" s="45"/>
      <c r="BC75" s="46"/>
      <c r="BD75" s="45"/>
      <c r="BE75" s="46"/>
      <c r="BF75" s="45"/>
      <c r="BG75" s="46"/>
      <c r="BH75" s="45"/>
      <c r="BI75" s="46"/>
      <c r="BJ75" s="45"/>
      <c r="BK75" s="45"/>
      <c r="BL75" s="45"/>
      <c r="BM75" s="45"/>
      <c r="BN75" s="45"/>
      <c r="BO75" s="2"/>
    </row>
    <row r="76" spans="1:67" ht="15">
      <c r="A76" s="61" t="s">
        <v>294</v>
      </c>
      <c r="B76" s="62"/>
      <c r="C76" s="62"/>
      <c r="D76" s="63">
        <v>80</v>
      </c>
      <c r="E76" s="65"/>
      <c r="F76" s="100" t="str">
        <f>HYPERLINK("https://pbs.twimg.com/profile_images/1591302115007549442/wErQJ5VH_normal.jpg")</f>
        <v>https://pbs.twimg.com/profile_images/1591302115007549442/wErQJ5VH_normal.jpg</v>
      </c>
      <c r="G76" s="62"/>
      <c r="H76" s="66" t="s">
        <v>294</v>
      </c>
      <c r="I76" s="67"/>
      <c r="J76" s="67"/>
      <c r="K76" s="66" t="s">
        <v>294</v>
      </c>
      <c r="L76" s="70">
        <v>1</v>
      </c>
      <c r="M76" s="71">
        <v>4126.74609375</v>
      </c>
      <c r="N76" s="71">
        <v>2666.75048828125</v>
      </c>
      <c r="O76" s="72"/>
      <c r="P76" s="73"/>
      <c r="Q76" s="73"/>
      <c r="R76" s="86"/>
      <c r="S76" s="45">
        <v>1</v>
      </c>
      <c r="T76" s="45">
        <v>1</v>
      </c>
      <c r="U76" s="46">
        <v>0</v>
      </c>
      <c r="V76" s="46">
        <v>0</v>
      </c>
      <c r="W76" s="46">
        <v>0</v>
      </c>
      <c r="X76" s="46">
        <v>0.005</v>
      </c>
      <c r="Y76" s="46">
        <v>0</v>
      </c>
      <c r="Z76" s="46">
        <v>0</v>
      </c>
      <c r="AA76" s="68">
        <v>76</v>
      </c>
      <c r="AB76" s="68"/>
      <c r="AC76" s="69"/>
      <c r="AD76" s="76" t="s">
        <v>1059</v>
      </c>
      <c r="AE76" s="85" t="s">
        <v>1244</v>
      </c>
      <c r="AF76" s="76">
        <v>2334</v>
      </c>
      <c r="AG76" s="76">
        <v>2546</v>
      </c>
      <c r="AH76" s="76">
        <v>21283</v>
      </c>
      <c r="AI76" s="76">
        <v>5068</v>
      </c>
      <c r="AJ76" s="76"/>
      <c r="AK76" s="76" t="s">
        <v>1421</v>
      </c>
      <c r="AL76" s="76" t="s">
        <v>1578</v>
      </c>
      <c r="AM76" s="76"/>
      <c r="AN76" s="76"/>
      <c r="AO76" s="78">
        <v>40284.67741898148</v>
      </c>
      <c r="AP76" s="82" t="str">
        <f>HYPERLINK("https://pbs.twimg.com/profile_banners/133780122/1673303521")</f>
        <v>https://pbs.twimg.com/profile_banners/133780122/1673303521</v>
      </c>
      <c r="AQ76" s="76" t="b">
        <v>0</v>
      </c>
      <c r="AR76" s="76" t="b">
        <v>0</v>
      </c>
      <c r="AS76" s="76" t="b">
        <v>1</v>
      </c>
      <c r="AT76" s="76"/>
      <c r="AU76" s="76">
        <v>42</v>
      </c>
      <c r="AV76" s="82" t="str">
        <f>HYPERLINK("https://abs.twimg.com/images/themes/theme1/bg.png")</f>
        <v>https://abs.twimg.com/images/themes/theme1/bg.png</v>
      </c>
      <c r="AW76" s="76" t="b">
        <v>0</v>
      </c>
      <c r="AX76" s="76" t="s">
        <v>1651</v>
      </c>
      <c r="AY76" s="82" t="str">
        <f>HYPERLINK("https://twitter.com/jon5309")</f>
        <v>https://twitter.com/jon5309</v>
      </c>
      <c r="AZ76" s="76" t="s">
        <v>66</v>
      </c>
      <c r="BA76" s="76" t="str">
        <f>REPLACE(INDEX(GroupVertices[Group],MATCH(Vertices[[#This Row],[Vertex]],GroupVertices[Vertex],0)),1,1,"")</f>
        <v>75</v>
      </c>
      <c r="BB76" s="45"/>
      <c r="BC76" s="46"/>
      <c r="BD76" s="45"/>
      <c r="BE76" s="46"/>
      <c r="BF76" s="45"/>
      <c r="BG76" s="46"/>
      <c r="BH76" s="45"/>
      <c r="BI76" s="46"/>
      <c r="BJ76" s="45"/>
      <c r="BK76" s="109" t="s">
        <v>916</v>
      </c>
      <c r="BL76" s="109" t="s">
        <v>916</v>
      </c>
      <c r="BM76" s="109" t="s">
        <v>916</v>
      </c>
      <c r="BN76" s="109" t="s">
        <v>916</v>
      </c>
      <c r="BO76" s="2"/>
    </row>
    <row r="77" spans="1:67" ht="15">
      <c r="A77" s="61" t="s">
        <v>295</v>
      </c>
      <c r="B77" s="62"/>
      <c r="C77" s="62"/>
      <c r="D77" s="63">
        <v>80</v>
      </c>
      <c r="E77" s="65"/>
      <c r="F77" s="100" t="str">
        <f>HYPERLINK("https://pbs.twimg.com/profile_images/1620102523901050880/VutvH0_j_normal.jpg")</f>
        <v>https://pbs.twimg.com/profile_images/1620102523901050880/VutvH0_j_normal.jpg</v>
      </c>
      <c r="G77" s="62"/>
      <c r="H77" s="66" t="s">
        <v>295</v>
      </c>
      <c r="I77" s="67"/>
      <c r="J77" s="67"/>
      <c r="K77" s="66" t="s">
        <v>295</v>
      </c>
      <c r="L77" s="70">
        <v>1</v>
      </c>
      <c r="M77" s="71">
        <v>4771.17919921875</v>
      </c>
      <c r="N77" s="71">
        <v>2277.43798828125</v>
      </c>
      <c r="O77" s="72"/>
      <c r="P77" s="73"/>
      <c r="Q77" s="73"/>
      <c r="R77" s="86"/>
      <c r="S77" s="45">
        <v>0</v>
      </c>
      <c r="T77" s="45">
        <v>1</v>
      </c>
      <c r="U77" s="46">
        <v>0</v>
      </c>
      <c r="V77" s="46">
        <v>0.0067</v>
      </c>
      <c r="W77" s="46">
        <v>0</v>
      </c>
      <c r="X77" s="46">
        <v>0.004545</v>
      </c>
      <c r="Y77" s="46">
        <v>0</v>
      </c>
      <c r="Z77" s="46">
        <v>0</v>
      </c>
      <c r="AA77" s="68">
        <v>77</v>
      </c>
      <c r="AB77" s="68"/>
      <c r="AC77" s="69"/>
      <c r="AD77" s="76" t="s">
        <v>1060</v>
      </c>
      <c r="AE77" s="85" t="s">
        <v>1245</v>
      </c>
      <c r="AF77" s="76">
        <v>1330</v>
      </c>
      <c r="AG77" s="76">
        <v>1667</v>
      </c>
      <c r="AH77" s="76">
        <v>16911</v>
      </c>
      <c r="AI77" s="76">
        <v>67830</v>
      </c>
      <c r="AJ77" s="76"/>
      <c r="AK77" s="76" t="s">
        <v>1422</v>
      </c>
      <c r="AL77" s="76" t="s">
        <v>1579</v>
      </c>
      <c r="AM77" s="82" t="str">
        <f>HYPERLINK("https://t.co/t6daqnRlEk")</f>
        <v>https://t.co/t6daqnRlEk</v>
      </c>
      <c r="AN77" s="76"/>
      <c r="AO77" s="78">
        <v>39903.1975</v>
      </c>
      <c r="AP77" s="82" t="str">
        <f>HYPERLINK("https://pbs.twimg.com/profile_banners/27815916/1669778783")</f>
        <v>https://pbs.twimg.com/profile_banners/27815916/1669778783</v>
      </c>
      <c r="AQ77" s="76" t="b">
        <v>0</v>
      </c>
      <c r="AR77" s="76" t="b">
        <v>0</v>
      </c>
      <c r="AS77" s="76" t="b">
        <v>1</v>
      </c>
      <c r="AT77" s="76"/>
      <c r="AU77" s="76">
        <v>19</v>
      </c>
      <c r="AV77" s="82" t="str">
        <f>HYPERLINK("https://abs.twimg.com/images/themes/theme5/bg.gif")</f>
        <v>https://abs.twimg.com/images/themes/theme5/bg.gif</v>
      </c>
      <c r="AW77" s="76" t="b">
        <v>0</v>
      </c>
      <c r="AX77" s="76" t="s">
        <v>1651</v>
      </c>
      <c r="AY77" s="82" t="str">
        <f>HYPERLINK("https://twitter.com/tristanjmiller1")</f>
        <v>https://twitter.com/tristanjmiller1</v>
      </c>
      <c r="AZ77" s="76" t="s">
        <v>66</v>
      </c>
      <c r="BA77" s="76" t="str">
        <f>REPLACE(INDEX(GroupVertices[Group],MATCH(Vertices[[#This Row],[Vertex]],GroupVertices[Vertex],0)),1,1,"")</f>
        <v>20</v>
      </c>
      <c r="BB77" s="45"/>
      <c r="BC77" s="46"/>
      <c r="BD77" s="45"/>
      <c r="BE77" s="46"/>
      <c r="BF77" s="45"/>
      <c r="BG77" s="46"/>
      <c r="BH77" s="45"/>
      <c r="BI77" s="46"/>
      <c r="BJ77" s="45"/>
      <c r="BK77" s="109" t="s">
        <v>916</v>
      </c>
      <c r="BL77" s="109" t="s">
        <v>916</v>
      </c>
      <c r="BM77" s="109" t="s">
        <v>916</v>
      </c>
      <c r="BN77" s="109" t="s">
        <v>916</v>
      </c>
      <c r="BO77" s="2"/>
    </row>
    <row r="78" spans="1:67" ht="15">
      <c r="A78" s="61" t="s">
        <v>304</v>
      </c>
      <c r="B78" s="62"/>
      <c r="C78" s="62"/>
      <c r="D78" s="63">
        <v>121.81818181818181</v>
      </c>
      <c r="E78" s="65"/>
      <c r="F78" s="100" t="str">
        <f>HYPERLINK("https://pbs.twimg.com/profile_images/378800000690730831/730aac7f3469c6009464db18d70fb2f3_normal.png")</f>
        <v>https://pbs.twimg.com/profile_images/378800000690730831/730aac7f3469c6009464db18d70fb2f3_normal.png</v>
      </c>
      <c r="G78" s="62"/>
      <c r="H78" s="66" t="s">
        <v>304</v>
      </c>
      <c r="I78" s="67"/>
      <c r="J78" s="67"/>
      <c r="K78" s="66" t="s">
        <v>304</v>
      </c>
      <c r="L78" s="70">
        <v>58.45977011494253</v>
      </c>
      <c r="M78" s="71">
        <v>3804.181884765625</v>
      </c>
      <c r="N78" s="71">
        <v>1432.9573974609375</v>
      </c>
      <c r="O78" s="72"/>
      <c r="P78" s="73"/>
      <c r="Q78" s="73"/>
      <c r="R78" s="86"/>
      <c r="S78" s="45">
        <v>3</v>
      </c>
      <c r="T78" s="45">
        <v>1</v>
      </c>
      <c r="U78" s="46">
        <v>2</v>
      </c>
      <c r="V78" s="46">
        <v>0.01005</v>
      </c>
      <c r="W78" s="46">
        <v>0</v>
      </c>
      <c r="X78" s="46">
        <v>0.005909</v>
      </c>
      <c r="Y78" s="46">
        <v>0</v>
      </c>
      <c r="Z78" s="46">
        <v>0</v>
      </c>
      <c r="AA78" s="68">
        <v>78</v>
      </c>
      <c r="AB78" s="68"/>
      <c r="AC78" s="69"/>
      <c r="AD78" s="76" t="s">
        <v>1061</v>
      </c>
      <c r="AE78" s="85" t="s">
        <v>1246</v>
      </c>
      <c r="AF78" s="76">
        <v>2951</v>
      </c>
      <c r="AG78" s="76">
        <v>16781</v>
      </c>
      <c r="AH78" s="76">
        <v>32526</v>
      </c>
      <c r="AI78" s="76">
        <v>24315</v>
      </c>
      <c r="AJ78" s="76"/>
      <c r="AK78" s="76" t="s">
        <v>1423</v>
      </c>
      <c r="AL78" s="76" t="s">
        <v>1580</v>
      </c>
      <c r="AM78" s="82" t="str">
        <f>HYPERLINK("https://t.co/pSv5KYg9rW")</f>
        <v>https://t.co/pSv5KYg9rW</v>
      </c>
      <c r="AN78" s="76"/>
      <c r="AO78" s="78">
        <v>39835.302256944444</v>
      </c>
      <c r="AP78" s="82" t="str">
        <f>HYPERLINK("https://pbs.twimg.com/profile_banners/19329871/1627098749")</f>
        <v>https://pbs.twimg.com/profile_banners/19329871/1627098749</v>
      </c>
      <c r="AQ78" s="76" t="b">
        <v>0</v>
      </c>
      <c r="AR78" s="76" t="b">
        <v>0</v>
      </c>
      <c r="AS78" s="76" t="b">
        <v>1</v>
      </c>
      <c r="AT78" s="76"/>
      <c r="AU78" s="76">
        <v>102</v>
      </c>
      <c r="AV78" s="82" t="str">
        <f>HYPERLINK("https://abs.twimg.com/images/themes/theme14/bg.gif")</f>
        <v>https://abs.twimg.com/images/themes/theme14/bg.gif</v>
      </c>
      <c r="AW78" s="76" t="b">
        <v>0</v>
      </c>
      <c r="AX78" s="76" t="s">
        <v>1651</v>
      </c>
      <c r="AY78" s="82" t="str">
        <f>HYPERLINK("https://twitter.com/tim_batt")</f>
        <v>https://twitter.com/tim_batt</v>
      </c>
      <c r="AZ78" s="76" t="s">
        <v>66</v>
      </c>
      <c r="BA78" s="76" t="str">
        <f>REPLACE(INDEX(GroupVertices[Group],MATCH(Vertices[[#This Row],[Vertex]],GroupVertices[Vertex],0)),1,1,"")</f>
        <v>20</v>
      </c>
      <c r="BB78" s="45"/>
      <c r="BC78" s="46"/>
      <c r="BD78" s="45"/>
      <c r="BE78" s="46"/>
      <c r="BF78" s="45"/>
      <c r="BG78" s="46"/>
      <c r="BH78" s="45"/>
      <c r="BI78" s="46"/>
      <c r="BJ78" s="45"/>
      <c r="BK78" s="109" t="s">
        <v>916</v>
      </c>
      <c r="BL78" s="109" t="s">
        <v>916</v>
      </c>
      <c r="BM78" s="109" t="s">
        <v>916</v>
      </c>
      <c r="BN78" s="109" t="s">
        <v>916</v>
      </c>
      <c r="BO78" s="2"/>
    </row>
    <row r="79" spans="1:67" ht="15">
      <c r="A79" s="61" t="s">
        <v>296</v>
      </c>
      <c r="B79" s="62"/>
      <c r="C79" s="62"/>
      <c r="D79" s="63">
        <v>80</v>
      </c>
      <c r="E79" s="65"/>
      <c r="F79" s="100" t="str">
        <f>HYPERLINK("https://pbs.twimg.com/profile_images/1530047904009687042/UJIMqhXV_normal.jpg")</f>
        <v>https://pbs.twimg.com/profile_images/1530047904009687042/UJIMqhXV_normal.jpg</v>
      </c>
      <c r="G79" s="62"/>
      <c r="H79" s="66" t="s">
        <v>296</v>
      </c>
      <c r="I79" s="67"/>
      <c r="J79" s="67"/>
      <c r="K79" s="66" t="s">
        <v>296</v>
      </c>
      <c r="L79" s="70">
        <v>1</v>
      </c>
      <c r="M79" s="71">
        <v>4172.2705078125</v>
      </c>
      <c r="N79" s="71">
        <v>2832.0068359375</v>
      </c>
      <c r="O79" s="72"/>
      <c r="P79" s="73"/>
      <c r="Q79" s="73"/>
      <c r="R79" s="86"/>
      <c r="S79" s="45">
        <v>2</v>
      </c>
      <c r="T79" s="45">
        <v>1</v>
      </c>
      <c r="U79" s="46">
        <v>0</v>
      </c>
      <c r="V79" s="46">
        <v>0.005025</v>
      </c>
      <c r="W79" s="46">
        <v>0</v>
      </c>
      <c r="X79" s="46">
        <v>0.005349</v>
      </c>
      <c r="Y79" s="46">
        <v>0</v>
      </c>
      <c r="Z79" s="46">
        <v>0</v>
      </c>
      <c r="AA79" s="68">
        <v>79</v>
      </c>
      <c r="AB79" s="68"/>
      <c r="AC79" s="69"/>
      <c r="AD79" s="76" t="s">
        <v>1062</v>
      </c>
      <c r="AE79" s="85" t="s">
        <v>1247</v>
      </c>
      <c r="AF79" s="76">
        <v>3995</v>
      </c>
      <c r="AG79" s="76">
        <v>5232</v>
      </c>
      <c r="AH79" s="76">
        <v>4938</v>
      </c>
      <c r="AI79" s="76">
        <v>14615</v>
      </c>
      <c r="AJ79" s="76"/>
      <c r="AK79" s="76" t="s">
        <v>1424</v>
      </c>
      <c r="AL79" s="76" t="s">
        <v>1581</v>
      </c>
      <c r="AM79" s="82" t="str">
        <f>HYPERLINK("https://t.co/K1gK9aQf5X")</f>
        <v>https://t.co/K1gK9aQf5X</v>
      </c>
      <c r="AN79" s="76"/>
      <c r="AO79" s="78">
        <v>40949.01047453703</v>
      </c>
      <c r="AP79" s="82" t="str">
        <f>HYPERLINK("https://pbs.twimg.com/profile_banners/488018231/1635389951")</f>
        <v>https://pbs.twimg.com/profile_banners/488018231/1635389951</v>
      </c>
      <c r="AQ79" s="76" t="b">
        <v>0</v>
      </c>
      <c r="AR79" s="76" t="b">
        <v>0</v>
      </c>
      <c r="AS79" s="76" t="b">
        <v>0</v>
      </c>
      <c r="AT79" s="76"/>
      <c r="AU79" s="76">
        <v>66</v>
      </c>
      <c r="AV79" s="82" t="str">
        <f>HYPERLINK("https://abs.twimg.com/images/themes/theme1/bg.png")</f>
        <v>https://abs.twimg.com/images/themes/theme1/bg.png</v>
      </c>
      <c r="AW79" s="76" t="b">
        <v>0</v>
      </c>
      <c r="AX79" s="76" t="s">
        <v>1651</v>
      </c>
      <c r="AY79" s="82" t="str">
        <f>HYPERLINK("https://twitter.com/jflhere")</f>
        <v>https://twitter.com/jflhere</v>
      </c>
      <c r="AZ79" s="76" t="s">
        <v>66</v>
      </c>
      <c r="BA79" s="76" t="str">
        <f>REPLACE(INDEX(GroupVertices[Group],MATCH(Vertices[[#This Row],[Vertex]],GroupVertices[Vertex],0)),1,1,"")</f>
        <v>39</v>
      </c>
      <c r="BB79" s="45"/>
      <c r="BC79" s="46"/>
      <c r="BD79" s="45"/>
      <c r="BE79" s="46"/>
      <c r="BF79" s="45"/>
      <c r="BG79" s="46"/>
      <c r="BH79" s="45"/>
      <c r="BI79" s="46"/>
      <c r="BJ79" s="45"/>
      <c r="BK79" s="109" t="s">
        <v>916</v>
      </c>
      <c r="BL79" s="109" t="s">
        <v>916</v>
      </c>
      <c r="BM79" s="109" t="s">
        <v>916</v>
      </c>
      <c r="BN79" s="109" t="s">
        <v>916</v>
      </c>
      <c r="BO79" s="2"/>
    </row>
    <row r="80" spans="1:67" ht="15">
      <c r="A80" s="61" t="s">
        <v>297</v>
      </c>
      <c r="B80" s="62"/>
      <c r="C80" s="62"/>
      <c r="D80" s="63">
        <v>80</v>
      </c>
      <c r="E80" s="65"/>
      <c r="F80" s="100" t="str">
        <f>HYPERLINK("https://pbs.twimg.com/profile_images/1411441082265657346/ysWwulj3_normal.jpg")</f>
        <v>https://pbs.twimg.com/profile_images/1411441082265657346/ysWwulj3_normal.jpg</v>
      </c>
      <c r="G80" s="62"/>
      <c r="H80" s="66" t="s">
        <v>297</v>
      </c>
      <c r="I80" s="67"/>
      <c r="J80" s="67"/>
      <c r="K80" s="66" t="s">
        <v>297</v>
      </c>
      <c r="L80" s="70">
        <v>1</v>
      </c>
      <c r="M80" s="71">
        <v>3278.05224609375</v>
      </c>
      <c r="N80" s="71">
        <v>1903.7657470703125</v>
      </c>
      <c r="O80" s="72"/>
      <c r="P80" s="73"/>
      <c r="Q80" s="73"/>
      <c r="R80" s="86"/>
      <c r="S80" s="45">
        <v>0</v>
      </c>
      <c r="T80" s="45">
        <v>1</v>
      </c>
      <c r="U80" s="46">
        <v>0</v>
      </c>
      <c r="V80" s="46">
        <v>0.005025</v>
      </c>
      <c r="W80" s="46">
        <v>0</v>
      </c>
      <c r="X80" s="46">
        <v>0.004651</v>
      </c>
      <c r="Y80" s="46">
        <v>0</v>
      </c>
      <c r="Z80" s="46">
        <v>0</v>
      </c>
      <c r="AA80" s="68">
        <v>80</v>
      </c>
      <c r="AB80" s="68"/>
      <c r="AC80" s="69"/>
      <c r="AD80" s="76" t="s">
        <v>1063</v>
      </c>
      <c r="AE80" s="85" t="s">
        <v>1248</v>
      </c>
      <c r="AF80" s="76">
        <v>4496</v>
      </c>
      <c r="AG80" s="76">
        <v>4788</v>
      </c>
      <c r="AH80" s="76">
        <v>222119</v>
      </c>
      <c r="AI80" s="76">
        <v>254412</v>
      </c>
      <c r="AJ80" s="76"/>
      <c r="AK80" s="76" t="s">
        <v>1425</v>
      </c>
      <c r="AL80" s="76" t="s">
        <v>1582</v>
      </c>
      <c r="AM80" s="82" t="str">
        <f>HYPERLINK("https://t.co/tJXpg3k26T")</f>
        <v>https://t.co/tJXpg3k26T</v>
      </c>
      <c r="AN80" s="76"/>
      <c r="AO80" s="78">
        <v>39897.76320601852</v>
      </c>
      <c r="AP80" s="82" t="str">
        <f>HYPERLINK("https://pbs.twimg.com/profile_banners/26554804/1561049201")</f>
        <v>https://pbs.twimg.com/profile_banners/26554804/1561049201</v>
      </c>
      <c r="AQ80" s="76" t="b">
        <v>0</v>
      </c>
      <c r="AR80" s="76" t="b">
        <v>0</v>
      </c>
      <c r="AS80" s="76" t="b">
        <v>0</v>
      </c>
      <c r="AT80" s="76"/>
      <c r="AU80" s="76">
        <v>49</v>
      </c>
      <c r="AV80" s="82" t="str">
        <f>HYPERLINK("https://abs.twimg.com/images/themes/theme17/bg.gif")</f>
        <v>https://abs.twimg.com/images/themes/theme17/bg.gif</v>
      </c>
      <c r="AW80" s="76" t="b">
        <v>0</v>
      </c>
      <c r="AX80" s="76" t="s">
        <v>1651</v>
      </c>
      <c r="AY80" s="82" t="str">
        <f>HYPERLINK("https://twitter.com/lisekimhorton")</f>
        <v>https://twitter.com/lisekimhorton</v>
      </c>
      <c r="AZ80" s="76" t="s">
        <v>66</v>
      </c>
      <c r="BA80" s="76" t="str">
        <f>REPLACE(INDEX(GroupVertices[Group],MATCH(Vertices[[#This Row],[Vertex]],GroupVertices[Vertex],0)),1,1,"")</f>
        <v>39</v>
      </c>
      <c r="BB80" s="45"/>
      <c r="BC80" s="46"/>
      <c r="BD80" s="45"/>
      <c r="BE80" s="46"/>
      <c r="BF80" s="45"/>
      <c r="BG80" s="46"/>
      <c r="BH80" s="45"/>
      <c r="BI80" s="46"/>
      <c r="BJ80" s="45"/>
      <c r="BK80" s="109" t="s">
        <v>916</v>
      </c>
      <c r="BL80" s="109" t="s">
        <v>916</v>
      </c>
      <c r="BM80" s="109" t="s">
        <v>916</v>
      </c>
      <c r="BN80" s="109" t="s">
        <v>916</v>
      </c>
      <c r="BO80" s="2"/>
    </row>
    <row r="81" spans="1:67" ht="15">
      <c r="A81" s="61" t="s">
        <v>298</v>
      </c>
      <c r="B81" s="62"/>
      <c r="C81" s="62"/>
      <c r="D81" s="63">
        <v>80</v>
      </c>
      <c r="E81" s="65"/>
      <c r="F81" s="100" t="str">
        <f>HYPERLINK("https://pbs.twimg.com/profile_images/946122692922445824/q9suMei__normal.jpg")</f>
        <v>https://pbs.twimg.com/profile_images/946122692922445824/q9suMei__normal.jpg</v>
      </c>
      <c r="G81" s="62"/>
      <c r="H81" s="66" t="s">
        <v>298</v>
      </c>
      <c r="I81" s="67"/>
      <c r="J81" s="67"/>
      <c r="K81" s="66" t="s">
        <v>298</v>
      </c>
      <c r="L81" s="70">
        <v>1</v>
      </c>
      <c r="M81" s="71">
        <v>4270.81494140625</v>
      </c>
      <c r="N81" s="71">
        <v>2926.69677734375</v>
      </c>
      <c r="O81" s="72"/>
      <c r="P81" s="73"/>
      <c r="Q81" s="73"/>
      <c r="R81" s="86"/>
      <c r="S81" s="45">
        <v>1</v>
      </c>
      <c r="T81" s="45">
        <v>2</v>
      </c>
      <c r="U81" s="46">
        <v>0</v>
      </c>
      <c r="V81" s="46">
        <v>0.005025</v>
      </c>
      <c r="W81" s="46">
        <v>0</v>
      </c>
      <c r="X81" s="46">
        <v>0.005349</v>
      </c>
      <c r="Y81" s="46">
        <v>0</v>
      </c>
      <c r="Z81" s="46">
        <v>0</v>
      </c>
      <c r="AA81" s="68">
        <v>81</v>
      </c>
      <c r="AB81" s="68"/>
      <c r="AC81" s="69"/>
      <c r="AD81" s="76" t="s">
        <v>1064</v>
      </c>
      <c r="AE81" s="85" t="s">
        <v>1249</v>
      </c>
      <c r="AF81" s="76">
        <v>37</v>
      </c>
      <c r="AG81" s="76">
        <v>286</v>
      </c>
      <c r="AH81" s="76">
        <v>11460</v>
      </c>
      <c r="AI81" s="76">
        <v>19777</v>
      </c>
      <c r="AJ81" s="76"/>
      <c r="AK81" s="76" t="s">
        <v>1426</v>
      </c>
      <c r="AL81" s="76" t="s">
        <v>1583</v>
      </c>
      <c r="AM81" s="76"/>
      <c r="AN81" s="76"/>
      <c r="AO81" s="78">
        <v>40196.10695601852</v>
      </c>
      <c r="AP81" s="82" t="str">
        <f>HYPERLINK("https://pbs.twimg.com/profile_banners/105964692/1641321773")</f>
        <v>https://pbs.twimg.com/profile_banners/105964692/1641321773</v>
      </c>
      <c r="AQ81" s="76" t="b">
        <v>1</v>
      </c>
      <c r="AR81" s="76" t="b">
        <v>0</v>
      </c>
      <c r="AS81" s="76" t="b">
        <v>1</v>
      </c>
      <c r="AT81" s="76"/>
      <c r="AU81" s="76">
        <v>5</v>
      </c>
      <c r="AV81" s="82" t="str">
        <f>HYPERLINK("https://abs.twimg.com/images/themes/theme1/bg.png")</f>
        <v>https://abs.twimg.com/images/themes/theme1/bg.png</v>
      </c>
      <c r="AW81" s="76" t="b">
        <v>0</v>
      </c>
      <c r="AX81" s="76" t="s">
        <v>1651</v>
      </c>
      <c r="AY81" s="82" t="str">
        <f>HYPERLINK("https://twitter.com/glen1macdonald")</f>
        <v>https://twitter.com/glen1macdonald</v>
      </c>
      <c r="AZ81" s="76" t="s">
        <v>66</v>
      </c>
      <c r="BA81" s="76" t="str">
        <f>REPLACE(INDEX(GroupVertices[Group],MATCH(Vertices[[#This Row],[Vertex]],GroupVertices[Vertex],0)),1,1,"")</f>
        <v>38</v>
      </c>
      <c r="BB81" s="45"/>
      <c r="BC81" s="46"/>
      <c r="BD81" s="45"/>
      <c r="BE81" s="46"/>
      <c r="BF81" s="45"/>
      <c r="BG81" s="46"/>
      <c r="BH81" s="45"/>
      <c r="BI81" s="46"/>
      <c r="BJ81" s="45"/>
      <c r="BK81" s="109" t="s">
        <v>916</v>
      </c>
      <c r="BL81" s="109" t="s">
        <v>916</v>
      </c>
      <c r="BM81" s="109" t="s">
        <v>916</v>
      </c>
      <c r="BN81" s="109" t="s">
        <v>916</v>
      </c>
      <c r="BO81" s="2"/>
    </row>
    <row r="82" spans="1:67" ht="15">
      <c r="A82" s="61" t="s">
        <v>407</v>
      </c>
      <c r="B82" s="62"/>
      <c r="C82" s="62"/>
      <c r="D82" s="63">
        <v>80</v>
      </c>
      <c r="E82" s="65"/>
      <c r="F82" s="100" t="str">
        <f>HYPERLINK("https://pbs.twimg.com/profile_images/1050725655560605696/xyv2PDmz_normal.jpg")</f>
        <v>https://pbs.twimg.com/profile_images/1050725655560605696/xyv2PDmz_normal.jpg</v>
      </c>
      <c r="G82" s="62"/>
      <c r="H82" s="66" t="s">
        <v>407</v>
      </c>
      <c r="I82" s="67"/>
      <c r="J82" s="67"/>
      <c r="K82" s="66" t="s">
        <v>407</v>
      </c>
      <c r="L82" s="70">
        <v>1</v>
      </c>
      <c r="M82" s="71">
        <v>4041.562744140625</v>
      </c>
      <c r="N82" s="71">
        <v>1628.9044189453125</v>
      </c>
      <c r="O82" s="72"/>
      <c r="P82" s="73"/>
      <c r="Q82" s="73"/>
      <c r="R82" s="86"/>
      <c r="S82" s="45">
        <v>1</v>
      </c>
      <c r="T82" s="45">
        <v>0</v>
      </c>
      <c r="U82" s="46">
        <v>0</v>
      </c>
      <c r="V82" s="46">
        <v>0.005025</v>
      </c>
      <c r="W82" s="46">
        <v>0</v>
      </c>
      <c r="X82" s="46">
        <v>0.004651</v>
      </c>
      <c r="Y82" s="46">
        <v>0</v>
      </c>
      <c r="Z82" s="46">
        <v>0</v>
      </c>
      <c r="AA82" s="68">
        <v>82</v>
      </c>
      <c r="AB82" s="68"/>
      <c r="AC82" s="69"/>
      <c r="AD82" s="76" t="s">
        <v>1065</v>
      </c>
      <c r="AE82" s="85" t="s">
        <v>1250</v>
      </c>
      <c r="AF82" s="76">
        <v>44476</v>
      </c>
      <c r="AG82" s="76">
        <v>70935</v>
      </c>
      <c r="AH82" s="76">
        <v>178673</v>
      </c>
      <c r="AI82" s="76">
        <v>113525</v>
      </c>
      <c r="AJ82" s="76"/>
      <c r="AK82" s="76" t="s">
        <v>1427</v>
      </c>
      <c r="AL82" s="76" t="s">
        <v>1540</v>
      </c>
      <c r="AM82" s="76"/>
      <c r="AN82" s="76"/>
      <c r="AO82" s="78">
        <v>41207.761342592596</v>
      </c>
      <c r="AP82" s="82" t="str">
        <f>HYPERLINK("https://pbs.twimg.com/profile_banners/904408999/1523541570")</f>
        <v>https://pbs.twimg.com/profile_banners/904408999/1523541570</v>
      </c>
      <c r="AQ82" s="76" t="b">
        <v>0</v>
      </c>
      <c r="AR82" s="76" t="b">
        <v>0</v>
      </c>
      <c r="AS82" s="76" t="b">
        <v>1</v>
      </c>
      <c r="AT82" s="76"/>
      <c r="AU82" s="76">
        <v>809</v>
      </c>
      <c r="AV82" s="82" t="str">
        <f>HYPERLINK("https://abs.twimg.com/images/themes/theme14/bg.gif")</f>
        <v>https://abs.twimg.com/images/themes/theme14/bg.gif</v>
      </c>
      <c r="AW82" s="76" t="b">
        <v>0</v>
      </c>
      <c r="AX82" s="76" t="s">
        <v>1651</v>
      </c>
      <c r="AY82" s="82" t="str">
        <f>HYPERLINK("https://twitter.com/geraldkutney")</f>
        <v>https://twitter.com/geraldkutney</v>
      </c>
      <c r="AZ82" s="76" t="s">
        <v>65</v>
      </c>
      <c r="BA82" s="76" t="str">
        <f>REPLACE(INDEX(GroupVertices[Group],MATCH(Vertices[[#This Row],[Vertex]],GroupVertices[Vertex],0)),1,1,"")</f>
        <v>38</v>
      </c>
      <c r="BB82" s="45"/>
      <c r="BC82" s="46"/>
      <c r="BD82" s="45"/>
      <c r="BE82" s="46"/>
      <c r="BF82" s="45"/>
      <c r="BG82" s="46"/>
      <c r="BH82" s="45"/>
      <c r="BI82" s="46"/>
      <c r="BJ82" s="45"/>
      <c r="BK82" s="45"/>
      <c r="BL82" s="45"/>
      <c r="BM82" s="45"/>
      <c r="BN82" s="45"/>
      <c r="BO82" s="2"/>
    </row>
    <row r="83" spans="1:67" ht="15">
      <c r="A83" s="61" t="s">
        <v>300</v>
      </c>
      <c r="B83" s="62"/>
      <c r="C83" s="62"/>
      <c r="D83" s="63">
        <v>80</v>
      </c>
      <c r="E83" s="65"/>
      <c r="F83" s="100" t="str">
        <f>HYPERLINK("https://abs.twimg.com/sticky/default_profile_images/default_profile_normal.png")</f>
        <v>https://abs.twimg.com/sticky/default_profile_images/default_profile_normal.png</v>
      </c>
      <c r="G83" s="62"/>
      <c r="H83" s="66" t="s">
        <v>300</v>
      </c>
      <c r="I83" s="67"/>
      <c r="J83" s="67"/>
      <c r="K83" s="66" t="s">
        <v>300</v>
      </c>
      <c r="L83" s="70">
        <v>1</v>
      </c>
      <c r="M83" s="71">
        <v>4517.6416015625</v>
      </c>
      <c r="N83" s="71">
        <v>2529.5146484375</v>
      </c>
      <c r="O83" s="72"/>
      <c r="P83" s="73"/>
      <c r="Q83" s="73"/>
      <c r="R83" s="86"/>
      <c r="S83" s="45">
        <v>1</v>
      </c>
      <c r="T83" s="45">
        <v>1</v>
      </c>
      <c r="U83" s="46">
        <v>0</v>
      </c>
      <c r="V83" s="46">
        <v>0</v>
      </c>
      <c r="W83" s="46">
        <v>0</v>
      </c>
      <c r="X83" s="46">
        <v>0.005</v>
      </c>
      <c r="Y83" s="46">
        <v>0</v>
      </c>
      <c r="Z83" s="46">
        <v>0</v>
      </c>
      <c r="AA83" s="68">
        <v>83</v>
      </c>
      <c r="AB83" s="68"/>
      <c r="AC83" s="69"/>
      <c r="AD83" s="76" t="s">
        <v>1066</v>
      </c>
      <c r="AE83" s="85" t="s">
        <v>1251</v>
      </c>
      <c r="AF83" s="76">
        <v>610</v>
      </c>
      <c r="AG83" s="76">
        <v>106</v>
      </c>
      <c r="AH83" s="76">
        <v>1488</v>
      </c>
      <c r="AI83" s="76">
        <v>91175</v>
      </c>
      <c r="AJ83" s="76"/>
      <c r="AK83" s="76" t="s">
        <v>1428</v>
      </c>
      <c r="AL83" s="76" t="s">
        <v>1584</v>
      </c>
      <c r="AM83" s="76"/>
      <c r="AN83" s="76"/>
      <c r="AO83" s="78">
        <v>39815.08188657407</v>
      </c>
      <c r="AP83" s="76"/>
      <c r="AQ83" s="76" t="b">
        <v>1</v>
      </c>
      <c r="AR83" s="76" t="b">
        <v>1</v>
      </c>
      <c r="AS83" s="76" t="b">
        <v>0</v>
      </c>
      <c r="AT83" s="76"/>
      <c r="AU83" s="76">
        <v>1</v>
      </c>
      <c r="AV83" s="82" t="str">
        <f>HYPERLINK("https://abs.twimg.com/images/themes/theme1/bg.png")</f>
        <v>https://abs.twimg.com/images/themes/theme1/bg.png</v>
      </c>
      <c r="AW83" s="76" t="b">
        <v>0</v>
      </c>
      <c r="AX83" s="76" t="s">
        <v>1651</v>
      </c>
      <c r="AY83" s="82" t="str">
        <f>HYPERLINK("https://twitter.com/rickhan")</f>
        <v>https://twitter.com/rickhan</v>
      </c>
      <c r="AZ83" s="76" t="s">
        <v>66</v>
      </c>
      <c r="BA83" s="76" t="str">
        <f>REPLACE(INDEX(GroupVertices[Group],MATCH(Vertices[[#This Row],[Vertex]],GroupVertices[Vertex],0)),1,1,"")</f>
        <v>74</v>
      </c>
      <c r="BB83" s="45"/>
      <c r="BC83" s="46"/>
      <c r="BD83" s="45"/>
      <c r="BE83" s="46"/>
      <c r="BF83" s="45"/>
      <c r="BG83" s="46"/>
      <c r="BH83" s="45"/>
      <c r="BI83" s="46"/>
      <c r="BJ83" s="45"/>
      <c r="BK83" s="109" t="s">
        <v>916</v>
      </c>
      <c r="BL83" s="109" t="s">
        <v>916</v>
      </c>
      <c r="BM83" s="109" t="s">
        <v>916</v>
      </c>
      <c r="BN83" s="109" t="s">
        <v>916</v>
      </c>
      <c r="BO83" s="2"/>
    </row>
    <row r="84" spans="1:67" ht="15">
      <c r="A84" s="61" t="s">
        <v>301</v>
      </c>
      <c r="B84" s="62"/>
      <c r="C84" s="62"/>
      <c r="D84" s="63">
        <v>80</v>
      </c>
      <c r="E84" s="65"/>
      <c r="F84" s="100" t="str">
        <f>HYPERLINK("https://pbs.twimg.com/profile_images/1592176988608937985/rKkkmrnk_normal.jpg")</f>
        <v>https://pbs.twimg.com/profile_images/1592176988608937985/rKkkmrnk_normal.jpg</v>
      </c>
      <c r="G84" s="62"/>
      <c r="H84" s="66" t="s">
        <v>301</v>
      </c>
      <c r="I84" s="67"/>
      <c r="J84" s="67"/>
      <c r="K84" s="66" t="s">
        <v>301</v>
      </c>
      <c r="L84" s="70">
        <v>1</v>
      </c>
      <c r="M84" s="71">
        <v>4317.466796875</v>
      </c>
      <c r="N84" s="71">
        <v>2621.68359375</v>
      </c>
      <c r="O84" s="72"/>
      <c r="P84" s="73"/>
      <c r="Q84" s="73"/>
      <c r="R84" s="86"/>
      <c r="S84" s="45">
        <v>2</v>
      </c>
      <c r="T84" s="45">
        <v>1</v>
      </c>
      <c r="U84" s="46">
        <v>0</v>
      </c>
      <c r="V84" s="46">
        <v>0.005025</v>
      </c>
      <c r="W84" s="46">
        <v>0</v>
      </c>
      <c r="X84" s="46">
        <v>0.005349</v>
      </c>
      <c r="Y84" s="46">
        <v>0</v>
      </c>
      <c r="Z84" s="46">
        <v>0</v>
      </c>
      <c r="AA84" s="68">
        <v>84</v>
      </c>
      <c r="AB84" s="68"/>
      <c r="AC84" s="69"/>
      <c r="AD84" s="76" t="s">
        <v>1067</v>
      </c>
      <c r="AE84" s="85" t="s">
        <v>931</v>
      </c>
      <c r="AF84" s="76">
        <v>1761</v>
      </c>
      <c r="AG84" s="76">
        <v>703</v>
      </c>
      <c r="AH84" s="76">
        <v>50504</v>
      </c>
      <c r="AI84" s="76">
        <v>30423</v>
      </c>
      <c r="AJ84" s="76"/>
      <c r="AK84" s="76" t="s">
        <v>1429</v>
      </c>
      <c r="AL84" s="76" t="s">
        <v>1585</v>
      </c>
      <c r="AM84" s="76"/>
      <c r="AN84" s="76"/>
      <c r="AO84" s="78">
        <v>42964.71554398148</v>
      </c>
      <c r="AP84" s="82" t="str">
        <f>HYPERLINK("https://pbs.twimg.com/profile_banners/898230537244073986/1559559854")</f>
        <v>https://pbs.twimg.com/profile_banners/898230537244073986/1559559854</v>
      </c>
      <c r="AQ84" s="76" t="b">
        <v>0</v>
      </c>
      <c r="AR84" s="76" t="b">
        <v>0</v>
      </c>
      <c r="AS84" s="76" t="b">
        <v>0</v>
      </c>
      <c r="AT84" s="76"/>
      <c r="AU84" s="76">
        <v>1</v>
      </c>
      <c r="AV84" s="82" t="str">
        <f>HYPERLINK("https://abs.twimg.com/images/themes/theme1/bg.png")</f>
        <v>https://abs.twimg.com/images/themes/theme1/bg.png</v>
      </c>
      <c r="AW84" s="76" t="b">
        <v>0</v>
      </c>
      <c r="AX84" s="76" t="s">
        <v>1651</v>
      </c>
      <c r="AY84" s="82" t="str">
        <f>HYPERLINK("https://twitter.com/sababausa")</f>
        <v>https://twitter.com/sababausa</v>
      </c>
      <c r="AZ84" s="76" t="s">
        <v>66</v>
      </c>
      <c r="BA84" s="76" t="str">
        <f>REPLACE(INDEX(GroupVertices[Group],MATCH(Vertices[[#This Row],[Vertex]],GroupVertices[Vertex],0)),1,1,"")</f>
        <v>37</v>
      </c>
      <c r="BB84" s="45"/>
      <c r="BC84" s="46"/>
      <c r="BD84" s="45"/>
      <c r="BE84" s="46"/>
      <c r="BF84" s="45"/>
      <c r="BG84" s="46"/>
      <c r="BH84" s="45"/>
      <c r="BI84" s="46"/>
      <c r="BJ84" s="45"/>
      <c r="BK84" s="109" t="s">
        <v>916</v>
      </c>
      <c r="BL84" s="109" t="s">
        <v>916</v>
      </c>
      <c r="BM84" s="109" t="s">
        <v>916</v>
      </c>
      <c r="BN84" s="109" t="s">
        <v>916</v>
      </c>
      <c r="BO84" s="2"/>
    </row>
    <row r="85" spans="1:67" ht="15">
      <c r="A85" s="61" t="s">
        <v>302</v>
      </c>
      <c r="B85" s="62"/>
      <c r="C85" s="62"/>
      <c r="D85" s="63">
        <v>80</v>
      </c>
      <c r="E85" s="65"/>
      <c r="F85" s="100" t="str">
        <f>HYPERLINK("https://pbs.twimg.com/profile_images/1468114541196152835/F-ptyNrd_normal.png")</f>
        <v>https://pbs.twimg.com/profile_images/1468114541196152835/F-ptyNrd_normal.png</v>
      </c>
      <c r="G85" s="62"/>
      <c r="H85" s="66" t="s">
        <v>302</v>
      </c>
      <c r="I85" s="67"/>
      <c r="J85" s="67"/>
      <c r="K85" s="66" t="s">
        <v>302</v>
      </c>
      <c r="L85" s="70">
        <v>1</v>
      </c>
      <c r="M85" s="71">
        <v>3818.390869140625</v>
      </c>
      <c r="N85" s="71">
        <v>3833.23876953125</v>
      </c>
      <c r="O85" s="72"/>
      <c r="P85" s="73"/>
      <c r="Q85" s="73"/>
      <c r="R85" s="86"/>
      <c r="S85" s="45">
        <v>0</v>
      </c>
      <c r="T85" s="45">
        <v>1</v>
      </c>
      <c r="U85" s="46">
        <v>0</v>
      </c>
      <c r="V85" s="46">
        <v>0.005025</v>
      </c>
      <c r="W85" s="46">
        <v>0</v>
      </c>
      <c r="X85" s="46">
        <v>0.004651</v>
      </c>
      <c r="Y85" s="46">
        <v>0</v>
      </c>
      <c r="Z85" s="46">
        <v>0</v>
      </c>
      <c r="AA85" s="68">
        <v>85</v>
      </c>
      <c r="AB85" s="68"/>
      <c r="AC85" s="69"/>
      <c r="AD85" s="76" t="s">
        <v>1068</v>
      </c>
      <c r="AE85" s="85" t="s">
        <v>1252</v>
      </c>
      <c r="AF85" s="76">
        <v>33</v>
      </c>
      <c r="AG85" s="76">
        <v>44</v>
      </c>
      <c r="AH85" s="76">
        <v>26328</v>
      </c>
      <c r="AI85" s="76">
        <v>40331</v>
      </c>
      <c r="AJ85" s="76"/>
      <c r="AK85" s="76"/>
      <c r="AL85" s="76"/>
      <c r="AM85" s="76"/>
      <c r="AN85" s="76"/>
      <c r="AO85" s="78">
        <v>44537.295798611114</v>
      </c>
      <c r="AP85" s="76"/>
      <c r="AQ85" s="76" t="b">
        <v>1</v>
      </c>
      <c r="AR85" s="76" t="b">
        <v>0</v>
      </c>
      <c r="AS85" s="76" t="b">
        <v>0</v>
      </c>
      <c r="AT85" s="76"/>
      <c r="AU85" s="76">
        <v>0</v>
      </c>
      <c r="AV85" s="76"/>
      <c r="AW85" s="76" t="b">
        <v>0</v>
      </c>
      <c r="AX85" s="76" t="s">
        <v>1651</v>
      </c>
      <c r="AY85" s="82" t="str">
        <f>HYPERLINK("https://twitter.com/jonatha04031958")</f>
        <v>https://twitter.com/jonatha04031958</v>
      </c>
      <c r="AZ85" s="76" t="s">
        <v>66</v>
      </c>
      <c r="BA85" s="76" t="str">
        <f>REPLACE(INDEX(GroupVertices[Group],MATCH(Vertices[[#This Row],[Vertex]],GroupVertices[Vertex],0)),1,1,"")</f>
        <v>37</v>
      </c>
      <c r="BB85" s="45"/>
      <c r="BC85" s="46"/>
      <c r="BD85" s="45"/>
      <c r="BE85" s="46"/>
      <c r="BF85" s="45"/>
      <c r="BG85" s="46"/>
      <c r="BH85" s="45"/>
      <c r="BI85" s="46"/>
      <c r="BJ85" s="45"/>
      <c r="BK85" s="109" t="s">
        <v>916</v>
      </c>
      <c r="BL85" s="109" t="s">
        <v>916</v>
      </c>
      <c r="BM85" s="109" t="s">
        <v>916</v>
      </c>
      <c r="BN85" s="109" t="s">
        <v>916</v>
      </c>
      <c r="BO85" s="2"/>
    </row>
    <row r="86" spans="1:67" ht="15">
      <c r="A86" s="61" t="s">
        <v>303</v>
      </c>
      <c r="B86" s="62"/>
      <c r="C86" s="62"/>
      <c r="D86" s="63">
        <v>180.36363636363637</v>
      </c>
      <c r="E86" s="65"/>
      <c r="F86" s="100" t="str">
        <f>HYPERLINK("https://pbs.twimg.com/profile_images/1429786833211232257/ZJbw167d_normal.jpg")</f>
        <v>https://pbs.twimg.com/profile_images/1429786833211232257/ZJbw167d_normal.jpg</v>
      </c>
      <c r="G86" s="62"/>
      <c r="H86" s="66" t="s">
        <v>303</v>
      </c>
      <c r="I86" s="67"/>
      <c r="J86" s="67"/>
      <c r="K86" s="66" t="s">
        <v>303</v>
      </c>
      <c r="L86" s="70">
        <v>138.90344827586208</v>
      </c>
      <c r="M86" s="71">
        <v>4633.931640625</v>
      </c>
      <c r="N86" s="71">
        <v>5147.08056640625</v>
      </c>
      <c r="O86" s="72"/>
      <c r="P86" s="73"/>
      <c r="Q86" s="73"/>
      <c r="R86" s="86"/>
      <c r="S86" s="45">
        <v>0</v>
      </c>
      <c r="T86" s="45">
        <v>3</v>
      </c>
      <c r="U86" s="46">
        <v>4.8</v>
      </c>
      <c r="V86" s="46">
        <v>0.044305</v>
      </c>
      <c r="W86" s="46">
        <v>0.001709</v>
      </c>
      <c r="X86" s="46">
        <v>0.004629</v>
      </c>
      <c r="Y86" s="46">
        <v>0.3333333333333333</v>
      </c>
      <c r="Z86" s="46">
        <v>0</v>
      </c>
      <c r="AA86" s="68">
        <v>86</v>
      </c>
      <c r="AB86" s="68"/>
      <c r="AC86" s="69"/>
      <c r="AD86" s="76" t="s">
        <v>1069</v>
      </c>
      <c r="AE86" s="85" t="s">
        <v>1253</v>
      </c>
      <c r="AF86" s="76">
        <v>188</v>
      </c>
      <c r="AG86" s="76">
        <v>157</v>
      </c>
      <c r="AH86" s="76">
        <v>6676</v>
      </c>
      <c r="AI86" s="76">
        <v>19716</v>
      </c>
      <c r="AJ86" s="76"/>
      <c r="AK86" s="76"/>
      <c r="AL86" s="76"/>
      <c r="AM86" s="76"/>
      <c r="AN86" s="76"/>
      <c r="AO86" s="78">
        <v>44254.0655787037</v>
      </c>
      <c r="AP86" s="82" t="str">
        <f>HYPERLINK("https://pbs.twimg.com/profile_banners/1365475173139419143/1629722747")</f>
        <v>https://pbs.twimg.com/profile_banners/1365475173139419143/1629722747</v>
      </c>
      <c r="AQ86" s="76" t="b">
        <v>1</v>
      </c>
      <c r="AR86" s="76" t="b">
        <v>0</v>
      </c>
      <c r="AS86" s="76" t="b">
        <v>0</v>
      </c>
      <c r="AT86" s="76"/>
      <c r="AU86" s="76">
        <v>0</v>
      </c>
      <c r="AV86" s="76"/>
      <c r="AW86" s="76" t="b">
        <v>0</v>
      </c>
      <c r="AX86" s="76" t="s">
        <v>1651</v>
      </c>
      <c r="AY86" s="82" t="str">
        <f>HYPERLINK("https://twitter.com/scott40162519")</f>
        <v>https://twitter.com/scott40162519</v>
      </c>
      <c r="AZ86" s="76" t="s">
        <v>66</v>
      </c>
      <c r="BA86" s="76" t="str">
        <f>REPLACE(INDEX(GroupVertices[Group],MATCH(Vertices[[#This Row],[Vertex]],GroupVertices[Vertex],0)),1,1,"")</f>
        <v>2</v>
      </c>
      <c r="BB86" s="45"/>
      <c r="BC86" s="46"/>
      <c r="BD86" s="45"/>
      <c r="BE86" s="46"/>
      <c r="BF86" s="45"/>
      <c r="BG86" s="46"/>
      <c r="BH86" s="45"/>
      <c r="BI86" s="46"/>
      <c r="BJ86" s="45"/>
      <c r="BK86" s="109" t="s">
        <v>916</v>
      </c>
      <c r="BL86" s="109" t="s">
        <v>916</v>
      </c>
      <c r="BM86" s="109" t="s">
        <v>916</v>
      </c>
      <c r="BN86" s="109" t="s">
        <v>916</v>
      </c>
      <c r="BO86" s="2"/>
    </row>
    <row r="87" spans="1:67" ht="15">
      <c r="A87" s="61" t="s">
        <v>408</v>
      </c>
      <c r="B87" s="62"/>
      <c r="C87" s="62"/>
      <c r="D87" s="63">
        <v>163.63636363636363</v>
      </c>
      <c r="E87" s="65"/>
      <c r="F87" s="100" t="str">
        <f>HYPERLINK("https://pbs.twimg.com/profile_images/1609943906984017920/GuhA3cTu_normal.jpg")</f>
        <v>https://pbs.twimg.com/profile_images/1609943906984017920/GuhA3cTu_normal.jpg</v>
      </c>
      <c r="G87" s="62"/>
      <c r="H87" s="66" t="s">
        <v>408</v>
      </c>
      <c r="I87" s="67"/>
      <c r="J87" s="67"/>
      <c r="K87" s="66" t="s">
        <v>408</v>
      </c>
      <c r="L87" s="70">
        <v>115.91954022988506</v>
      </c>
      <c r="M87" s="71">
        <v>3796.17919921875</v>
      </c>
      <c r="N87" s="71">
        <v>4939.97509765625</v>
      </c>
      <c r="O87" s="72"/>
      <c r="P87" s="73"/>
      <c r="Q87" s="73"/>
      <c r="R87" s="86"/>
      <c r="S87" s="45">
        <v>5</v>
      </c>
      <c r="T87" s="45">
        <v>0</v>
      </c>
      <c r="U87" s="46">
        <v>4</v>
      </c>
      <c r="V87" s="46">
        <v>0.038526</v>
      </c>
      <c r="W87" s="46">
        <v>0.00216</v>
      </c>
      <c r="X87" s="46">
        <v>0.005281</v>
      </c>
      <c r="Y87" s="46">
        <v>0.2</v>
      </c>
      <c r="Z87" s="46">
        <v>0</v>
      </c>
      <c r="AA87" s="68">
        <v>87</v>
      </c>
      <c r="AB87" s="68"/>
      <c r="AC87" s="69"/>
      <c r="AD87" s="76" t="s">
        <v>1070</v>
      </c>
      <c r="AE87" s="85" t="s">
        <v>933</v>
      </c>
      <c r="AF87" s="76">
        <v>67</v>
      </c>
      <c r="AG87" s="76">
        <v>18864</v>
      </c>
      <c r="AH87" s="76">
        <v>5863</v>
      </c>
      <c r="AI87" s="76">
        <v>8347</v>
      </c>
      <c r="AJ87" s="76"/>
      <c r="AK87" s="76" t="s">
        <v>1430</v>
      </c>
      <c r="AL87" s="76" t="s">
        <v>1586</v>
      </c>
      <c r="AM87" s="82" t="str">
        <f>HYPERLINK("https://t.co/motJ772LJF")</f>
        <v>https://t.co/motJ772LJF</v>
      </c>
      <c r="AN87" s="76"/>
      <c r="AO87" s="78">
        <v>43767.08246527778</v>
      </c>
      <c r="AP87" s="82" t="str">
        <f>HYPERLINK("https://pbs.twimg.com/profile_banners/1188998539197767680/1672675514")</f>
        <v>https://pbs.twimg.com/profile_banners/1188998539197767680/1672675514</v>
      </c>
      <c r="AQ87" s="76" t="b">
        <v>1</v>
      </c>
      <c r="AR87" s="76" t="b">
        <v>0</v>
      </c>
      <c r="AS87" s="76" t="b">
        <v>1</v>
      </c>
      <c r="AT87" s="76"/>
      <c r="AU87" s="76">
        <v>56</v>
      </c>
      <c r="AV87" s="76"/>
      <c r="AW87" s="76" t="b">
        <v>0</v>
      </c>
      <c r="AX87" s="76" t="s">
        <v>1651</v>
      </c>
      <c r="AY87" s="82" t="str">
        <f>HYPERLINK("https://twitter.com/financial_index")</f>
        <v>https://twitter.com/financial_index</v>
      </c>
      <c r="AZ87" s="76" t="s">
        <v>65</v>
      </c>
      <c r="BA87" s="76" t="str">
        <f>REPLACE(INDEX(GroupVertices[Group],MATCH(Vertices[[#This Row],[Vertex]],GroupVertices[Vertex],0)),1,1,"")</f>
        <v>2</v>
      </c>
      <c r="BB87" s="45"/>
      <c r="BC87" s="46"/>
      <c r="BD87" s="45"/>
      <c r="BE87" s="46"/>
      <c r="BF87" s="45"/>
      <c r="BG87" s="46"/>
      <c r="BH87" s="45"/>
      <c r="BI87" s="46"/>
      <c r="BJ87" s="45"/>
      <c r="BK87" s="45"/>
      <c r="BL87" s="45"/>
      <c r="BM87" s="45"/>
      <c r="BN87" s="45"/>
      <c r="BO87" s="2"/>
    </row>
    <row r="88" spans="1:67" ht="15">
      <c r="A88" s="61" t="s">
        <v>305</v>
      </c>
      <c r="B88" s="62"/>
      <c r="C88" s="62"/>
      <c r="D88" s="63">
        <v>80</v>
      </c>
      <c r="E88" s="65"/>
      <c r="F88" s="100" t="str">
        <f>HYPERLINK("https://pbs.twimg.com/profile_images/1434593982353342467/uXgtEu5z_normal.jpg")</f>
        <v>https://pbs.twimg.com/profile_images/1434593982353342467/uXgtEu5z_normal.jpg</v>
      </c>
      <c r="G88" s="62"/>
      <c r="H88" s="66" t="s">
        <v>305</v>
      </c>
      <c r="I88" s="67"/>
      <c r="J88" s="67"/>
      <c r="K88" s="66" t="s">
        <v>305</v>
      </c>
      <c r="L88" s="70">
        <v>1</v>
      </c>
      <c r="M88" s="71">
        <v>2775.657958984375</v>
      </c>
      <c r="N88" s="71">
        <v>672.7235107421875</v>
      </c>
      <c r="O88" s="72"/>
      <c r="P88" s="73"/>
      <c r="Q88" s="73"/>
      <c r="R88" s="86"/>
      <c r="S88" s="45">
        <v>0</v>
      </c>
      <c r="T88" s="45">
        <v>1</v>
      </c>
      <c r="U88" s="46">
        <v>0</v>
      </c>
      <c r="V88" s="46">
        <v>0.0067</v>
      </c>
      <c r="W88" s="46">
        <v>0</v>
      </c>
      <c r="X88" s="46">
        <v>0.004545</v>
      </c>
      <c r="Y88" s="46">
        <v>0</v>
      </c>
      <c r="Z88" s="46">
        <v>0</v>
      </c>
      <c r="AA88" s="68">
        <v>88</v>
      </c>
      <c r="AB88" s="68"/>
      <c r="AC88" s="69"/>
      <c r="AD88" s="76" t="s">
        <v>1071</v>
      </c>
      <c r="AE88" s="85" t="s">
        <v>1254</v>
      </c>
      <c r="AF88" s="76">
        <v>739</v>
      </c>
      <c r="AG88" s="76">
        <v>8209</v>
      </c>
      <c r="AH88" s="76">
        <v>13277</v>
      </c>
      <c r="AI88" s="76">
        <v>20654</v>
      </c>
      <c r="AJ88" s="76"/>
      <c r="AK88" s="76"/>
      <c r="AL88" s="76" t="s">
        <v>1564</v>
      </c>
      <c r="AM88" s="82" t="str">
        <f>HYPERLINK("https://t.co/5UNobJ4VeK")</f>
        <v>https://t.co/5UNobJ4VeK</v>
      </c>
      <c r="AN88" s="76"/>
      <c r="AO88" s="78">
        <v>40190.18146990741</v>
      </c>
      <c r="AP88" s="76"/>
      <c r="AQ88" s="76" t="b">
        <v>0</v>
      </c>
      <c r="AR88" s="76" t="b">
        <v>0</v>
      </c>
      <c r="AS88" s="76" t="b">
        <v>0</v>
      </c>
      <c r="AT88" s="76"/>
      <c r="AU88" s="76">
        <v>86</v>
      </c>
      <c r="AV88" s="82" t="str">
        <f>HYPERLINK("https://abs.twimg.com/images/themes/theme13/bg.gif")</f>
        <v>https://abs.twimg.com/images/themes/theme13/bg.gif</v>
      </c>
      <c r="AW88" s="76" t="b">
        <v>0</v>
      </c>
      <c r="AX88" s="76" t="s">
        <v>1651</v>
      </c>
      <c r="AY88" s="82" t="str">
        <f>HYPERLINK("https://twitter.com/teradar")</f>
        <v>https://twitter.com/teradar</v>
      </c>
      <c r="AZ88" s="76" t="s">
        <v>66</v>
      </c>
      <c r="BA88" s="76" t="str">
        <f>REPLACE(INDEX(GroupVertices[Group],MATCH(Vertices[[#This Row],[Vertex]],GroupVertices[Vertex],0)),1,1,"")</f>
        <v>20</v>
      </c>
      <c r="BB88" s="45"/>
      <c r="BC88" s="46"/>
      <c r="BD88" s="45"/>
      <c r="BE88" s="46"/>
      <c r="BF88" s="45"/>
      <c r="BG88" s="46"/>
      <c r="BH88" s="45"/>
      <c r="BI88" s="46"/>
      <c r="BJ88" s="45"/>
      <c r="BK88" s="109" t="s">
        <v>916</v>
      </c>
      <c r="BL88" s="109" t="s">
        <v>916</v>
      </c>
      <c r="BM88" s="109" t="s">
        <v>916</v>
      </c>
      <c r="BN88" s="109" t="s">
        <v>916</v>
      </c>
      <c r="BO88" s="2"/>
    </row>
    <row r="89" spans="1:67" ht="15">
      <c r="A89" s="61" t="s">
        <v>306</v>
      </c>
      <c r="B89" s="62"/>
      <c r="C89" s="62"/>
      <c r="D89" s="63">
        <v>100.9090909090909</v>
      </c>
      <c r="E89" s="65"/>
      <c r="F89" s="100" t="str">
        <f>HYPERLINK("https://pbs.twimg.com/profile_images/1307074644856516610/qRzoYaDp_normal.jpg")</f>
        <v>https://pbs.twimg.com/profile_images/1307074644856516610/qRzoYaDp_normal.jpg</v>
      </c>
      <c r="G89" s="62"/>
      <c r="H89" s="66" t="s">
        <v>306</v>
      </c>
      <c r="I89" s="67"/>
      <c r="J89" s="67"/>
      <c r="K89" s="66" t="s">
        <v>306</v>
      </c>
      <c r="L89" s="70">
        <v>29.729885057471265</v>
      </c>
      <c r="M89" s="71">
        <v>4449.99658203125</v>
      </c>
      <c r="N89" s="71">
        <v>2050.607666015625</v>
      </c>
      <c r="O89" s="72"/>
      <c r="P89" s="73"/>
      <c r="Q89" s="73"/>
      <c r="R89" s="86"/>
      <c r="S89" s="45">
        <v>0</v>
      </c>
      <c r="T89" s="45">
        <v>3</v>
      </c>
      <c r="U89" s="46">
        <v>1</v>
      </c>
      <c r="V89" s="46">
        <v>0.036924</v>
      </c>
      <c r="W89" s="46">
        <v>0</v>
      </c>
      <c r="X89" s="46">
        <v>0.005082</v>
      </c>
      <c r="Y89" s="46">
        <v>0.3333333333333333</v>
      </c>
      <c r="Z89" s="46">
        <v>0</v>
      </c>
      <c r="AA89" s="68">
        <v>89</v>
      </c>
      <c r="AB89" s="68"/>
      <c r="AC89" s="69"/>
      <c r="AD89" s="76" t="s">
        <v>1072</v>
      </c>
      <c r="AE89" s="85" t="s">
        <v>1255</v>
      </c>
      <c r="AF89" s="76">
        <v>716</v>
      </c>
      <c r="AG89" s="76">
        <v>220</v>
      </c>
      <c r="AH89" s="76">
        <v>5293</v>
      </c>
      <c r="AI89" s="76">
        <v>7849</v>
      </c>
      <c r="AJ89" s="76"/>
      <c r="AK89" s="76" t="s">
        <v>1431</v>
      </c>
      <c r="AL89" s="76" t="s">
        <v>1587</v>
      </c>
      <c r="AM89" s="76"/>
      <c r="AN89" s="76"/>
      <c r="AO89" s="78">
        <v>39920.1240625</v>
      </c>
      <c r="AP89" s="82" t="str">
        <f>HYPERLINK("https://pbs.twimg.com/profile_banners/32273457/1510681332")</f>
        <v>https://pbs.twimg.com/profile_banners/32273457/1510681332</v>
      </c>
      <c r="AQ89" s="76" t="b">
        <v>0</v>
      </c>
      <c r="AR89" s="76" t="b">
        <v>0</v>
      </c>
      <c r="AS89" s="76" t="b">
        <v>1</v>
      </c>
      <c r="AT89" s="76"/>
      <c r="AU89" s="76">
        <v>11</v>
      </c>
      <c r="AV89" s="82" t="str">
        <f>HYPERLINK("https://abs.twimg.com/images/themes/theme4/bg.gif")</f>
        <v>https://abs.twimg.com/images/themes/theme4/bg.gif</v>
      </c>
      <c r="AW89" s="76" t="b">
        <v>0</v>
      </c>
      <c r="AX89" s="76" t="s">
        <v>1651</v>
      </c>
      <c r="AY89" s="82" t="str">
        <f>HYPERLINK("https://twitter.com/kashelford")</f>
        <v>https://twitter.com/kashelford</v>
      </c>
      <c r="AZ89" s="76" t="s">
        <v>66</v>
      </c>
      <c r="BA89" s="76" t="str">
        <f>REPLACE(INDEX(GroupVertices[Group],MATCH(Vertices[[#This Row],[Vertex]],GroupVertices[Vertex],0)),1,1,"")</f>
        <v>3</v>
      </c>
      <c r="BB89" s="45"/>
      <c r="BC89" s="46"/>
      <c r="BD89" s="45"/>
      <c r="BE89" s="46"/>
      <c r="BF89" s="45"/>
      <c r="BG89" s="46"/>
      <c r="BH89" s="45"/>
      <c r="BI89" s="46"/>
      <c r="BJ89" s="45"/>
      <c r="BK89" s="109" t="s">
        <v>916</v>
      </c>
      <c r="BL89" s="109" t="s">
        <v>916</v>
      </c>
      <c r="BM89" s="109" t="s">
        <v>916</v>
      </c>
      <c r="BN89" s="109" t="s">
        <v>916</v>
      </c>
      <c r="BO89" s="2"/>
    </row>
    <row r="90" spans="1:67" ht="15">
      <c r="A90" s="61" t="s">
        <v>409</v>
      </c>
      <c r="B90" s="62"/>
      <c r="C90" s="62"/>
      <c r="D90" s="63">
        <v>80</v>
      </c>
      <c r="E90" s="65"/>
      <c r="F90" s="100" t="str">
        <f>HYPERLINK("https://pbs.twimg.com/profile_images/705601245596090368/Z6xUOnRg_normal.jpg")</f>
        <v>https://pbs.twimg.com/profile_images/705601245596090368/Z6xUOnRg_normal.jpg</v>
      </c>
      <c r="G90" s="62"/>
      <c r="H90" s="66" t="s">
        <v>409</v>
      </c>
      <c r="I90" s="67"/>
      <c r="J90" s="67"/>
      <c r="K90" s="66" t="s">
        <v>409</v>
      </c>
      <c r="L90" s="70">
        <v>1</v>
      </c>
      <c r="M90" s="71">
        <v>3803.50439453125</v>
      </c>
      <c r="N90" s="71">
        <v>2050.66357421875</v>
      </c>
      <c r="O90" s="72"/>
      <c r="P90" s="73"/>
      <c r="Q90" s="73"/>
      <c r="R90" s="86"/>
      <c r="S90" s="45">
        <v>2</v>
      </c>
      <c r="T90" s="45">
        <v>0</v>
      </c>
      <c r="U90" s="46">
        <v>0</v>
      </c>
      <c r="V90" s="46">
        <v>0.035385</v>
      </c>
      <c r="W90" s="46">
        <v>0</v>
      </c>
      <c r="X90" s="46">
        <v>0.00464</v>
      </c>
      <c r="Y90" s="46">
        <v>0.5</v>
      </c>
      <c r="Z90" s="46">
        <v>0</v>
      </c>
      <c r="AA90" s="68">
        <v>90</v>
      </c>
      <c r="AB90" s="68"/>
      <c r="AC90" s="69"/>
      <c r="AD90" s="76" t="s">
        <v>1073</v>
      </c>
      <c r="AE90" s="85" t="s">
        <v>1256</v>
      </c>
      <c r="AF90" s="76">
        <v>227</v>
      </c>
      <c r="AG90" s="76">
        <v>4463205</v>
      </c>
      <c r="AH90" s="76">
        <v>393904</v>
      </c>
      <c r="AI90" s="76">
        <v>3017</v>
      </c>
      <c r="AJ90" s="76"/>
      <c r="AK90" s="76" t="s">
        <v>1432</v>
      </c>
      <c r="AL90" s="76" t="s">
        <v>1588</v>
      </c>
      <c r="AM90" s="82" t="str">
        <f>HYPERLINK("https://t.co/Z9DRUcnQ8M")</f>
        <v>https://t.co/Z9DRUcnQ8M</v>
      </c>
      <c r="AN90" s="76"/>
      <c r="AO90" s="78">
        <v>39093.219305555554</v>
      </c>
      <c r="AP90" s="82" t="str">
        <f>HYPERLINK("https://pbs.twimg.com/profile_banners/624413/1398380735")</f>
        <v>https://pbs.twimg.com/profile_banners/624413/1398380735</v>
      </c>
      <c r="AQ90" s="76" t="b">
        <v>0</v>
      </c>
      <c r="AR90" s="76" t="b">
        <v>0</v>
      </c>
      <c r="AS90" s="76" t="b">
        <v>0</v>
      </c>
      <c r="AT90" s="76"/>
      <c r="AU90" s="76">
        <v>30708</v>
      </c>
      <c r="AV90" s="82" t="str">
        <f>HYPERLINK("https://abs.twimg.com/images/themes/theme1/bg.png")</f>
        <v>https://abs.twimg.com/images/themes/theme1/bg.png</v>
      </c>
      <c r="AW90" s="76" t="b">
        <v>1</v>
      </c>
      <c r="AX90" s="76" t="s">
        <v>1651</v>
      </c>
      <c r="AY90" s="82" t="str">
        <f>HYPERLINK("https://twitter.com/marketwatch")</f>
        <v>https://twitter.com/marketwatch</v>
      </c>
      <c r="AZ90" s="76" t="s">
        <v>65</v>
      </c>
      <c r="BA90" s="76" t="str">
        <f>REPLACE(INDEX(GroupVertices[Group],MATCH(Vertices[[#This Row],[Vertex]],GroupVertices[Vertex],0)),1,1,"")</f>
        <v>3</v>
      </c>
      <c r="BB90" s="45"/>
      <c r="BC90" s="46"/>
      <c r="BD90" s="45"/>
      <c r="BE90" s="46"/>
      <c r="BF90" s="45"/>
      <c r="BG90" s="46"/>
      <c r="BH90" s="45"/>
      <c r="BI90" s="46"/>
      <c r="BJ90" s="45"/>
      <c r="BK90" s="45"/>
      <c r="BL90" s="45"/>
      <c r="BM90" s="45"/>
      <c r="BN90" s="45"/>
      <c r="BO90" s="2"/>
    </row>
    <row r="91" spans="1:67" ht="15">
      <c r="A91" s="61" t="s">
        <v>410</v>
      </c>
      <c r="B91" s="62"/>
      <c r="C91" s="62"/>
      <c r="D91" s="63">
        <v>80</v>
      </c>
      <c r="E91" s="65"/>
      <c r="F91" s="100" t="str">
        <f>HYPERLINK("https://pbs.twimg.com/profile_images/723607064510083072/CHlZTDT__normal.jpg")</f>
        <v>https://pbs.twimg.com/profile_images/723607064510083072/CHlZTDT__normal.jpg</v>
      </c>
      <c r="G91" s="62"/>
      <c r="H91" s="66" t="s">
        <v>410</v>
      </c>
      <c r="I91" s="67"/>
      <c r="J91" s="67"/>
      <c r="K91" s="66" t="s">
        <v>410</v>
      </c>
      <c r="L91" s="70">
        <v>1</v>
      </c>
      <c r="M91" s="71">
        <v>5087.9423828125</v>
      </c>
      <c r="N91" s="71">
        <v>2124.227783203125</v>
      </c>
      <c r="O91" s="72"/>
      <c r="P91" s="73"/>
      <c r="Q91" s="73"/>
      <c r="R91" s="86"/>
      <c r="S91" s="45">
        <v>2</v>
      </c>
      <c r="T91" s="45">
        <v>0</v>
      </c>
      <c r="U91" s="46">
        <v>0</v>
      </c>
      <c r="V91" s="46">
        <v>0.035385</v>
      </c>
      <c r="W91" s="46">
        <v>0</v>
      </c>
      <c r="X91" s="46">
        <v>0.00464</v>
      </c>
      <c r="Y91" s="46">
        <v>0.5</v>
      </c>
      <c r="Z91" s="46">
        <v>0</v>
      </c>
      <c r="AA91" s="68">
        <v>91</v>
      </c>
      <c r="AB91" s="68"/>
      <c r="AC91" s="69"/>
      <c r="AD91" s="76" t="s">
        <v>1074</v>
      </c>
      <c r="AE91" s="85" t="s">
        <v>1257</v>
      </c>
      <c r="AF91" s="76">
        <v>5209</v>
      </c>
      <c r="AG91" s="76">
        <v>2135</v>
      </c>
      <c r="AH91" s="76">
        <v>28408</v>
      </c>
      <c r="AI91" s="76">
        <v>40028</v>
      </c>
      <c r="AJ91" s="76"/>
      <c r="AK91" s="76" t="s">
        <v>1433</v>
      </c>
      <c r="AL91" s="76" t="s">
        <v>1576</v>
      </c>
      <c r="AM91" s="76"/>
      <c r="AN91" s="76"/>
      <c r="AO91" s="78">
        <v>41079.43920138889</v>
      </c>
      <c r="AP91" s="82" t="str">
        <f>HYPERLINK("https://pbs.twimg.com/profile_banners/612531618/1582644746")</f>
        <v>https://pbs.twimg.com/profile_banners/612531618/1582644746</v>
      </c>
      <c r="AQ91" s="76" t="b">
        <v>1</v>
      </c>
      <c r="AR91" s="76" t="b">
        <v>0</v>
      </c>
      <c r="AS91" s="76" t="b">
        <v>1</v>
      </c>
      <c r="AT91" s="76"/>
      <c r="AU91" s="76">
        <v>0</v>
      </c>
      <c r="AV91" s="82" t="str">
        <f>HYPERLINK("https://abs.twimg.com/images/themes/theme1/bg.png")</f>
        <v>https://abs.twimg.com/images/themes/theme1/bg.png</v>
      </c>
      <c r="AW91" s="76" t="b">
        <v>1</v>
      </c>
      <c r="AX91" s="76" t="s">
        <v>1651</v>
      </c>
      <c r="AY91" s="82" t="str">
        <f>HYPERLINK("https://twitter.com/rachelkbeals")</f>
        <v>https://twitter.com/rachelkbeals</v>
      </c>
      <c r="AZ91" s="76" t="s">
        <v>65</v>
      </c>
      <c r="BA91" s="76" t="str">
        <f>REPLACE(INDEX(GroupVertices[Group],MATCH(Vertices[[#This Row],[Vertex]],GroupVertices[Vertex],0)),1,1,"")</f>
        <v>3</v>
      </c>
      <c r="BB91" s="45"/>
      <c r="BC91" s="46"/>
      <c r="BD91" s="45"/>
      <c r="BE91" s="46"/>
      <c r="BF91" s="45"/>
      <c r="BG91" s="46"/>
      <c r="BH91" s="45"/>
      <c r="BI91" s="46"/>
      <c r="BJ91" s="45"/>
      <c r="BK91" s="45"/>
      <c r="BL91" s="45"/>
      <c r="BM91" s="45"/>
      <c r="BN91" s="45"/>
      <c r="BO91" s="2"/>
    </row>
    <row r="92" spans="1:67" ht="15">
      <c r="A92" s="61" t="s">
        <v>323</v>
      </c>
      <c r="B92" s="62"/>
      <c r="C92" s="62"/>
      <c r="D92" s="63">
        <v>1000</v>
      </c>
      <c r="E92" s="65"/>
      <c r="F92" s="100" t="str">
        <f>HYPERLINK("https://pbs.twimg.com/profile_images/1609897647112065024/DKyJCEI__normal.jpg")</f>
        <v>https://pbs.twimg.com/profile_images/1609897647112065024/DKyJCEI__normal.jpg</v>
      </c>
      <c r="G92" s="62"/>
      <c r="H92" s="66" t="s">
        <v>323</v>
      </c>
      <c r="I92" s="67"/>
      <c r="J92" s="67"/>
      <c r="K92" s="66" t="s">
        <v>323</v>
      </c>
      <c r="L92" s="70">
        <v>4339.212643678161</v>
      </c>
      <c r="M92" s="71">
        <v>4428.90380859375</v>
      </c>
      <c r="N92" s="71">
        <v>3572.4150390625</v>
      </c>
      <c r="O92" s="72"/>
      <c r="P92" s="73"/>
      <c r="Q92" s="73"/>
      <c r="R92" s="86"/>
      <c r="S92" s="45">
        <v>1</v>
      </c>
      <c r="T92" s="45">
        <v>12</v>
      </c>
      <c r="U92" s="46">
        <v>151</v>
      </c>
      <c r="V92" s="46">
        <v>0.065327</v>
      </c>
      <c r="W92" s="46">
        <v>0</v>
      </c>
      <c r="X92" s="46">
        <v>0.011779</v>
      </c>
      <c r="Y92" s="46">
        <v>0.01282051282051282</v>
      </c>
      <c r="Z92" s="46">
        <v>0</v>
      </c>
      <c r="AA92" s="68">
        <v>92</v>
      </c>
      <c r="AB92" s="68"/>
      <c r="AC92" s="69"/>
      <c r="AD92" s="76" t="s">
        <v>1075</v>
      </c>
      <c r="AE92" s="85" t="s">
        <v>1258</v>
      </c>
      <c r="AF92" s="76">
        <v>4965</v>
      </c>
      <c r="AG92" s="76">
        <v>626</v>
      </c>
      <c r="AH92" s="76">
        <v>30774</v>
      </c>
      <c r="AI92" s="76">
        <v>9888</v>
      </c>
      <c r="AJ92" s="76"/>
      <c r="AK92" s="76" t="s">
        <v>1434</v>
      </c>
      <c r="AL92" s="76" t="s">
        <v>1589</v>
      </c>
      <c r="AM92" s="82" t="str">
        <f>HYPERLINK("https://t.co/Y5kBakWm4m")</f>
        <v>https://t.co/Y5kBakWm4m</v>
      </c>
      <c r="AN92" s="76"/>
      <c r="AO92" s="78">
        <v>44212.03387731482</v>
      </c>
      <c r="AP92" s="82" t="str">
        <f>HYPERLINK("https://pbs.twimg.com/profile_banners/1350243407935881223/1647090608")</f>
        <v>https://pbs.twimg.com/profile_banners/1350243407935881223/1647090608</v>
      </c>
      <c r="AQ92" s="76" t="b">
        <v>1</v>
      </c>
      <c r="AR92" s="76" t="b">
        <v>0</v>
      </c>
      <c r="AS92" s="76" t="b">
        <v>0</v>
      </c>
      <c r="AT92" s="76"/>
      <c r="AU92" s="76">
        <v>3</v>
      </c>
      <c r="AV92" s="76"/>
      <c r="AW92" s="76" t="b">
        <v>0</v>
      </c>
      <c r="AX92" s="76" t="s">
        <v>1651</v>
      </c>
      <c r="AY92" s="82" t="str">
        <f>HYPERLINK("https://twitter.com/scanmyphotosc")</f>
        <v>https://twitter.com/scanmyphotosc</v>
      </c>
      <c r="AZ92" s="76" t="s">
        <v>66</v>
      </c>
      <c r="BA92" s="76" t="str">
        <f>REPLACE(INDEX(GroupVertices[Group],MATCH(Vertices[[#This Row],[Vertex]],GroupVertices[Vertex],0)),1,1,"")</f>
        <v>3</v>
      </c>
      <c r="BB92" s="45"/>
      <c r="BC92" s="46"/>
      <c r="BD92" s="45"/>
      <c r="BE92" s="46"/>
      <c r="BF92" s="45"/>
      <c r="BG92" s="46"/>
      <c r="BH92" s="45"/>
      <c r="BI92" s="46"/>
      <c r="BJ92" s="45"/>
      <c r="BK92" s="109" t="s">
        <v>916</v>
      </c>
      <c r="BL92" s="109" t="s">
        <v>916</v>
      </c>
      <c r="BM92" s="109" t="s">
        <v>916</v>
      </c>
      <c r="BN92" s="109" t="s">
        <v>916</v>
      </c>
      <c r="BO92" s="2"/>
    </row>
    <row r="93" spans="1:67" ht="15">
      <c r="A93" s="61" t="s">
        <v>307</v>
      </c>
      <c r="B93" s="62"/>
      <c r="C93" s="62"/>
      <c r="D93" s="63">
        <v>80</v>
      </c>
      <c r="E93" s="65"/>
      <c r="F93" s="100" t="str">
        <f>HYPERLINK("https://pbs.twimg.com/profile_images/2423398760/54wvhtvzjk76cjr3cgbb_normal.jpeg")</f>
        <v>https://pbs.twimg.com/profile_images/2423398760/54wvhtvzjk76cjr3cgbb_normal.jpeg</v>
      </c>
      <c r="G93" s="62"/>
      <c r="H93" s="66" t="s">
        <v>307</v>
      </c>
      <c r="I93" s="67"/>
      <c r="J93" s="67"/>
      <c r="K93" s="66" t="s">
        <v>307</v>
      </c>
      <c r="L93" s="70">
        <v>1</v>
      </c>
      <c r="M93" s="71">
        <v>4266.36572265625</v>
      </c>
      <c r="N93" s="71">
        <v>2596.10546875</v>
      </c>
      <c r="O93" s="72"/>
      <c r="P93" s="73"/>
      <c r="Q93" s="73"/>
      <c r="R93" s="86"/>
      <c r="S93" s="45">
        <v>2</v>
      </c>
      <c r="T93" s="45">
        <v>1</v>
      </c>
      <c r="U93" s="46">
        <v>0</v>
      </c>
      <c r="V93" s="46">
        <v>0.005025</v>
      </c>
      <c r="W93" s="46">
        <v>0</v>
      </c>
      <c r="X93" s="46">
        <v>0.005349</v>
      </c>
      <c r="Y93" s="46">
        <v>0</v>
      </c>
      <c r="Z93" s="46">
        <v>0</v>
      </c>
      <c r="AA93" s="68">
        <v>93</v>
      </c>
      <c r="AB93" s="68"/>
      <c r="AC93" s="69"/>
      <c r="AD93" s="76" t="s">
        <v>1076</v>
      </c>
      <c r="AE93" s="85" t="s">
        <v>1259</v>
      </c>
      <c r="AF93" s="76">
        <v>29</v>
      </c>
      <c r="AG93" s="76">
        <v>361</v>
      </c>
      <c r="AH93" s="76">
        <v>21683</v>
      </c>
      <c r="AI93" s="76">
        <v>0</v>
      </c>
      <c r="AJ93" s="76"/>
      <c r="AK93" s="76" t="s">
        <v>1435</v>
      </c>
      <c r="AL93" s="76" t="s">
        <v>1590</v>
      </c>
      <c r="AM93" s="82" t="str">
        <f>HYPERLINK("https://t.co/l1mPK4zI7M")</f>
        <v>https://t.co/l1mPK4zI7M</v>
      </c>
      <c r="AN93" s="76"/>
      <c r="AO93" s="78">
        <v>41112.897141203706</v>
      </c>
      <c r="AP93" s="82" t="str">
        <f>HYPERLINK("https://pbs.twimg.com/profile_banners/711300450/1531470199")</f>
        <v>https://pbs.twimg.com/profile_banners/711300450/1531470199</v>
      </c>
      <c r="AQ93" s="76" t="b">
        <v>0</v>
      </c>
      <c r="AR93" s="76" t="b">
        <v>0</v>
      </c>
      <c r="AS93" s="76" t="b">
        <v>0</v>
      </c>
      <c r="AT93" s="76"/>
      <c r="AU93" s="76">
        <v>24</v>
      </c>
      <c r="AV93" s="82" t="str">
        <f>HYPERLINK("https://abs.twimg.com/images/themes/theme15/bg.png")</f>
        <v>https://abs.twimg.com/images/themes/theme15/bg.png</v>
      </c>
      <c r="AW93" s="76" t="b">
        <v>0</v>
      </c>
      <c r="AX93" s="76" t="s">
        <v>1651</v>
      </c>
      <c r="AY93" s="82" t="str">
        <f>HYPERLINK("https://twitter.com/behindawoodshed")</f>
        <v>https://twitter.com/behindawoodshed</v>
      </c>
      <c r="AZ93" s="76" t="s">
        <v>66</v>
      </c>
      <c r="BA93" s="76" t="str">
        <f>REPLACE(INDEX(GroupVertices[Group],MATCH(Vertices[[#This Row],[Vertex]],GroupVertices[Vertex],0)),1,1,"")</f>
        <v>36</v>
      </c>
      <c r="BB93" s="45"/>
      <c r="BC93" s="46"/>
      <c r="BD93" s="45"/>
      <c r="BE93" s="46"/>
      <c r="BF93" s="45"/>
      <c r="BG93" s="46"/>
      <c r="BH93" s="45"/>
      <c r="BI93" s="46"/>
      <c r="BJ93" s="45"/>
      <c r="BK93" s="109" t="s">
        <v>916</v>
      </c>
      <c r="BL93" s="109" t="s">
        <v>916</v>
      </c>
      <c r="BM93" s="109" t="s">
        <v>916</v>
      </c>
      <c r="BN93" s="109" t="s">
        <v>916</v>
      </c>
      <c r="BO93" s="2"/>
    </row>
    <row r="94" spans="1:67" ht="15">
      <c r="A94" s="61" t="s">
        <v>308</v>
      </c>
      <c r="B94" s="62"/>
      <c r="C94" s="62"/>
      <c r="D94" s="63">
        <v>80</v>
      </c>
      <c r="E94" s="65"/>
      <c r="F94" s="100" t="str">
        <f>HYPERLINK("https://pbs.twimg.com/profile_images/1565835913837568000/pJpbkVi4_normal.jpg")</f>
        <v>https://pbs.twimg.com/profile_images/1565835913837568000/pJpbkVi4_normal.jpg</v>
      </c>
      <c r="G94" s="62"/>
      <c r="H94" s="66" t="s">
        <v>308</v>
      </c>
      <c r="I94" s="67"/>
      <c r="J94" s="67"/>
      <c r="K94" s="66" t="s">
        <v>308</v>
      </c>
      <c r="L94" s="70">
        <v>1</v>
      </c>
      <c r="M94" s="71">
        <v>3682.060791015625</v>
      </c>
      <c r="N94" s="71">
        <v>3764.94775390625</v>
      </c>
      <c r="O94" s="72"/>
      <c r="P94" s="73"/>
      <c r="Q94" s="73"/>
      <c r="R94" s="86"/>
      <c r="S94" s="45">
        <v>0</v>
      </c>
      <c r="T94" s="45">
        <v>1</v>
      </c>
      <c r="U94" s="46">
        <v>0</v>
      </c>
      <c r="V94" s="46">
        <v>0.005025</v>
      </c>
      <c r="W94" s="46">
        <v>0</v>
      </c>
      <c r="X94" s="46">
        <v>0.004651</v>
      </c>
      <c r="Y94" s="46">
        <v>0</v>
      </c>
      <c r="Z94" s="46">
        <v>0</v>
      </c>
      <c r="AA94" s="68">
        <v>94</v>
      </c>
      <c r="AB94" s="68"/>
      <c r="AC94" s="69"/>
      <c r="AD94" s="76" t="s">
        <v>1077</v>
      </c>
      <c r="AE94" s="85" t="s">
        <v>1260</v>
      </c>
      <c r="AF94" s="76">
        <v>1872</v>
      </c>
      <c r="AG94" s="76">
        <v>1219</v>
      </c>
      <c r="AH94" s="76">
        <v>50621</v>
      </c>
      <c r="AI94" s="76">
        <v>10678</v>
      </c>
      <c r="AJ94" s="76"/>
      <c r="AK94" s="76" t="s">
        <v>1436</v>
      </c>
      <c r="AL94" s="76" t="s">
        <v>1591</v>
      </c>
      <c r="AM94" s="82" t="str">
        <f>HYPERLINK("https://t.co/0JFsCw0HKo")</f>
        <v>https://t.co/0JFsCw0HKo</v>
      </c>
      <c r="AN94" s="76"/>
      <c r="AO94" s="78">
        <v>40421.39680555555</v>
      </c>
      <c r="AP94" s="82" t="str">
        <f>HYPERLINK("https://pbs.twimg.com/profile_banners/185136724/1662117041")</f>
        <v>https://pbs.twimg.com/profile_banners/185136724/1662117041</v>
      </c>
      <c r="AQ94" s="76" t="b">
        <v>0</v>
      </c>
      <c r="AR94" s="76" t="b">
        <v>0</v>
      </c>
      <c r="AS94" s="76" t="b">
        <v>0</v>
      </c>
      <c r="AT94" s="76"/>
      <c r="AU94" s="76">
        <v>50</v>
      </c>
      <c r="AV94" s="82" t="str">
        <f>HYPERLINK("https://abs.twimg.com/images/themes/theme14/bg.gif")</f>
        <v>https://abs.twimg.com/images/themes/theme14/bg.gif</v>
      </c>
      <c r="AW94" s="76" t="b">
        <v>0</v>
      </c>
      <c r="AX94" s="76" t="s">
        <v>1651</v>
      </c>
      <c r="AY94" s="82" t="str">
        <f>HYPERLINK("https://twitter.com/barman_rlm")</f>
        <v>https://twitter.com/barman_rlm</v>
      </c>
      <c r="AZ94" s="76" t="s">
        <v>66</v>
      </c>
      <c r="BA94" s="76" t="str">
        <f>REPLACE(INDEX(GroupVertices[Group],MATCH(Vertices[[#This Row],[Vertex]],GroupVertices[Vertex],0)),1,1,"")</f>
        <v>36</v>
      </c>
      <c r="BB94" s="45"/>
      <c r="BC94" s="46"/>
      <c r="BD94" s="45"/>
      <c r="BE94" s="46"/>
      <c r="BF94" s="45"/>
      <c r="BG94" s="46"/>
      <c r="BH94" s="45"/>
      <c r="BI94" s="46"/>
      <c r="BJ94" s="45"/>
      <c r="BK94" s="109" t="s">
        <v>916</v>
      </c>
      <c r="BL94" s="109" t="s">
        <v>916</v>
      </c>
      <c r="BM94" s="109" t="s">
        <v>916</v>
      </c>
      <c r="BN94" s="109" t="s">
        <v>916</v>
      </c>
      <c r="BO94" s="2"/>
    </row>
    <row r="95" spans="1:67" ht="15">
      <c r="A95" s="61" t="s">
        <v>309</v>
      </c>
      <c r="B95" s="62"/>
      <c r="C95" s="62"/>
      <c r="D95" s="63">
        <v>80</v>
      </c>
      <c r="E95" s="65"/>
      <c r="F95" s="100" t="str">
        <f>HYPERLINK("https://pbs.twimg.com/profile_images/1586897397497712641/a_WRnrru_normal.jpg")</f>
        <v>https://pbs.twimg.com/profile_images/1586897397497712641/a_WRnrru_normal.jpg</v>
      </c>
      <c r="G95" s="62"/>
      <c r="H95" s="66" t="s">
        <v>309</v>
      </c>
      <c r="I95" s="67"/>
      <c r="J95" s="67"/>
      <c r="K95" s="66" t="s">
        <v>309</v>
      </c>
      <c r="L95" s="70">
        <v>1</v>
      </c>
      <c r="M95" s="71">
        <v>4220.521484375</v>
      </c>
      <c r="N95" s="71">
        <v>2594.102783203125</v>
      </c>
      <c r="O95" s="72"/>
      <c r="P95" s="73"/>
      <c r="Q95" s="73"/>
      <c r="R95" s="86"/>
      <c r="S95" s="45">
        <v>1</v>
      </c>
      <c r="T95" s="45">
        <v>1</v>
      </c>
      <c r="U95" s="46">
        <v>0</v>
      </c>
      <c r="V95" s="46">
        <v>0</v>
      </c>
      <c r="W95" s="46">
        <v>0</v>
      </c>
      <c r="X95" s="46">
        <v>0.005</v>
      </c>
      <c r="Y95" s="46">
        <v>0</v>
      </c>
      <c r="Z95" s="46">
        <v>0</v>
      </c>
      <c r="AA95" s="68">
        <v>95</v>
      </c>
      <c r="AB95" s="68"/>
      <c r="AC95" s="69"/>
      <c r="AD95" s="76" t="s">
        <v>1078</v>
      </c>
      <c r="AE95" s="85" t="s">
        <v>1261</v>
      </c>
      <c r="AF95" s="76">
        <v>1273</v>
      </c>
      <c r="AG95" s="76">
        <v>332</v>
      </c>
      <c r="AH95" s="76">
        <v>3903</v>
      </c>
      <c r="AI95" s="76">
        <v>10508</v>
      </c>
      <c r="AJ95" s="76"/>
      <c r="AK95" s="76" t="s">
        <v>1437</v>
      </c>
      <c r="AL95" s="76" t="s">
        <v>1592</v>
      </c>
      <c r="AM95" s="76"/>
      <c r="AN95" s="76"/>
      <c r="AO95" s="78">
        <v>39948.28505787037</v>
      </c>
      <c r="AP95" s="82" t="str">
        <f>HYPERLINK("https://pbs.twimg.com/profile_banners/40192880/1667825255")</f>
        <v>https://pbs.twimg.com/profile_banners/40192880/1667825255</v>
      </c>
      <c r="AQ95" s="76" t="b">
        <v>0</v>
      </c>
      <c r="AR95" s="76" t="b">
        <v>0</v>
      </c>
      <c r="AS95" s="76" t="b">
        <v>0</v>
      </c>
      <c r="AT95" s="76"/>
      <c r="AU95" s="76">
        <v>10</v>
      </c>
      <c r="AV95" s="82" t="str">
        <f>HYPERLINK("https://abs.twimg.com/images/themes/theme14/bg.gif")</f>
        <v>https://abs.twimg.com/images/themes/theme14/bg.gif</v>
      </c>
      <c r="AW95" s="76" t="b">
        <v>0</v>
      </c>
      <c r="AX95" s="76" t="s">
        <v>1651</v>
      </c>
      <c r="AY95" s="82" t="str">
        <f>HYPERLINK("https://twitter.com/craigtravissimo")</f>
        <v>https://twitter.com/craigtravissimo</v>
      </c>
      <c r="AZ95" s="76" t="s">
        <v>66</v>
      </c>
      <c r="BA95" s="76" t="str">
        <f>REPLACE(INDEX(GroupVertices[Group],MATCH(Vertices[[#This Row],[Vertex]],GroupVertices[Vertex],0)),1,1,"")</f>
        <v>73</v>
      </c>
      <c r="BB95" s="45"/>
      <c r="BC95" s="46"/>
      <c r="BD95" s="45"/>
      <c r="BE95" s="46"/>
      <c r="BF95" s="45"/>
      <c r="BG95" s="46"/>
      <c r="BH95" s="45"/>
      <c r="BI95" s="46"/>
      <c r="BJ95" s="45"/>
      <c r="BK95" s="109" t="s">
        <v>916</v>
      </c>
      <c r="BL95" s="109" t="s">
        <v>916</v>
      </c>
      <c r="BM95" s="109" t="s">
        <v>916</v>
      </c>
      <c r="BN95" s="109" t="s">
        <v>916</v>
      </c>
      <c r="BO95" s="2"/>
    </row>
    <row r="96" spans="1:67" ht="15">
      <c r="A96" s="61" t="s">
        <v>310</v>
      </c>
      <c r="B96" s="62"/>
      <c r="C96" s="62"/>
      <c r="D96" s="63">
        <v>80</v>
      </c>
      <c r="E96" s="65"/>
      <c r="F96" s="100" t="str">
        <f>HYPERLINK("https://pbs.twimg.com/profile_images/1285595337885921281/Af8Dsbev_normal.jpg")</f>
        <v>https://pbs.twimg.com/profile_images/1285595337885921281/Af8Dsbev_normal.jpg</v>
      </c>
      <c r="G96" s="62"/>
      <c r="H96" s="66" t="s">
        <v>310</v>
      </c>
      <c r="I96" s="67"/>
      <c r="J96" s="67"/>
      <c r="K96" s="66" t="s">
        <v>310</v>
      </c>
      <c r="L96" s="70">
        <v>1</v>
      </c>
      <c r="M96" s="71">
        <v>5034.271484375</v>
      </c>
      <c r="N96" s="71">
        <v>2233.7900390625</v>
      </c>
      <c r="O96" s="72"/>
      <c r="P96" s="73"/>
      <c r="Q96" s="73"/>
      <c r="R96" s="86"/>
      <c r="S96" s="45">
        <v>0</v>
      </c>
      <c r="T96" s="45">
        <v>1</v>
      </c>
      <c r="U96" s="46">
        <v>0</v>
      </c>
      <c r="V96" s="46">
        <v>0.005025</v>
      </c>
      <c r="W96" s="46">
        <v>0</v>
      </c>
      <c r="X96" s="46">
        <v>0.005</v>
      </c>
      <c r="Y96" s="46">
        <v>0</v>
      </c>
      <c r="Z96" s="46">
        <v>0</v>
      </c>
      <c r="AA96" s="68">
        <v>96</v>
      </c>
      <c r="AB96" s="68"/>
      <c r="AC96" s="69"/>
      <c r="AD96" s="76" t="s">
        <v>1079</v>
      </c>
      <c r="AE96" s="85" t="s">
        <v>1262</v>
      </c>
      <c r="AF96" s="76">
        <v>192</v>
      </c>
      <c r="AG96" s="76">
        <v>46</v>
      </c>
      <c r="AH96" s="76">
        <v>1254</v>
      </c>
      <c r="AI96" s="76">
        <v>1261</v>
      </c>
      <c r="AJ96" s="76"/>
      <c r="AK96" s="76" t="s">
        <v>1438</v>
      </c>
      <c r="AL96" s="76"/>
      <c r="AM96" s="76"/>
      <c r="AN96" s="76"/>
      <c r="AO96" s="78">
        <v>42441.90494212963</v>
      </c>
      <c r="AP96" s="82" t="str">
        <f>HYPERLINK("https://pbs.twimg.com/profile_banners/708770320816197633/1604996969")</f>
        <v>https://pbs.twimg.com/profile_banners/708770320816197633/1604996969</v>
      </c>
      <c r="AQ96" s="76" t="b">
        <v>1</v>
      </c>
      <c r="AR96" s="76" t="b">
        <v>0</v>
      </c>
      <c r="AS96" s="76" t="b">
        <v>0</v>
      </c>
      <c r="AT96" s="76"/>
      <c r="AU96" s="76">
        <v>1</v>
      </c>
      <c r="AV96" s="76"/>
      <c r="AW96" s="76" t="b">
        <v>0</v>
      </c>
      <c r="AX96" s="76" t="s">
        <v>1651</v>
      </c>
      <c r="AY96" s="82" t="str">
        <f>HYPERLINK("https://twitter.com/wernervanwyk2")</f>
        <v>https://twitter.com/wernervanwyk2</v>
      </c>
      <c r="AZ96" s="76" t="s">
        <v>66</v>
      </c>
      <c r="BA96" s="76" t="str">
        <f>REPLACE(INDEX(GroupVertices[Group],MATCH(Vertices[[#This Row],[Vertex]],GroupVertices[Vertex],0)),1,1,"")</f>
        <v>35</v>
      </c>
      <c r="BB96" s="45"/>
      <c r="BC96" s="46"/>
      <c r="BD96" s="45"/>
      <c r="BE96" s="46"/>
      <c r="BF96" s="45"/>
      <c r="BG96" s="46"/>
      <c r="BH96" s="45"/>
      <c r="BI96" s="46"/>
      <c r="BJ96" s="45"/>
      <c r="BK96" s="109" t="s">
        <v>916</v>
      </c>
      <c r="BL96" s="109" t="s">
        <v>916</v>
      </c>
      <c r="BM96" s="109" t="s">
        <v>916</v>
      </c>
      <c r="BN96" s="109" t="s">
        <v>916</v>
      </c>
      <c r="BO96" s="2"/>
    </row>
    <row r="97" spans="1:67" ht="15">
      <c r="A97" s="61" t="s">
        <v>411</v>
      </c>
      <c r="B97" s="62"/>
      <c r="C97" s="62"/>
      <c r="D97" s="63">
        <v>80</v>
      </c>
      <c r="E97" s="65"/>
      <c r="F97" s="100" t="str">
        <f>HYPERLINK("https://pbs.twimg.com/profile_images/1347656662463766529/igIs8izN_normal.png")</f>
        <v>https://pbs.twimg.com/profile_images/1347656662463766529/igIs8izN_normal.png</v>
      </c>
      <c r="G97" s="62"/>
      <c r="H97" s="66" t="s">
        <v>411</v>
      </c>
      <c r="I97" s="67"/>
      <c r="J97" s="67"/>
      <c r="K97" s="66" t="s">
        <v>411</v>
      </c>
      <c r="L97" s="70">
        <v>1</v>
      </c>
      <c r="M97" s="71">
        <v>4008.572021484375</v>
      </c>
      <c r="N97" s="71">
        <v>2997.76953125</v>
      </c>
      <c r="O97" s="72"/>
      <c r="P97" s="73"/>
      <c r="Q97" s="73"/>
      <c r="R97" s="86"/>
      <c r="S97" s="45">
        <v>1</v>
      </c>
      <c r="T97" s="45">
        <v>0</v>
      </c>
      <c r="U97" s="46">
        <v>0</v>
      </c>
      <c r="V97" s="46">
        <v>0.005025</v>
      </c>
      <c r="W97" s="46">
        <v>0</v>
      </c>
      <c r="X97" s="46">
        <v>0.005</v>
      </c>
      <c r="Y97" s="46">
        <v>0</v>
      </c>
      <c r="Z97" s="46">
        <v>0</v>
      </c>
      <c r="AA97" s="68">
        <v>97</v>
      </c>
      <c r="AB97" s="68"/>
      <c r="AC97" s="69"/>
      <c r="AD97" s="76" t="s">
        <v>1080</v>
      </c>
      <c r="AE97" s="85" t="s">
        <v>932</v>
      </c>
      <c r="AF97" s="76">
        <v>472</v>
      </c>
      <c r="AG97" s="76">
        <v>5741</v>
      </c>
      <c r="AH97" s="76">
        <v>5556</v>
      </c>
      <c r="AI97" s="76">
        <v>17134</v>
      </c>
      <c r="AJ97" s="76"/>
      <c r="AK97" s="76" t="s">
        <v>1439</v>
      </c>
      <c r="AL97" s="76" t="s">
        <v>1593</v>
      </c>
      <c r="AM97" s="82" t="str">
        <f>HYPERLINK("https://t.co/U7qFLMXw8R")</f>
        <v>https://t.co/U7qFLMXw8R</v>
      </c>
      <c r="AN97" s="76"/>
      <c r="AO97" s="78">
        <v>40724.918032407404</v>
      </c>
      <c r="AP97" s="82" t="str">
        <f>HYPERLINK("https://pbs.twimg.com/profile_banners/327034465/1672132592")</f>
        <v>https://pbs.twimg.com/profile_banners/327034465/1672132592</v>
      </c>
      <c r="AQ97" s="76" t="b">
        <v>0</v>
      </c>
      <c r="AR97" s="76" t="b">
        <v>0</v>
      </c>
      <c r="AS97" s="76" t="b">
        <v>1</v>
      </c>
      <c r="AT97" s="76"/>
      <c r="AU97" s="76">
        <v>126</v>
      </c>
      <c r="AV97" s="82" t="str">
        <f>HYPERLINK("https://abs.twimg.com/images/themes/theme6/bg.gif")</f>
        <v>https://abs.twimg.com/images/themes/theme6/bg.gif</v>
      </c>
      <c r="AW97" s="76" t="b">
        <v>0</v>
      </c>
      <c r="AX97" s="76" t="s">
        <v>1651</v>
      </c>
      <c r="AY97" s="82" t="str">
        <f>HYPERLINK("https://twitter.com/transitive_bs")</f>
        <v>https://twitter.com/transitive_bs</v>
      </c>
      <c r="AZ97" s="76" t="s">
        <v>65</v>
      </c>
      <c r="BA97" s="76" t="str">
        <f>REPLACE(INDEX(GroupVertices[Group],MATCH(Vertices[[#This Row],[Vertex]],GroupVertices[Vertex],0)),1,1,"")</f>
        <v>35</v>
      </c>
      <c r="BB97" s="45"/>
      <c r="BC97" s="46"/>
      <c r="BD97" s="45"/>
      <c r="BE97" s="46"/>
      <c r="BF97" s="45"/>
      <c r="BG97" s="46"/>
      <c r="BH97" s="45"/>
      <c r="BI97" s="46"/>
      <c r="BJ97" s="45"/>
      <c r="BK97" s="45"/>
      <c r="BL97" s="45"/>
      <c r="BM97" s="45"/>
      <c r="BN97" s="45"/>
      <c r="BO97" s="2"/>
    </row>
    <row r="98" spans="1:67" ht="15">
      <c r="A98" s="61" t="s">
        <v>311</v>
      </c>
      <c r="B98" s="62"/>
      <c r="C98" s="62"/>
      <c r="D98" s="63">
        <v>80</v>
      </c>
      <c r="E98" s="65"/>
      <c r="F98" s="100" t="str">
        <f>HYPERLINK("https://pbs.twimg.com/profile_images/1545713616107839491/ky4I3iEN_normal.jpg")</f>
        <v>https://pbs.twimg.com/profile_images/1545713616107839491/ky4I3iEN_normal.jpg</v>
      </c>
      <c r="G98" s="62"/>
      <c r="H98" s="66" t="s">
        <v>311</v>
      </c>
      <c r="I98" s="67"/>
      <c r="J98" s="67"/>
      <c r="K98" s="66" t="s">
        <v>311</v>
      </c>
      <c r="L98" s="70">
        <v>1</v>
      </c>
      <c r="M98" s="71">
        <v>4134.18408203125</v>
      </c>
      <c r="N98" s="71">
        <v>2693.87451171875</v>
      </c>
      <c r="O98" s="72"/>
      <c r="P98" s="73"/>
      <c r="Q98" s="73"/>
      <c r="R98" s="86"/>
      <c r="S98" s="45">
        <v>1</v>
      </c>
      <c r="T98" s="45">
        <v>1</v>
      </c>
      <c r="U98" s="46">
        <v>0</v>
      </c>
      <c r="V98" s="46">
        <v>0</v>
      </c>
      <c r="W98" s="46">
        <v>0</v>
      </c>
      <c r="X98" s="46">
        <v>0.005</v>
      </c>
      <c r="Y98" s="46">
        <v>0</v>
      </c>
      <c r="Z98" s="46">
        <v>0</v>
      </c>
      <c r="AA98" s="68">
        <v>98</v>
      </c>
      <c r="AB98" s="68"/>
      <c r="AC98" s="69"/>
      <c r="AD98" s="76" t="s">
        <v>1081</v>
      </c>
      <c r="AE98" s="85" t="s">
        <v>1263</v>
      </c>
      <c r="AF98" s="76">
        <v>9</v>
      </c>
      <c r="AG98" s="76">
        <v>23</v>
      </c>
      <c r="AH98" s="76">
        <v>165</v>
      </c>
      <c r="AI98" s="76">
        <v>782</v>
      </c>
      <c r="AJ98" s="76"/>
      <c r="AK98" s="76" t="s">
        <v>1440</v>
      </c>
      <c r="AL98" s="76" t="s">
        <v>1594</v>
      </c>
      <c r="AM98" s="76"/>
      <c r="AN98" s="76"/>
      <c r="AO98" s="78">
        <v>44441.782800925925</v>
      </c>
      <c r="AP98" s="82" t="str">
        <f>HYPERLINK("https://pbs.twimg.com/profile_banners/1433501711444893699/1647031336")</f>
        <v>https://pbs.twimg.com/profile_banners/1433501711444893699/1647031336</v>
      </c>
      <c r="AQ98" s="76" t="b">
        <v>1</v>
      </c>
      <c r="AR98" s="76" t="b">
        <v>0</v>
      </c>
      <c r="AS98" s="76" t="b">
        <v>0</v>
      </c>
      <c r="AT98" s="76"/>
      <c r="AU98" s="76">
        <v>0</v>
      </c>
      <c r="AV98" s="76"/>
      <c r="AW98" s="76" t="b">
        <v>0</v>
      </c>
      <c r="AX98" s="76" t="s">
        <v>1651</v>
      </c>
      <c r="AY98" s="82" t="str">
        <f>HYPERLINK("https://twitter.com/strangelisalisa")</f>
        <v>https://twitter.com/strangelisalisa</v>
      </c>
      <c r="AZ98" s="76" t="s">
        <v>66</v>
      </c>
      <c r="BA98" s="76" t="str">
        <f>REPLACE(INDEX(GroupVertices[Group],MATCH(Vertices[[#This Row],[Vertex]],GroupVertices[Vertex],0)),1,1,"")</f>
        <v>72</v>
      </c>
      <c r="BB98" s="45"/>
      <c r="BC98" s="46"/>
      <c r="BD98" s="45"/>
      <c r="BE98" s="46"/>
      <c r="BF98" s="45"/>
      <c r="BG98" s="46"/>
      <c r="BH98" s="45"/>
      <c r="BI98" s="46"/>
      <c r="BJ98" s="45"/>
      <c r="BK98" s="109" t="s">
        <v>916</v>
      </c>
      <c r="BL98" s="109" t="s">
        <v>916</v>
      </c>
      <c r="BM98" s="109" t="s">
        <v>916</v>
      </c>
      <c r="BN98" s="109" t="s">
        <v>916</v>
      </c>
      <c r="BO98" s="2"/>
    </row>
    <row r="99" spans="1:67" ht="15">
      <c r="A99" s="61" t="s">
        <v>312</v>
      </c>
      <c r="B99" s="62"/>
      <c r="C99" s="62"/>
      <c r="D99" s="63">
        <v>80</v>
      </c>
      <c r="E99" s="65"/>
      <c r="F99" s="100" t="str">
        <f>HYPERLINK("https://pbs.twimg.com/profile_images/1321169942352400384/iKg478ck_normal.jpg")</f>
        <v>https://pbs.twimg.com/profile_images/1321169942352400384/iKg478ck_normal.jpg</v>
      </c>
      <c r="G99" s="62"/>
      <c r="H99" s="66" t="s">
        <v>312</v>
      </c>
      <c r="I99" s="67"/>
      <c r="J99" s="67"/>
      <c r="K99" s="66" t="s">
        <v>312</v>
      </c>
      <c r="L99" s="70">
        <v>1</v>
      </c>
      <c r="M99" s="71">
        <v>4285.34814453125</v>
      </c>
      <c r="N99" s="71">
        <v>2749.55517578125</v>
      </c>
      <c r="O99" s="72"/>
      <c r="P99" s="73"/>
      <c r="Q99" s="73"/>
      <c r="R99" s="86"/>
      <c r="S99" s="45">
        <v>1</v>
      </c>
      <c r="T99" s="45">
        <v>1</v>
      </c>
      <c r="U99" s="46">
        <v>0</v>
      </c>
      <c r="V99" s="46">
        <v>0</v>
      </c>
      <c r="W99" s="46">
        <v>0</v>
      </c>
      <c r="X99" s="46">
        <v>0.005</v>
      </c>
      <c r="Y99" s="46">
        <v>0</v>
      </c>
      <c r="Z99" s="46">
        <v>0</v>
      </c>
      <c r="AA99" s="68">
        <v>99</v>
      </c>
      <c r="AB99" s="68"/>
      <c r="AC99" s="69"/>
      <c r="AD99" s="76" t="s">
        <v>1082</v>
      </c>
      <c r="AE99" s="85" t="s">
        <v>1264</v>
      </c>
      <c r="AF99" s="76">
        <v>212</v>
      </c>
      <c r="AG99" s="76">
        <v>150</v>
      </c>
      <c r="AH99" s="76">
        <v>11006</v>
      </c>
      <c r="AI99" s="76">
        <v>774</v>
      </c>
      <c r="AJ99" s="76"/>
      <c r="AK99" s="76" t="s">
        <v>1441</v>
      </c>
      <c r="AL99" s="76" t="s">
        <v>1537</v>
      </c>
      <c r="AM99" s="76"/>
      <c r="AN99" s="76"/>
      <c r="AO99" s="78">
        <v>44131.798784722225</v>
      </c>
      <c r="AP99" s="82" t="str">
        <f>HYPERLINK("https://pbs.twimg.com/profile_banners/1321167308367212546/1603826435")</f>
        <v>https://pbs.twimg.com/profile_banners/1321167308367212546/1603826435</v>
      </c>
      <c r="AQ99" s="76" t="b">
        <v>1</v>
      </c>
      <c r="AR99" s="76" t="b">
        <v>0</v>
      </c>
      <c r="AS99" s="76" t="b">
        <v>0</v>
      </c>
      <c r="AT99" s="76"/>
      <c r="AU99" s="76">
        <v>1</v>
      </c>
      <c r="AV99" s="76"/>
      <c r="AW99" s="76" t="b">
        <v>0</v>
      </c>
      <c r="AX99" s="76" t="s">
        <v>1651</v>
      </c>
      <c r="AY99" s="82" t="str">
        <f>HYPERLINK("https://twitter.com/scaliaclarence")</f>
        <v>https://twitter.com/scaliaclarence</v>
      </c>
      <c r="AZ99" s="76" t="s">
        <v>66</v>
      </c>
      <c r="BA99" s="76" t="str">
        <f>REPLACE(INDEX(GroupVertices[Group],MATCH(Vertices[[#This Row],[Vertex]],GroupVertices[Vertex],0)),1,1,"")</f>
        <v>71</v>
      </c>
      <c r="BB99" s="45"/>
      <c r="BC99" s="46"/>
      <c r="BD99" s="45"/>
      <c r="BE99" s="46"/>
      <c r="BF99" s="45"/>
      <c r="BG99" s="46"/>
      <c r="BH99" s="45"/>
      <c r="BI99" s="46"/>
      <c r="BJ99" s="45"/>
      <c r="BK99" s="109" t="s">
        <v>916</v>
      </c>
      <c r="BL99" s="109" t="s">
        <v>916</v>
      </c>
      <c r="BM99" s="109" t="s">
        <v>916</v>
      </c>
      <c r="BN99" s="109" t="s">
        <v>916</v>
      </c>
      <c r="BO99" s="2"/>
    </row>
    <row r="100" spans="1:67" ht="15">
      <c r="A100" s="61" t="s">
        <v>313</v>
      </c>
      <c r="B100" s="62"/>
      <c r="C100" s="62"/>
      <c r="D100" s="63">
        <v>180.36363636363637</v>
      </c>
      <c r="E100" s="65"/>
      <c r="F100" s="100" t="str">
        <f>HYPERLINK("https://pbs.twimg.com/profile_images/1586900510858158081/NAN71bMM_normal.jpg")</f>
        <v>https://pbs.twimg.com/profile_images/1586900510858158081/NAN71bMM_normal.jpg</v>
      </c>
      <c r="G100" s="62"/>
      <c r="H100" s="66" t="s">
        <v>313</v>
      </c>
      <c r="I100" s="67"/>
      <c r="J100" s="67"/>
      <c r="K100" s="66" t="s">
        <v>313</v>
      </c>
      <c r="L100" s="70">
        <v>138.90344827586208</v>
      </c>
      <c r="M100" s="71">
        <v>4677.0087890625</v>
      </c>
      <c r="N100" s="71">
        <v>5750.6865234375</v>
      </c>
      <c r="O100" s="72"/>
      <c r="P100" s="73"/>
      <c r="Q100" s="73"/>
      <c r="R100" s="86"/>
      <c r="S100" s="45">
        <v>0</v>
      </c>
      <c r="T100" s="45">
        <v>3</v>
      </c>
      <c r="U100" s="46">
        <v>4.8</v>
      </c>
      <c r="V100" s="46">
        <v>0.044305</v>
      </c>
      <c r="W100" s="46">
        <v>0.001709</v>
      </c>
      <c r="X100" s="46">
        <v>0.004629</v>
      </c>
      <c r="Y100" s="46">
        <v>0.3333333333333333</v>
      </c>
      <c r="Z100" s="46">
        <v>0</v>
      </c>
      <c r="AA100" s="68">
        <v>100</v>
      </c>
      <c r="AB100" s="68"/>
      <c r="AC100" s="69"/>
      <c r="AD100" s="76" t="s">
        <v>1083</v>
      </c>
      <c r="AE100" s="85" t="s">
        <v>1265</v>
      </c>
      <c r="AF100" s="76">
        <v>11403</v>
      </c>
      <c r="AG100" s="76">
        <v>11576</v>
      </c>
      <c r="AH100" s="76">
        <v>370195</v>
      </c>
      <c r="AI100" s="76">
        <v>427659</v>
      </c>
      <c r="AJ100" s="76"/>
      <c r="AK100" s="76" t="s">
        <v>1442</v>
      </c>
      <c r="AL100" s="76" t="s">
        <v>1595</v>
      </c>
      <c r="AM100" s="76"/>
      <c r="AN100" s="76"/>
      <c r="AO100" s="78">
        <v>39762.79275462963</v>
      </c>
      <c r="AP100" s="82" t="str">
        <f>HYPERLINK("https://pbs.twimg.com/profile_banners/17292374/1667180742")</f>
        <v>https://pbs.twimg.com/profile_banners/17292374/1667180742</v>
      </c>
      <c r="AQ100" s="76" t="b">
        <v>0</v>
      </c>
      <c r="AR100" s="76" t="b">
        <v>0</v>
      </c>
      <c r="AS100" s="76" t="b">
        <v>1</v>
      </c>
      <c r="AT100" s="76"/>
      <c r="AU100" s="76">
        <v>109</v>
      </c>
      <c r="AV100" s="82" t="str">
        <f>HYPERLINK("https://abs.twimg.com/images/themes/theme6/bg.gif")</f>
        <v>https://abs.twimg.com/images/themes/theme6/bg.gif</v>
      </c>
      <c r="AW100" s="76" t="b">
        <v>0</v>
      </c>
      <c r="AX100" s="76" t="s">
        <v>1651</v>
      </c>
      <c r="AY100" s="82" t="str">
        <f>HYPERLINK("https://twitter.com/sodagrrl")</f>
        <v>https://twitter.com/sodagrrl</v>
      </c>
      <c r="AZ100" s="76" t="s">
        <v>66</v>
      </c>
      <c r="BA100" s="76" t="str">
        <f>REPLACE(INDEX(GroupVertices[Group],MATCH(Vertices[[#This Row],[Vertex]],GroupVertices[Vertex],0)),1,1,"")</f>
        <v>2</v>
      </c>
      <c r="BB100" s="45"/>
      <c r="BC100" s="46"/>
      <c r="BD100" s="45"/>
      <c r="BE100" s="46"/>
      <c r="BF100" s="45"/>
      <c r="BG100" s="46"/>
      <c r="BH100" s="45"/>
      <c r="BI100" s="46"/>
      <c r="BJ100" s="45"/>
      <c r="BK100" s="109" t="s">
        <v>916</v>
      </c>
      <c r="BL100" s="109" t="s">
        <v>916</v>
      </c>
      <c r="BM100" s="109" t="s">
        <v>916</v>
      </c>
      <c r="BN100" s="109" t="s">
        <v>916</v>
      </c>
      <c r="BO100" s="2"/>
    </row>
    <row r="101" spans="1:67" ht="15">
      <c r="A101" s="61" t="s">
        <v>314</v>
      </c>
      <c r="B101" s="62"/>
      <c r="C101" s="62"/>
      <c r="D101" s="63">
        <v>180.36363636363637</v>
      </c>
      <c r="E101" s="65"/>
      <c r="F101" s="100" t="str">
        <f>HYPERLINK("https://pbs.twimg.com/profile_images/1392147676553121792/NWSakwec_normal.jpg")</f>
        <v>https://pbs.twimg.com/profile_images/1392147676553121792/NWSakwec_normal.jpg</v>
      </c>
      <c r="G101" s="62"/>
      <c r="H101" s="66" t="s">
        <v>314</v>
      </c>
      <c r="I101" s="67"/>
      <c r="J101" s="67"/>
      <c r="K101" s="66" t="s">
        <v>314</v>
      </c>
      <c r="L101" s="70">
        <v>138.90344827586208</v>
      </c>
      <c r="M101" s="71">
        <v>4307.61669921875</v>
      </c>
      <c r="N101" s="71">
        <v>6451.6015625</v>
      </c>
      <c r="O101" s="72"/>
      <c r="P101" s="73"/>
      <c r="Q101" s="73"/>
      <c r="R101" s="86"/>
      <c r="S101" s="45">
        <v>0</v>
      </c>
      <c r="T101" s="45">
        <v>3</v>
      </c>
      <c r="U101" s="46">
        <v>4.8</v>
      </c>
      <c r="V101" s="46">
        <v>0.044305</v>
      </c>
      <c r="W101" s="46">
        <v>0.001709</v>
      </c>
      <c r="X101" s="46">
        <v>0.004629</v>
      </c>
      <c r="Y101" s="46">
        <v>0.3333333333333333</v>
      </c>
      <c r="Z101" s="46">
        <v>0</v>
      </c>
      <c r="AA101" s="68">
        <v>101</v>
      </c>
      <c r="AB101" s="68"/>
      <c r="AC101" s="69"/>
      <c r="AD101" s="76" t="s">
        <v>1084</v>
      </c>
      <c r="AE101" s="85" t="s">
        <v>1266</v>
      </c>
      <c r="AF101" s="76">
        <v>957</v>
      </c>
      <c r="AG101" s="76">
        <v>1523</v>
      </c>
      <c r="AH101" s="76">
        <v>138774</v>
      </c>
      <c r="AI101" s="76">
        <v>180309</v>
      </c>
      <c r="AJ101" s="76"/>
      <c r="AK101" s="76" t="s">
        <v>1443</v>
      </c>
      <c r="AL101" s="76" t="s">
        <v>1596</v>
      </c>
      <c r="AM101" s="82" t="str">
        <f>HYPERLINK("https://t.co/JjEVQL7JN6")</f>
        <v>https://t.co/JjEVQL7JN6</v>
      </c>
      <c r="AN101" s="76"/>
      <c r="AO101" s="78">
        <v>39889.01597222222</v>
      </c>
      <c r="AP101" s="82" t="str">
        <f>HYPERLINK("https://pbs.twimg.com/profile_banners/24804145/1486621881")</f>
        <v>https://pbs.twimg.com/profile_banners/24804145/1486621881</v>
      </c>
      <c r="AQ101" s="76" t="b">
        <v>1</v>
      </c>
      <c r="AR101" s="76" t="b">
        <v>0</v>
      </c>
      <c r="AS101" s="76" t="b">
        <v>1</v>
      </c>
      <c r="AT101" s="76"/>
      <c r="AU101" s="76">
        <v>74</v>
      </c>
      <c r="AV101" s="82" t="str">
        <f>HYPERLINK("https://abs.twimg.com/images/themes/theme1/bg.png")</f>
        <v>https://abs.twimg.com/images/themes/theme1/bg.png</v>
      </c>
      <c r="AW101" s="76" t="b">
        <v>0</v>
      </c>
      <c r="AX101" s="76" t="s">
        <v>1651</v>
      </c>
      <c r="AY101" s="82" t="str">
        <f>HYPERLINK("https://twitter.com/brianhund")</f>
        <v>https://twitter.com/brianhund</v>
      </c>
      <c r="AZ101" s="76" t="s">
        <v>66</v>
      </c>
      <c r="BA101" s="76" t="str">
        <f>REPLACE(INDEX(GroupVertices[Group],MATCH(Vertices[[#This Row],[Vertex]],GroupVertices[Vertex],0)),1,1,"")</f>
        <v>2</v>
      </c>
      <c r="BB101" s="45"/>
      <c r="BC101" s="46"/>
      <c r="BD101" s="45"/>
      <c r="BE101" s="46"/>
      <c r="BF101" s="45"/>
      <c r="BG101" s="46"/>
      <c r="BH101" s="45"/>
      <c r="BI101" s="46"/>
      <c r="BJ101" s="45"/>
      <c r="BK101" s="109" t="s">
        <v>916</v>
      </c>
      <c r="BL101" s="109" t="s">
        <v>916</v>
      </c>
      <c r="BM101" s="109" t="s">
        <v>916</v>
      </c>
      <c r="BN101" s="109" t="s">
        <v>916</v>
      </c>
      <c r="BO101" s="2"/>
    </row>
    <row r="102" spans="1:67" ht="15">
      <c r="A102" s="61" t="s">
        <v>315</v>
      </c>
      <c r="B102" s="62"/>
      <c r="C102" s="62"/>
      <c r="D102" s="63">
        <v>180.36363636363637</v>
      </c>
      <c r="E102" s="65"/>
      <c r="F102" s="100" t="str">
        <f>HYPERLINK("https://pbs.twimg.com/profile_images/946970705370976257/-dzqAPBu_normal.jpg")</f>
        <v>https://pbs.twimg.com/profile_images/946970705370976257/-dzqAPBu_normal.jpg</v>
      </c>
      <c r="G102" s="62"/>
      <c r="H102" s="66" t="s">
        <v>315</v>
      </c>
      <c r="I102" s="67"/>
      <c r="J102" s="67"/>
      <c r="K102" s="66" t="s">
        <v>315</v>
      </c>
      <c r="L102" s="70">
        <v>138.90344827586208</v>
      </c>
      <c r="M102" s="71">
        <v>3886.912353515625</v>
      </c>
      <c r="N102" s="71">
        <v>6987.87841796875</v>
      </c>
      <c r="O102" s="72"/>
      <c r="P102" s="73"/>
      <c r="Q102" s="73"/>
      <c r="R102" s="86"/>
      <c r="S102" s="45">
        <v>0</v>
      </c>
      <c r="T102" s="45">
        <v>3</v>
      </c>
      <c r="U102" s="46">
        <v>4.8</v>
      </c>
      <c r="V102" s="46">
        <v>0.044305</v>
      </c>
      <c r="W102" s="46">
        <v>0.001709</v>
      </c>
      <c r="X102" s="46">
        <v>0.004629</v>
      </c>
      <c r="Y102" s="46">
        <v>0.3333333333333333</v>
      </c>
      <c r="Z102" s="46">
        <v>0</v>
      </c>
      <c r="AA102" s="68">
        <v>102</v>
      </c>
      <c r="AB102" s="68"/>
      <c r="AC102" s="69"/>
      <c r="AD102" s="76" t="s">
        <v>1085</v>
      </c>
      <c r="AE102" s="85" t="s">
        <v>1267</v>
      </c>
      <c r="AF102" s="76">
        <v>5452</v>
      </c>
      <c r="AG102" s="76">
        <v>5127</v>
      </c>
      <c r="AH102" s="76">
        <v>411810</v>
      </c>
      <c r="AI102" s="76">
        <v>325113</v>
      </c>
      <c r="AJ102" s="76"/>
      <c r="AK102" s="76" t="s">
        <v>1444</v>
      </c>
      <c r="AL102" s="76"/>
      <c r="AM102" s="76"/>
      <c r="AN102" s="76"/>
      <c r="AO102" s="78">
        <v>40432.09171296296</v>
      </c>
      <c r="AP102" s="82" t="str">
        <f>HYPERLINK("https://pbs.twimg.com/profile_banners/189366606/1455758578")</f>
        <v>https://pbs.twimg.com/profile_banners/189366606/1455758578</v>
      </c>
      <c r="AQ102" s="76" t="b">
        <v>1</v>
      </c>
      <c r="AR102" s="76" t="b">
        <v>0</v>
      </c>
      <c r="AS102" s="76" t="b">
        <v>1</v>
      </c>
      <c r="AT102" s="76"/>
      <c r="AU102" s="76">
        <v>36</v>
      </c>
      <c r="AV102" s="82" t="str">
        <f>HYPERLINK("https://abs.twimg.com/images/themes/theme1/bg.png")</f>
        <v>https://abs.twimg.com/images/themes/theme1/bg.png</v>
      </c>
      <c r="AW102" s="76" t="b">
        <v>0</v>
      </c>
      <c r="AX102" s="76" t="s">
        <v>1651</v>
      </c>
      <c r="AY102" s="82" t="str">
        <f>HYPERLINK("https://twitter.com/drfessel")</f>
        <v>https://twitter.com/drfessel</v>
      </c>
      <c r="AZ102" s="76" t="s">
        <v>66</v>
      </c>
      <c r="BA102" s="76" t="str">
        <f>REPLACE(INDEX(GroupVertices[Group],MATCH(Vertices[[#This Row],[Vertex]],GroupVertices[Vertex],0)),1,1,"")</f>
        <v>2</v>
      </c>
      <c r="BB102" s="45"/>
      <c r="BC102" s="46"/>
      <c r="BD102" s="45"/>
      <c r="BE102" s="46"/>
      <c r="BF102" s="45"/>
      <c r="BG102" s="46"/>
      <c r="BH102" s="45"/>
      <c r="BI102" s="46"/>
      <c r="BJ102" s="45"/>
      <c r="BK102" s="109" t="s">
        <v>916</v>
      </c>
      <c r="BL102" s="109" t="s">
        <v>916</v>
      </c>
      <c r="BM102" s="109" t="s">
        <v>916</v>
      </c>
      <c r="BN102" s="109" t="s">
        <v>916</v>
      </c>
      <c r="BO102" s="2"/>
    </row>
    <row r="103" spans="1:67" ht="15">
      <c r="A103" s="61" t="s">
        <v>316</v>
      </c>
      <c r="B103" s="62"/>
      <c r="C103" s="62"/>
      <c r="D103" s="63">
        <v>80</v>
      </c>
      <c r="E103" s="65"/>
      <c r="F103" s="100" t="str">
        <f>HYPERLINK("https://pbs.twimg.com/profile_images/1352078724582305792/ZwrE1Aji_normal.jpg")</f>
        <v>https://pbs.twimg.com/profile_images/1352078724582305792/ZwrE1Aji_normal.jpg</v>
      </c>
      <c r="G103" s="62"/>
      <c r="H103" s="66" t="s">
        <v>316</v>
      </c>
      <c r="I103" s="67"/>
      <c r="J103" s="67"/>
      <c r="K103" s="66" t="s">
        <v>316</v>
      </c>
      <c r="L103" s="70">
        <v>1</v>
      </c>
      <c r="M103" s="71">
        <v>4475.861328125</v>
      </c>
      <c r="N103" s="71">
        <v>2255.250732421875</v>
      </c>
      <c r="O103" s="72"/>
      <c r="P103" s="73"/>
      <c r="Q103" s="73"/>
      <c r="R103" s="86"/>
      <c r="S103" s="45">
        <v>0</v>
      </c>
      <c r="T103" s="45">
        <v>1</v>
      </c>
      <c r="U103" s="46">
        <v>0</v>
      </c>
      <c r="V103" s="46">
        <v>0.0067</v>
      </c>
      <c r="W103" s="46">
        <v>0</v>
      </c>
      <c r="X103" s="46">
        <v>0.004545</v>
      </c>
      <c r="Y103" s="46">
        <v>0</v>
      </c>
      <c r="Z103" s="46">
        <v>0</v>
      </c>
      <c r="AA103" s="68">
        <v>103</v>
      </c>
      <c r="AB103" s="68"/>
      <c r="AC103" s="69"/>
      <c r="AD103" s="76" t="s">
        <v>1086</v>
      </c>
      <c r="AE103" s="85" t="s">
        <v>1268</v>
      </c>
      <c r="AF103" s="76">
        <v>715</v>
      </c>
      <c r="AG103" s="76">
        <v>360</v>
      </c>
      <c r="AH103" s="76">
        <v>18374</v>
      </c>
      <c r="AI103" s="76">
        <v>20774</v>
      </c>
      <c r="AJ103" s="76"/>
      <c r="AK103" s="76" t="s">
        <v>1445</v>
      </c>
      <c r="AL103" s="76" t="s">
        <v>1597</v>
      </c>
      <c r="AM103" s="76"/>
      <c r="AN103" s="76"/>
      <c r="AO103" s="78">
        <v>43685.744942129626</v>
      </c>
      <c r="AP103" s="82" t="str">
        <f>HYPERLINK("https://pbs.twimg.com/profile_banners/1159522841223671810/1581039233")</f>
        <v>https://pbs.twimg.com/profile_banners/1159522841223671810/1581039233</v>
      </c>
      <c r="AQ103" s="76" t="b">
        <v>1</v>
      </c>
      <c r="AR103" s="76" t="b">
        <v>0</v>
      </c>
      <c r="AS103" s="76" t="b">
        <v>0</v>
      </c>
      <c r="AT103" s="76"/>
      <c r="AU103" s="76">
        <v>2</v>
      </c>
      <c r="AV103" s="76"/>
      <c r="AW103" s="76" t="b">
        <v>0</v>
      </c>
      <c r="AX103" s="76" t="s">
        <v>1651</v>
      </c>
      <c r="AY103" s="82" t="str">
        <f>HYPERLINK("https://twitter.com/wichard24576tic")</f>
        <v>https://twitter.com/wichard24576tic</v>
      </c>
      <c r="AZ103" s="76" t="s">
        <v>66</v>
      </c>
      <c r="BA103" s="76" t="str">
        <f>REPLACE(INDEX(GroupVertices[Group],MATCH(Vertices[[#This Row],[Vertex]],GroupVertices[Vertex],0)),1,1,"")</f>
        <v>18</v>
      </c>
      <c r="BB103" s="45"/>
      <c r="BC103" s="46"/>
      <c r="BD103" s="45"/>
      <c r="BE103" s="46"/>
      <c r="BF103" s="45"/>
      <c r="BG103" s="46"/>
      <c r="BH103" s="45"/>
      <c r="BI103" s="46"/>
      <c r="BJ103" s="45"/>
      <c r="BK103" s="109" t="s">
        <v>916</v>
      </c>
      <c r="BL103" s="109" t="s">
        <v>916</v>
      </c>
      <c r="BM103" s="109" t="s">
        <v>916</v>
      </c>
      <c r="BN103" s="109" t="s">
        <v>916</v>
      </c>
      <c r="BO103" s="2"/>
    </row>
    <row r="104" spans="1:67" ht="15">
      <c r="A104" s="61" t="s">
        <v>342</v>
      </c>
      <c r="B104" s="62"/>
      <c r="C104" s="62"/>
      <c r="D104" s="63">
        <v>121.81818181818181</v>
      </c>
      <c r="E104" s="65"/>
      <c r="F104" s="100" t="str">
        <f>HYPERLINK("https://pbs.twimg.com/profile_images/1411170395567366144/4Bjbx-jC_normal.jpg")</f>
        <v>https://pbs.twimg.com/profile_images/1411170395567366144/4Bjbx-jC_normal.jpg</v>
      </c>
      <c r="G104" s="62"/>
      <c r="H104" s="66" t="s">
        <v>342</v>
      </c>
      <c r="I104" s="67"/>
      <c r="J104" s="67"/>
      <c r="K104" s="66" t="s">
        <v>342</v>
      </c>
      <c r="L104" s="70">
        <v>58.45977011494253</v>
      </c>
      <c r="M104" s="71">
        <v>3672.604736328125</v>
      </c>
      <c r="N104" s="71">
        <v>3271.21337890625</v>
      </c>
      <c r="O104" s="72"/>
      <c r="P104" s="73"/>
      <c r="Q104" s="73"/>
      <c r="R104" s="86"/>
      <c r="S104" s="45">
        <v>3</v>
      </c>
      <c r="T104" s="45">
        <v>1</v>
      </c>
      <c r="U104" s="46">
        <v>2</v>
      </c>
      <c r="V104" s="46">
        <v>0.01005</v>
      </c>
      <c r="W104" s="46">
        <v>0</v>
      </c>
      <c r="X104" s="46">
        <v>0.005909</v>
      </c>
      <c r="Y104" s="46">
        <v>0</v>
      </c>
      <c r="Z104" s="46">
        <v>0</v>
      </c>
      <c r="AA104" s="68">
        <v>104</v>
      </c>
      <c r="AB104" s="68"/>
      <c r="AC104" s="69"/>
      <c r="AD104" s="76" t="s">
        <v>1087</v>
      </c>
      <c r="AE104" s="85" t="s">
        <v>941</v>
      </c>
      <c r="AF104" s="76">
        <v>605</v>
      </c>
      <c r="AG104" s="76">
        <v>13490</v>
      </c>
      <c r="AH104" s="76">
        <v>5041</v>
      </c>
      <c r="AI104" s="76">
        <v>7633</v>
      </c>
      <c r="AJ104" s="76"/>
      <c r="AK104" s="76" t="s">
        <v>1446</v>
      </c>
      <c r="AL104" s="76"/>
      <c r="AM104" s="82" t="str">
        <f>HYPERLINK("https://t.co/QnLLluaU0R")</f>
        <v>https://t.co/QnLLluaU0R</v>
      </c>
      <c r="AN104" s="76"/>
      <c r="AO104" s="78">
        <v>39896.03229166667</v>
      </c>
      <c r="AP104" s="82" t="str">
        <f>HYPERLINK("https://pbs.twimg.com/profile_banners/26136365/1633484592")</f>
        <v>https://pbs.twimg.com/profile_banners/26136365/1633484592</v>
      </c>
      <c r="AQ104" s="76" t="b">
        <v>0</v>
      </c>
      <c r="AR104" s="76" t="b">
        <v>0</v>
      </c>
      <c r="AS104" s="76" t="b">
        <v>0</v>
      </c>
      <c r="AT104" s="76"/>
      <c r="AU104" s="76">
        <v>243</v>
      </c>
      <c r="AV104" s="82" t="str">
        <f>HYPERLINK("https://abs.twimg.com/images/themes/theme1/bg.png")</f>
        <v>https://abs.twimg.com/images/themes/theme1/bg.png</v>
      </c>
      <c r="AW104" s="76" t="b">
        <v>0</v>
      </c>
      <c r="AX104" s="76" t="s">
        <v>1651</v>
      </c>
      <c r="AY104" s="82" t="str">
        <f>HYPERLINK("https://twitter.com/level39")</f>
        <v>https://twitter.com/level39</v>
      </c>
      <c r="AZ104" s="76" t="s">
        <v>66</v>
      </c>
      <c r="BA104" s="76" t="str">
        <f>REPLACE(INDEX(GroupVertices[Group],MATCH(Vertices[[#This Row],[Vertex]],GroupVertices[Vertex],0)),1,1,"")</f>
        <v>18</v>
      </c>
      <c r="BB104" s="45"/>
      <c r="BC104" s="46"/>
      <c r="BD104" s="45"/>
      <c r="BE104" s="46"/>
      <c r="BF104" s="45"/>
      <c r="BG104" s="46"/>
      <c r="BH104" s="45"/>
      <c r="BI104" s="46"/>
      <c r="BJ104" s="45"/>
      <c r="BK104" s="109" t="s">
        <v>916</v>
      </c>
      <c r="BL104" s="109" t="s">
        <v>916</v>
      </c>
      <c r="BM104" s="109" t="s">
        <v>916</v>
      </c>
      <c r="BN104" s="109" t="s">
        <v>916</v>
      </c>
      <c r="BO104" s="2"/>
    </row>
    <row r="105" spans="1:67" ht="15">
      <c r="A105" s="61" t="s">
        <v>317</v>
      </c>
      <c r="B105" s="62"/>
      <c r="C105" s="62"/>
      <c r="D105" s="63">
        <v>121.81818181818181</v>
      </c>
      <c r="E105" s="65"/>
      <c r="F105" s="100" t="str">
        <f>HYPERLINK("https://pbs.twimg.com/profile_images/1574614804383338519/DZb1H2PD_normal.jpg")</f>
        <v>https://pbs.twimg.com/profile_images/1574614804383338519/DZb1H2PD_normal.jpg</v>
      </c>
      <c r="G105" s="62"/>
      <c r="H105" s="66" t="s">
        <v>317</v>
      </c>
      <c r="I105" s="67"/>
      <c r="J105" s="67"/>
      <c r="K105" s="66" t="s">
        <v>317</v>
      </c>
      <c r="L105" s="70">
        <v>58.45977011494253</v>
      </c>
      <c r="M105" s="71">
        <v>1859.4820556640625</v>
      </c>
      <c r="N105" s="71">
        <v>932.0771484375</v>
      </c>
      <c r="O105" s="72"/>
      <c r="P105" s="73"/>
      <c r="Q105" s="73"/>
      <c r="R105" s="86"/>
      <c r="S105" s="45">
        <v>0</v>
      </c>
      <c r="T105" s="45">
        <v>2</v>
      </c>
      <c r="U105" s="46">
        <v>2</v>
      </c>
      <c r="V105" s="46">
        <v>0.01005</v>
      </c>
      <c r="W105" s="46">
        <v>0</v>
      </c>
      <c r="X105" s="46">
        <v>0.005652</v>
      </c>
      <c r="Y105" s="46">
        <v>0</v>
      </c>
      <c r="Z105" s="46">
        <v>0</v>
      </c>
      <c r="AA105" s="68">
        <v>105</v>
      </c>
      <c r="AB105" s="68"/>
      <c r="AC105" s="69"/>
      <c r="AD105" s="76" t="s">
        <v>1088</v>
      </c>
      <c r="AE105" s="85" t="s">
        <v>1269</v>
      </c>
      <c r="AF105" s="76">
        <v>174</v>
      </c>
      <c r="AG105" s="76">
        <v>22</v>
      </c>
      <c r="AH105" s="76">
        <v>7933</v>
      </c>
      <c r="AI105" s="76">
        <v>3277</v>
      </c>
      <c r="AJ105" s="76"/>
      <c r="AK105" s="76" t="s">
        <v>1447</v>
      </c>
      <c r="AL105" s="76" t="s">
        <v>1598</v>
      </c>
      <c r="AM105" s="76"/>
      <c r="AN105" s="76"/>
      <c r="AO105" s="78">
        <v>39945.34224537037</v>
      </c>
      <c r="AP105" s="82" t="str">
        <f>HYPERLINK("https://pbs.twimg.com/profile_banners/39458948/1665171590")</f>
        <v>https://pbs.twimg.com/profile_banners/39458948/1665171590</v>
      </c>
      <c r="AQ105" s="76" t="b">
        <v>0</v>
      </c>
      <c r="AR105" s="76" t="b">
        <v>0</v>
      </c>
      <c r="AS105" s="76" t="b">
        <v>0</v>
      </c>
      <c r="AT105" s="76"/>
      <c r="AU105" s="76">
        <v>8</v>
      </c>
      <c r="AV105" s="82" t="str">
        <f>HYPERLINK("https://abs.twimg.com/images/themes/theme1/bg.png")</f>
        <v>https://abs.twimg.com/images/themes/theme1/bg.png</v>
      </c>
      <c r="AW105" s="76" t="b">
        <v>0</v>
      </c>
      <c r="AX105" s="76" t="s">
        <v>1651</v>
      </c>
      <c r="AY105" s="82" t="str">
        <f>HYPERLINK("https://twitter.com/walkeroftime")</f>
        <v>https://twitter.com/walkeroftime</v>
      </c>
      <c r="AZ105" s="76" t="s">
        <v>66</v>
      </c>
      <c r="BA105" s="76" t="str">
        <f>REPLACE(INDEX(GroupVertices[Group],MATCH(Vertices[[#This Row],[Vertex]],GroupVertices[Vertex],0)),1,1,"")</f>
        <v>19</v>
      </c>
      <c r="BB105" s="45"/>
      <c r="BC105" s="46"/>
      <c r="BD105" s="45"/>
      <c r="BE105" s="46"/>
      <c r="BF105" s="45"/>
      <c r="BG105" s="46"/>
      <c r="BH105" s="45"/>
      <c r="BI105" s="46"/>
      <c r="BJ105" s="45"/>
      <c r="BK105" s="109" t="s">
        <v>916</v>
      </c>
      <c r="BL105" s="109" t="s">
        <v>916</v>
      </c>
      <c r="BM105" s="109" t="s">
        <v>916</v>
      </c>
      <c r="BN105" s="109" t="s">
        <v>916</v>
      </c>
      <c r="BO105" s="2"/>
    </row>
    <row r="106" spans="1:67" ht="15">
      <c r="A106" s="61" t="s">
        <v>412</v>
      </c>
      <c r="B106" s="62"/>
      <c r="C106" s="62"/>
      <c r="D106" s="63">
        <v>80</v>
      </c>
      <c r="E106" s="65"/>
      <c r="F106" s="100" t="str">
        <f>HYPERLINK("https://pbs.twimg.com/profile_images/1295010142182879233/n1J1QGL3_normal.jpg")</f>
        <v>https://pbs.twimg.com/profile_images/1295010142182879233/n1J1QGL3_normal.jpg</v>
      </c>
      <c r="G106" s="62"/>
      <c r="H106" s="66" t="s">
        <v>412</v>
      </c>
      <c r="I106" s="67"/>
      <c r="J106" s="67"/>
      <c r="K106" s="66" t="s">
        <v>412</v>
      </c>
      <c r="L106" s="70">
        <v>1</v>
      </c>
      <c r="M106" s="71">
        <v>3109.146728515625</v>
      </c>
      <c r="N106" s="71">
        <v>1089.6217041015625</v>
      </c>
      <c r="O106" s="72"/>
      <c r="P106" s="73"/>
      <c r="Q106" s="73"/>
      <c r="R106" s="86"/>
      <c r="S106" s="45">
        <v>1</v>
      </c>
      <c r="T106" s="45">
        <v>0</v>
      </c>
      <c r="U106" s="46">
        <v>0</v>
      </c>
      <c r="V106" s="46">
        <v>0.0067</v>
      </c>
      <c r="W106" s="46">
        <v>0</v>
      </c>
      <c r="X106" s="46">
        <v>0.004674</v>
      </c>
      <c r="Y106" s="46">
        <v>0</v>
      </c>
      <c r="Z106" s="46">
        <v>0</v>
      </c>
      <c r="AA106" s="68">
        <v>106</v>
      </c>
      <c r="AB106" s="68"/>
      <c r="AC106" s="69"/>
      <c r="AD106" s="76" t="s">
        <v>1089</v>
      </c>
      <c r="AE106" s="85" t="s">
        <v>1270</v>
      </c>
      <c r="AF106" s="76">
        <v>17262</v>
      </c>
      <c r="AG106" s="76">
        <v>18348</v>
      </c>
      <c r="AH106" s="76">
        <v>128665</v>
      </c>
      <c r="AI106" s="76">
        <v>188266</v>
      </c>
      <c r="AJ106" s="76"/>
      <c r="AK106" s="76" t="s">
        <v>1448</v>
      </c>
      <c r="AL106" s="76"/>
      <c r="AM106" s="76"/>
      <c r="AN106" s="76"/>
      <c r="AO106" s="78">
        <v>44058.830034722225</v>
      </c>
      <c r="AP106" s="82" t="str">
        <f>HYPERLINK("https://pbs.twimg.com/profile_banners/1294724257348558848/1610857892")</f>
        <v>https://pbs.twimg.com/profile_banners/1294724257348558848/1610857892</v>
      </c>
      <c r="AQ106" s="76" t="b">
        <v>1</v>
      </c>
      <c r="AR106" s="76" t="b">
        <v>0</v>
      </c>
      <c r="AS106" s="76" t="b">
        <v>0</v>
      </c>
      <c r="AT106" s="76"/>
      <c r="AU106" s="76">
        <v>18</v>
      </c>
      <c r="AV106" s="76"/>
      <c r="AW106" s="76" t="b">
        <v>0</v>
      </c>
      <c r="AX106" s="76" t="s">
        <v>1651</v>
      </c>
      <c r="AY106" s="82" t="str">
        <f>HYPERLINK("https://twitter.com/mommytlc")</f>
        <v>https://twitter.com/mommytlc</v>
      </c>
      <c r="AZ106" s="76" t="s">
        <v>65</v>
      </c>
      <c r="BA106" s="76" t="str">
        <f>REPLACE(INDEX(GroupVertices[Group],MATCH(Vertices[[#This Row],[Vertex]],GroupVertices[Vertex],0)),1,1,"")</f>
        <v>19</v>
      </c>
      <c r="BB106" s="45"/>
      <c r="BC106" s="46"/>
      <c r="BD106" s="45"/>
      <c r="BE106" s="46"/>
      <c r="BF106" s="45"/>
      <c r="BG106" s="46"/>
      <c r="BH106" s="45"/>
      <c r="BI106" s="46"/>
      <c r="BJ106" s="45"/>
      <c r="BK106" s="45"/>
      <c r="BL106" s="45"/>
      <c r="BM106" s="45"/>
      <c r="BN106" s="45"/>
      <c r="BO106" s="2"/>
    </row>
    <row r="107" spans="1:67" ht="15">
      <c r="A107" s="61" t="s">
        <v>413</v>
      </c>
      <c r="B107" s="62"/>
      <c r="C107" s="62"/>
      <c r="D107" s="63">
        <v>80</v>
      </c>
      <c r="E107" s="65"/>
      <c r="F107" s="100" t="str">
        <f>HYPERLINK("https://pbs.twimg.com/profile_images/1492604362950156289/WF88ajNB_normal.jpg")</f>
        <v>https://pbs.twimg.com/profile_images/1492604362950156289/WF88ajNB_normal.jpg</v>
      </c>
      <c r="G107" s="62"/>
      <c r="H107" s="66" t="s">
        <v>413</v>
      </c>
      <c r="I107" s="67"/>
      <c r="J107" s="67"/>
      <c r="K107" s="66" t="s">
        <v>413</v>
      </c>
      <c r="L107" s="70">
        <v>1</v>
      </c>
      <c r="M107" s="71">
        <v>625.5684204101562</v>
      </c>
      <c r="N107" s="71">
        <v>673.2496337890625</v>
      </c>
      <c r="O107" s="72"/>
      <c r="P107" s="73"/>
      <c r="Q107" s="73"/>
      <c r="R107" s="86"/>
      <c r="S107" s="45">
        <v>1</v>
      </c>
      <c r="T107" s="45">
        <v>0</v>
      </c>
      <c r="U107" s="46">
        <v>0</v>
      </c>
      <c r="V107" s="46">
        <v>0.0067</v>
      </c>
      <c r="W107" s="46">
        <v>0</v>
      </c>
      <c r="X107" s="46">
        <v>0.004674</v>
      </c>
      <c r="Y107" s="46">
        <v>0</v>
      </c>
      <c r="Z107" s="46">
        <v>0</v>
      </c>
      <c r="AA107" s="68">
        <v>107</v>
      </c>
      <c r="AB107" s="68"/>
      <c r="AC107" s="69"/>
      <c r="AD107" s="76" t="s">
        <v>1090</v>
      </c>
      <c r="AE107" s="85" t="s">
        <v>934</v>
      </c>
      <c r="AF107" s="76">
        <v>4944</v>
      </c>
      <c r="AG107" s="76">
        <v>3976</v>
      </c>
      <c r="AH107" s="76">
        <v>42744</v>
      </c>
      <c r="AI107" s="76">
        <v>111123</v>
      </c>
      <c r="AJ107" s="76"/>
      <c r="AK107" s="76" t="s">
        <v>1449</v>
      </c>
      <c r="AL107" s="76"/>
      <c r="AM107" s="76"/>
      <c r="AN107" s="76"/>
      <c r="AO107" s="78">
        <v>41212.650972222225</v>
      </c>
      <c r="AP107" s="76"/>
      <c r="AQ107" s="76" t="b">
        <v>1</v>
      </c>
      <c r="AR107" s="76" t="b">
        <v>0</v>
      </c>
      <c r="AS107" s="76" t="b">
        <v>0</v>
      </c>
      <c r="AT107" s="76"/>
      <c r="AU107" s="76">
        <v>5</v>
      </c>
      <c r="AV107" s="82" t="str">
        <f>HYPERLINK("https://abs.twimg.com/images/themes/theme1/bg.png")</f>
        <v>https://abs.twimg.com/images/themes/theme1/bg.png</v>
      </c>
      <c r="AW107" s="76" t="b">
        <v>0</v>
      </c>
      <c r="AX107" s="76" t="s">
        <v>1651</v>
      </c>
      <c r="AY107" s="82" t="str">
        <f>HYPERLINK("https://twitter.com/walterblake1")</f>
        <v>https://twitter.com/walterblake1</v>
      </c>
      <c r="AZ107" s="76" t="s">
        <v>65</v>
      </c>
      <c r="BA107" s="76" t="str">
        <f>REPLACE(INDEX(GroupVertices[Group],MATCH(Vertices[[#This Row],[Vertex]],GroupVertices[Vertex],0)),1,1,"")</f>
        <v>19</v>
      </c>
      <c r="BB107" s="45"/>
      <c r="BC107" s="46"/>
      <c r="BD107" s="45"/>
      <c r="BE107" s="46"/>
      <c r="BF107" s="45"/>
      <c r="BG107" s="46"/>
      <c r="BH107" s="45"/>
      <c r="BI107" s="46"/>
      <c r="BJ107" s="45"/>
      <c r="BK107" s="45"/>
      <c r="BL107" s="45"/>
      <c r="BM107" s="45"/>
      <c r="BN107" s="45"/>
      <c r="BO107" s="2"/>
    </row>
    <row r="108" spans="1:67" ht="15">
      <c r="A108" s="61" t="s">
        <v>318</v>
      </c>
      <c r="B108" s="62"/>
      <c r="C108" s="62"/>
      <c r="D108" s="63">
        <v>80</v>
      </c>
      <c r="E108" s="65"/>
      <c r="F108" s="100" t="str">
        <f>HYPERLINK("https://pbs.twimg.com/profile_images/1509622506944090112/ZmC6XW11_normal.jpg")</f>
        <v>https://pbs.twimg.com/profile_images/1509622506944090112/ZmC6XW11_normal.jpg</v>
      </c>
      <c r="G108" s="62"/>
      <c r="H108" s="66" t="s">
        <v>318</v>
      </c>
      <c r="I108" s="67"/>
      <c r="J108" s="67"/>
      <c r="K108" s="66" t="s">
        <v>318</v>
      </c>
      <c r="L108" s="70">
        <v>1</v>
      </c>
      <c r="M108" s="71">
        <v>4158.95849609375</v>
      </c>
      <c r="N108" s="71">
        <v>2709.828125</v>
      </c>
      <c r="O108" s="72"/>
      <c r="P108" s="73"/>
      <c r="Q108" s="73"/>
      <c r="R108" s="86"/>
      <c r="S108" s="45">
        <v>1</v>
      </c>
      <c r="T108" s="45">
        <v>1</v>
      </c>
      <c r="U108" s="46">
        <v>0</v>
      </c>
      <c r="V108" s="46">
        <v>0</v>
      </c>
      <c r="W108" s="46">
        <v>0</v>
      </c>
      <c r="X108" s="46">
        <v>0.005</v>
      </c>
      <c r="Y108" s="46">
        <v>0</v>
      </c>
      <c r="Z108" s="46">
        <v>0</v>
      </c>
      <c r="AA108" s="68">
        <v>108</v>
      </c>
      <c r="AB108" s="68"/>
      <c r="AC108" s="69"/>
      <c r="AD108" s="76" t="s">
        <v>1091</v>
      </c>
      <c r="AE108" s="85" t="s">
        <v>1271</v>
      </c>
      <c r="AF108" s="76">
        <v>800</v>
      </c>
      <c r="AG108" s="76">
        <v>289</v>
      </c>
      <c r="AH108" s="76">
        <v>7006</v>
      </c>
      <c r="AI108" s="76">
        <v>85385</v>
      </c>
      <c r="AJ108" s="76"/>
      <c r="AK108" s="76" t="s">
        <v>1450</v>
      </c>
      <c r="AL108" s="76"/>
      <c r="AM108" s="76"/>
      <c r="AN108" s="76"/>
      <c r="AO108" s="78">
        <v>43993.96167824074</v>
      </c>
      <c r="AP108" s="82" t="str">
        <f>HYPERLINK("https://pbs.twimg.com/profile_banners/1271216787301052421/1665769624")</f>
        <v>https://pbs.twimg.com/profile_banners/1271216787301052421/1665769624</v>
      </c>
      <c r="AQ108" s="76" t="b">
        <v>1</v>
      </c>
      <c r="AR108" s="76" t="b">
        <v>0</v>
      </c>
      <c r="AS108" s="76" t="b">
        <v>0</v>
      </c>
      <c r="AT108" s="76"/>
      <c r="AU108" s="76">
        <v>0</v>
      </c>
      <c r="AV108" s="76"/>
      <c r="AW108" s="76" t="b">
        <v>0</v>
      </c>
      <c r="AX108" s="76" t="s">
        <v>1651</v>
      </c>
      <c r="AY108" s="82" t="str">
        <f>HYPERLINK("https://twitter.com/steuben_baron")</f>
        <v>https://twitter.com/steuben_baron</v>
      </c>
      <c r="AZ108" s="76" t="s">
        <v>66</v>
      </c>
      <c r="BA108" s="76" t="str">
        <f>REPLACE(INDEX(GroupVertices[Group],MATCH(Vertices[[#This Row],[Vertex]],GroupVertices[Vertex],0)),1,1,"")</f>
        <v>70</v>
      </c>
      <c r="BB108" s="45"/>
      <c r="BC108" s="46"/>
      <c r="BD108" s="45"/>
      <c r="BE108" s="46"/>
      <c r="BF108" s="45"/>
      <c r="BG108" s="46"/>
      <c r="BH108" s="45"/>
      <c r="BI108" s="46"/>
      <c r="BJ108" s="45"/>
      <c r="BK108" s="109" t="s">
        <v>916</v>
      </c>
      <c r="BL108" s="109" t="s">
        <v>916</v>
      </c>
      <c r="BM108" s="109" t="s">
        <v>916</v>
      </c>
      <c r="BN108" s="109" t="s">
        <v>916</v>
      </c>
      <c r="BO108" s="2"/>
    </row>
    <row r="109" spans="1:67" ht="15">
      <c r="A109" s="61" t="s">
        <v>319</v>
      </c>
      <c r="B109" s="62"/>
      <c r="C109" s="62"/>
      <c r="D109" s="63">
        <v>80</v>
      </c>
      <c r="E109" s="65"/>
      <c r="F109" s="100" t="str">
        <f>HYPERLINK("https://pbs.twimg.com/profile_images/1236727327444303873/bfNG816D_normal.jpg")</f>
        <v>https://pbs.twimg.com/profile_images/1236727327444303873/bfNG816D_normal.jpg</v>
      </c>
      <c r="G109" s="62"/>
      <c r="H109" s="66" t="s">
        <v>319</v>
      </c>
      <c r="I109" s="67"/>
      <c r="J109" s="67"/>
      <c r="K109" s="66" t="s">
        <v>319</v>
      </c>
      <c r="L109" s="70">
        <v>1</v>
      </c>
      <c r="M109" s="71">
        <v>4055.0615234375</v>
      </c>
      <c r="N109" s="71">
        <v>2873.756103515625</v>
      </c>
      <c r="O109" s="72"/>
      <c r="P109" s="73"/>
      <c r="Q109" s="73"/>
      <c r="R109" s="86"/>
      <c r="S109" s="45">
        <v>0</v>
      </c>
      <c r="T109" s="45">
        <v>1</v>
      </c>
      <c r="U109" s="46">
        <v>0</v>
      </c>
      <c r="V109" s="46">
        <v>0.005025</v>
      </c>
      <c r="W109" s="46">
        <v>0</v>
      </c>
      <c r="X109" s="46">
        <v>0.005</v>
      </c>
      <c r="Y109" s="46">
        <v>0</v>
      </c>
      <c r="Z109" s="46">
        <v>0</v>
      </c>
      <c r="AA109" s="68">
        <v>109</v>
      </c>
      <c r="AB109" s="68"/>
      <c r="AC109" s="69"/>
      <c r="AD109" s="76" t="s">
        <v>1092</v>
      </c>
      <c r="AE109" s="85" t="s">
        <v>1272</v>
      </c>
      <c r="AF109" s="76">
        <v>269</v>
      </c>
      <c r="AG109" s="76">
        <v>45</v>
      </c>
      <c r="AH109" s="76">
        <v>9910</v>
      </c>
      <c r="AI109" s="76">
        <v>280</v>
      </c>
      <c r="AJ109" s="76"/>
      <c r="AK109" s="76" t="s">
        <v>1451</v>
      </c>
      <c r="AL109" s="76" t="s">
        <v>1599</v>
      </c>
      <c r="AM109" s="76"/>
      <c r="AN109" s="76"/>
      <c r="AO109" s="78">
        <v>40630.609768518516</v>
      </c>
      <c r="AP109" s="82" t="str">
        <f>HYPERLINK("https://pbs.twimg.com/profile_banners/273454632/1666970777")</f>
        <v>https://pbs.twimg.com/profile_banners/273454632/1666970777</v>
      </c>
      <c r="AQ109" s="76" t="b">
        <v>1</v>
      </c>
      <c r="AR109" s="76" t="b">
        <v>0</v>
      </c>
      <c r="AS109" s="76" t="b">
        <v>1</v>
      </c>
      <c r="AT109" s="76"/>
      <c r="AU109" s="76">
        <v>6</v>
      </c>
      <c r="AV109" s="82" t="str">
        <f>HYPERLINK("https://abs.twimg.com/images/themes/theme1/bg.png")</f>
        <v>https://abs.twimg.com/images/themes/theme1/bg.png</v>
      </c>
      <c r="AW109" s="76" t="b">
        <v>0</v>
      </c>
      <c r="AX109" s="76" t="s">
        <v>1651</v>
      </c>
      <c r="AY109" s="82" t="str">
        <f>HYPERLINK("https://twitter.com/gi_jon0131")</f>
        <v>https://twitter.com/gi_jon0131</v>
      </c>
      <c r="AZ109" s="76" t="s">
        <v>66</v>
      </c>
      <c r="BA109" s="76" t="str">
        <f>REPLACE(INDEX(GroupVertices[Group],MATCH(Vertices[[#This Row],[Vertex]],GroupVertices[Vertex],0)),1,1,"")</f>
        <v>34</v>
      </c>
      <c r="BB109" s="45"/>
      <c r="BC109" s="46"/>
      <c r="BD109" s="45"/>
      <c r="BE109" s="46"/>
      <c r="BF109" s="45"/>
      <c r="BG109" s="46"/>
      <c r="BH109" s="45"/>
      <c r="BI109" s="46"/>
      <c r="BJ109" s="45"/>
      <c r="BK109" s="109" t="s">
        <v>916</v>
      </c>
      <c r="BL109" s="109" t="s">
        <v>916</v>
      </c>
      <c r="BM109" s="109" t="s">
        <v>916</v>
      </c>
      <c r="BN109" s="109" t="s">
        <v>916</v>
      </c>
      <c r="BO109" s="2"/>
    </row>
    <row r="110" spans="1:67" ht="15">
      <c r="A110" s="61" t="s">
        <v>414</v>
      </c>
      <c r="B110" s="62"/>
      <c r="C110" s="62"/>
      <c r="D110" s="63">
        <v>80</v>
      </c>
      <c r="E110" s="65"/>
      <c r="F110" s="100" t="str">
        <f>HYPERLINK("https://pbs.twimg.com/profile_images/1578917468894105602/IhChk1FL_normal.jpg")</f>
        <v>https://pbs.twimg.com/profile_images/1578917468894105602/IhChk1FL_normal.jpg</v>
      </c>
      <c r="G110" s="62"/>
      <c r="H110" s="66" t="s">
        <v>414</v>
      </c>
      <c r="I110" s="67"/>
      <c r="J110" s="67"/>
      <c r="K110" s="66" t="s">
        <v>414</v>
      </c>
      <c r="L110" s="70">
        <v>1</v>
      </c>
      <c r="M110" s="71">
        <v>5161.5576171875</v>
      </c>
      <c r="N110" s="71">
        <v>2246.08935546875</v>
      </c>
      <c r="O110" s="72"/>
      <c r="P110" s="73"/>
      <c r="Q110" s="73"/>
      <c r="R110" s="86"/>
      <c r="S110" s="45">
        <v>1</v>
      </c>
      <c r="T110" s="45">
        <v>0</v>
      </c>
      <c r="U110" s="46">
        <v>0</v>
      </c>
      <c r="V110" s="46">
        <v>0.005025</v>
      </c>
      <c r="W110" s="46">
        <v>0</v>
      </c>
      <c r="X110" s="46">
        <v>0.005</v>
      </c>
      <c r="Y110" s="46">
        <v>0</v>
      </c>
      <c r="Z110" s="46">
        <v>0</v>
      </c>
      <c r="AA110" s="68">
        <v>110</v>
      </c>
      <c r="AB110" s="68"/>
      <c r="AC110" s="69"/>
      <c r="AD110" s="76" t="s">
        <v>1093</v>
      </c>
      <c r="AE110" s="85" t="s">
        <v>935</v>
      </c>
      <c r="AF110" s="76">
        <v>5138</v>
      </c>
      <c r="AG110" s="76">
        <v>103967</v>
      </c>
      <c r="AH110" s="76">
        <v>156067</v>
      </c>
      <c r="AI110" s="76">
        <v>84817</v>
      </c>
      <c r="AJ110" s="76"/>
      <c r="AK110" s="76" t="s">
        <v>1452</v>
      </c>
      <c r="AL110" s="76" t="s">
        <v>1600</v>
      </c>
      <c r="AM110" s="82" t="str">
        <f>HYPERLINK("https://t.co/048CEuTMTT")</f>
        <v>https://t.co/048CEuTMTT</v>
      </c>
      <c r="AN110" s="76"/>
      <c r="AO110" s="78">
        <v>39650.97550925926</v>
      </c>
      <c r="AP110" s="82" t="str">
        <f>HYPERLINK("https://pbs.twimg.com/profile_banners/15522405/1671664895")</f>
        <v>https://pbs.twimg.com/profile_banners/15522405/1671664895</v>
      </c>
      <c r="AQ110" s="76" t="b">
        <v>0</v>
      </c>
      <c r="AR110" s="76" t="b">
        <v>0</v>
      </c>
      <c r="AS110" s="76" t="b">
        <v>0</v>
      </c>
      <c r="AT110" s="76"/>
      <c r="AU110" s="76">
        <v>589</v>
      </c>
      <c r="AV110" s="82" t="str">
        <f>HYPERLINK("https://abs.twimg.com/images/themes/theme1/bg.png")</f>
        <v>https://abs.twimg.com/images/themes/theme1/bg.png</v>
      </c>
      <c r="AW110" s="76" t="b">
        <v>1</v>
      </c>
      <c r="AX110" s="76" t="s">
        <v>1651</v>
      </c>
      <c r="AY110" s="82" t="str">
        <f>HYPERLINK("https://twitter.com/philthatremains")</f>
        <v>https://twitter.com/philthatremains</v>
      </c>
      <c r="AZ110" s="76" t="s">
        <v>65</v>
      </c>
      <c r="BA110" s="76" t="str">
        <f>REPLACE(INDEX(GroupVertices[Group],MATCH(Vertices[[#This Row],[Vertex]],GroupVertices[Vertex],0)),1,1,"")</f>
        <v>34</v>
      </c>
      <c r="BB110" s="45"/>
      <c r="BC110" s="46"/>
      <c r="BD110" s="45"/>
      <c r="BE110" s="46"/>
      <c r="BF110" s="45"/>
      <c r="BG110" s="46"/>
      <c r="BH110" s="45"/>
      <c r="BI110" s="46"/>
      <c r="BJ110" s="45"/>
      <c r="BK110" s="45"/>
      <c r="BL110" s="45"/>
      <c r="BM110" s="45"/>
      <c r="BN110" s="45"/>
      <c r="BO110" s="2"/>
    </row>
    <row r="111" spans="1:67" ht="15">
      <c r="A111" s="61" t="s">
        <v>320</v>
      </c>
      <c r="B111" s="62"/>
      <c r="C111" s="62"/>
      <c r="D111" s="63">
        <v>80</v>
      </c>
      <c r="E111" s="65"/>
      <c r="F111" s="100" t="str">
        <f>HYPERLINK("https://pbs.twimg.com/profile_images/1622538209518358529/SsgOU1Rq_normal.jpg")</f>
        <v>https://pbs.twimg.com/profile_images/1622538209518358529/SsgOU1Rq_normal.jpg</v>
      </c>
      <c r="G111" s="62"/>
      <c r="H111" s="66" t="s">
        <v>320</v>
      </c>
      <c r="I111" s="67"/>
      <c r="J111" s="67"/>
      <c r="K111" s="66" t="s">
        <v>320</v>
      </c>
      <c r="L111" s="70">
        <v>1</v>
      </c>
      <c r="M111" s="71">
        <v>4247.763671875</v>
      </c>
      <c r="N111" s="71">
        <v>2564.946533203125</v>
      </c>
      <c r="O111" s="72"/>
      <c r="P111" s="73"/>
      <c r="Q111" s="73"/>
      <c r="R111" s="86"/>
      <c r="S111" s="45">
        <v>1</v>
      </c>
      <c r="T111" s="45">
        <v>1</v>
      </c>
      <c r="U111" s="46">
        <v>0</v>
      </c>
      <c r="V111" s="46">
        <v>0</v>
      </c>
      <c r="W111" s="46">
        <v>0</v>
      </c>
      <c r="X111" s="46">
        <v>0.005</v>
      </c>
      <c r="Y111" s="46">
        <v>0</v>
      </c>
      <c r="Z111" s="46">
        <v>0</v>
      </c>
      <c r="AA111" s="68">
        <v>111</v>
      </c>
      <c r="AB111" s="68"/>
      <c r="AC111" s="69"/>
      <c r="AD111" s="76" t="s">
        <v>1094</v>
      </c>
      <c r="AE111" s="85" t="s">
        <v>1273</v>
      </c>
      <c r="AF111" s="76">
        <v>1488</v>
      </c>
      <c r="AG111" s="76">
        <v>1696</v>
      </c>
      <c r="AH111" s="76">
        <v>37093</v>
      </c>
      <c r="AI111" s="76">
        <v>28831</v>
      </c>
      <c r="AJ111" s="76"/>
      <c r="AK111" s="76" t="s">
        <v>1453</v>
      </c>
      <c r="AL111" s="76" t="s">
        <v>1601</v>
      </c>
      <c r="AM111" s="76"/>
      <c r="AN111" s="76"/>
      <c r="AO111" s="78">
        <v>43462.3821875</v>
      </c>
      <c r="AP111" s="82" t="str">
        <f>HYPERLINK("https://pbs.twimg.com/profile_banners/1078578892775047168/1674684637")</f>
        <v>https://pbs.twimg.com/profile_banners/1078578892775047168/1674684637</v>
      </c>
      <c r="AQ111" s="76" t="b">
        <v>1</v>
      </c>
      <c r="AR111" s="76" t="b">
        <v>0</v>
      </c>
      <c r="AS111" s="76" t="b">
        <v>1</v>
      </c>
      <c r="AT111" s="76"/>
      <c r="AU111" s="76">
        <v>3</v>
      </c>
      <c r="AV111" s="76"/>
      <c r="AW111" s="76" t="b">
        <v>0</v>
      </c>
      <c r="AX111" s="76" t="s">
        <v>1651</v>
      </c>
      <c r="AY111" s="82" t="str">
        <f>HYPERLINK("https://twitter.com/brits_gideon")</f>
        <v>https://twitter.com/brits_gideon</v>
      </c>
      <c r="AZ111" s="76" t="s">
        <v>66</v>
      </c>
      <c r="BA111" s="76" t="str">
        <f>REPLACE(INDEX(GroupVertices[Group],MATCH(Vertices[[#This Row],[Vertex]],GroupVertices[Vertex],0)),1,1,"")</f>
        <v>69</v>
      </c>
      <c r="BB111" s="45"/>
      <c r="BC111" s="46"/>
      <c r="BD111" s="45"/>
      <c r="BE111" s="46"/>
      <c r="BF111" s="45"/>
      <c r="BG111" s="46"/>
      <c r="BH111" s="45"/>
      <c r="BI111" s="46"/>
      <c r="BJ111" s="45"/>
      <c r="BK111" s="109" t="s">
        <v>916</v>
      </c>
      <c r="BL111" s="109" t="s">
        <v>916</v>
      </c>
      <c r="BM111" s="109" t="s">
        <v>916</v>
      </c>
      <c r="BN111" s="109" t="s">
        <v>916</v>
      </c>
      <c r="BO111" s="2"/>
    </row>
    <row r="112" spans="1:67" ht="15">
      <c r="A112" s="61" t="s">
        <v>321</v>
      </c>
      <c r="B112" s="62"/>
      <c r="C112" s="62"/>
      <c r="D112" s="63">
        <v>80</v>
      </c>
      <c r="E112" s="65"/>
      <c r="F112" s="100" t="str">
        <f>HYPERLINK("https://pbs.twimg.com/profile_images/1588083487403565056/aRdBHaOX_normal.jpg")</f>
        <v>https://pbs.twimg.com/profile_images/1588083487403565056/aRdBHaOX_normal.jpg</v>
      </c>
      <c r="G112" s="62"/>
      <c r="H112" s="66" t="s">
        <v>321</v>
      </c>
      <c r="I112" s="67"/>
      <c r="J112" s="67"/>
      <c r="K112" s="66" t="s">
        <v>321</v>
      </c>
      <c r="L112" s="70">
        <v>1</v>
      </c>
      <c r="M112" s="71">
        <v>4271.8037109375</v>
      </c>
      <c r="N112" s="71">
        <v>2594.03369140625</v>
      </c>
      <c r="O112" s="72"/>
      <c r="P112" s="73"/>
      <c r="Q112" s="73"/>
      <c r="R112" s="86"/>
      <c r="S112" s="45">
        <v>1</v>
      </c>
      <c r="T112" s="45">
        <v>1</v>
      </c>
      <c r="U112" s="46">
        <v>0</v>
      </c>
      <c r="V112" s="46">
        <v>0</v>
      </c>
      <c r="W112" s="46">
        <v>0</v>
      </c>
      <c r="X112" s="46">
        <v>0.005</v>
      </c>
      <c r="Y112" s="46">
        <v>0</v>
      </c>
      <c r="Z112" s="46">
        <v>0</v>
      </c>
      <c r="AA112" s="68">
        <v>112</v>
      </c>
      <c r="AB112" s="68"/>
      <c r="AC112" s="69"/>
      <c r="AD112" s="76" t="s">
        <v>1095</v>
      </c>
      <c r="AE112" s="85" t="s">
        <v>936</v>
      </c>
      <c r="AF112" s="76">
        <v>518</v>
      </c>
      <c r="AG112" s="76">
        <v>5053</v>
      </c>
      <c r="AH112" s="76">
        <v>14088</v>
      </c>
      <c r="AI112" s="76">
        <v>2229</v>
      </c>
      <c r="AJ112" s="76"/>
      <c r="AK112" s="76" t="s">
        <v>1454</v>
      </c>
      <c r="AL112" s="76" t="s">
        <v>1602</v>
      </c>
      <c r="AM112" s="82" t="str">
        <f>HYPERLINK("https://t.co/eaqV10UOaY")</f>
        <v>https://t.co/eaqV10UOaY</v>
      </c>
      <c r="AN112" s="76"/>
      <c r="AO112" s="78">
        <v>41799.63119212963</v>
      </c>
      <c r="AP112" s="82" t="str">
        <f>HYPERLINK("https://pbs.twimg.com/profile_banners/2557037977/1649852923")</f>
        <v>https://pbs.twimg.com/profile_banners/2557037977/1649852923</v>
      </c>
      <c r="AQ112" s="76" t="b">
        <v>0</v>
      </c>
      <c r="AR112" s="76" t="b">
        <v>0</v>
      </c>
      <c r="AS112" s="76" t="b">
        <v>1</v>
      </c>
      <c r="AT112" s="76"/>
      <c r="AU112" s="76">
        <v>0</v>
      </c>
      <c r="AV112" s="82" t="str">
        <f>HYPERLINK("https://abs.twimg.com/images/themes/theme18/bg.gif")</f>
        <v>https://abs.twimg.com/images/themes/theme18/bg.gif</v>
      </c>
      <c r="AW112" s="76" t="b">
        <v>0</v>
      </c>
      <c r="AX112" s="76" t="s">
        <v>1651</v>
      </c>
      <c r="AY112" s="82" t="str">
        <f>HYPERLINK("https://twitter.com/thecsrjournal")</f>
        <v>https://twitter.com/thecsrjournal</v>
      </c>
      <c r="AZ112" s="76" t="s">
        <v>66</v>
      </c>
      <c r="BA112" s="76" t="str">
        <f>REPLACE(INDEX(GroupVertices[Group],MATCH(Vertices[[#This Row],[Vertex]],GroupVertices[Vertex],0)),1,1,"")</f>
        <v>68</v>
      </c>
      <c r="BB112" s="45"/>
      <c r="BC112" s="46"/>
      <c r="BD112" s="45"/>
      <c r="BE112" s="46"/>
      <c r="BF112" s="45"/>
      <c r="BG112" s="46"/>
      <c r="BH112" s="45"/>
      <c r="BI112" s="46"/>
      <c r="BJ112" s="45"/>
      <c r="BK112" s="109" t="s">
        <v>916</v>
      </c>
      <c r="BL112" s="109" t="s">
        <v>916</v>
      </c>
      <c r="BM112" s="109" t="s">
        <v>916</v>
      </c>
      <c r="BN112" s="109" t="s">
        <v>916</v>
      </c>
      <c r="BO112" s="2"/>
    </row>
    <row r="113" spans="1:67" ht="15">
      <c r="A113" s="61" t="s">
        <v>322</v>
      </c>
      <c r="B113" s="62"/>
      <c r="C113" s="62"/>
      <c r="D113" s="63">
        <v>80</v>
      </c>
      <c r="E113" s="65"/>
      <c r="F113" s="100" t="str">
        <f>HYPERLINK("https://pbs.twimg.com/profile_images/1326281997434712064/3SmBxBih_normal.jpg")</f>
        <v>https://pbs.twimg.com/profile_images/1326281997434712064/3SmBxBih_normal.jpg</v>
      </c>
      <c r="G113" s="62"/>
      <c r="H113" s="66" t="s">
        <v>322</v>
      </c>
      <c r="I113" s="67"/>
      <c r="J113" s="67"/>
      <c r="K113" s="66" t="s">
        <v>322</v>
      </c>
      <c r="L113" s="70">
        <v>1</v>
      </c>
      <c r="M113" s="71">
        <v>4242.55322265625</v>
      </c>
      <c r="N113" s="71">
        <v>2473.36865234375</v>
      </c>
      <c r="O113" s="72"/>
      <c r="P113" s="73"/>
      <c r="Q113" s="73"/>
      <c r="R113" s="86"/>
      <c r="S113" s="45">
        <v>0</v>
      </c>
      <c r="T113" s="45">
        <v>2</v>
      </c>
      <c r="U113" s="46">
        <v>0</v>
      </c>
      <c r="V113" s="46">
        <v>0.011307</v>
      </c>
      <c r="W113" s="46">
        <v>0</v>
      </c>
      <c r="X113" s="46">
        <v>0.004773</v>
      </c>
      <c r="Y113" s="46">
        <v>0.5</v>
      </c>
      <c r="Z113" s="46">
        <v>0</v>
      </c>
      <c r="AA113" s="68">
        <v>113</v>
      </c>
      <c r="AB113" s="68"/>
      <c r="AC113" s="69"/>
      <c r="AD113" s="76" t="s">
        <v>1096</v>
      </c>
      <c r="AE113" s="85" t="s">
        <v>1274</v>
      </c>
      <c r="AF113" s="76">
        <v>566</v>
      </c>
      <c r="AG113" s="76">
        <v>51</v>
      </c>
      <c r="AH113" s="76">
        <v>2389</v>
      </c>
      <c r="AI113" s="76">
        <v>5023</v>
      </c>
      <c r="AJ113" s="76"/>
      <c r="AK113" s="76" t="s">
        <v>1455</v>
      </c>
      <c r="AL113" s="76"/>
      <c r="AM113" s="76"/>
      <c r="AN113" s="76"/>
      <c r="AO113" s="78">
        <v>43877.61578703704</v>
      </c>
      <c r="AP113" s="82" t="str">
        <f>HYPERLINK("https://pbs.twimg.com/profile_banners/1229054457159262209/1633425480")</f>
        <v>https://pbs.twimg.com/profile_banners/1229054457159262209/1633425480</v>
      </c>
      <c r="AQ113" s="76" t="b">
        <v>1</v>
      </c>
      <c r="AR113" s="76" t="b">
        <v>0</v>
      </c>
      <c r="AS113" s="76" t="b">
        <v>0</v>
      </c>
      <c r="AT113" s="76"/>
      <c r="AU113" s="76">
        <v>4</v>
      </c>
      <c r="AV113" s="76"/>
      <c r="AW113" s="76" t="b">
        <v>0</v>
      </c>
      <c r="AX113" s="76" t="s">
        <v>1651</v>
      </c>
      <c r="AY113" s="82" t="str">
        <f>HYPERLINK("https://twitter.com/alesxius")</f>
        <v>https://twitter.com/alesxius</v>
      </c>
      <c r="AZ113" s="76" t="s">
        <v>66</v>
      </c>
      <c r="BA113" s="76" t="str">
        <f>REPLACE(INDEX(GroupVertices[Group],MATCH(Vertices[[#This Row],[Vertex]],GroupVertices[Vertex],0)),1,1,"")</f>
        <v>10</v>
      </c>
      <c r="BB113" s="45"/>
      <c r="BC113" s="46"/>
      <c r="BD113" s="45"/>
      <c r="BE113" s="46"/>
      <c r="BF113" s="45"/>
      <c r="BG113" s="46"/>
      <c r="BH113" s="45"/>
      <c r="BI113" s="46"/>
      <c r="BJ113" s="45"/>
      <c r="BK113" s="109" t="s">
        <v>916</v>
      </c>
      <c r="BL113" s="109" t="s">
        <v>916</v>
      </c>
      <c r="BM113" s="109" t="s">
        <v>916</v>
      </c>
      <c r="BN113" s="109" t="s">
        <v>916</v>
      </c>
      <c r="BO113" s="2"/>
    </row>
    <row r="114" spans="1:67" ht="15">
      <c r="A114" s="61" t="s">
        <v>415</v>
      </c>
      <c r="B114" s="62"/>
      <c r="C114" s="62"/>
      <c r="D114" s="63">
        <v>100.9090909090909</v>
      </c>
      <c r="E114" s="65"/>
      <c r="F114" s="100" t="str">
        <f>HYPERLINK("https://pbs.twimg.com/profile_images/1538708883442700288/E6r_4BIc_normal.jpg")</f>
        <v>https://pbs.twimg.com/profile_images/1538708883442700288/E6r_4BIc_normal.jpg</v>
      </c>
      <c r="G114" s="62"/>
      <c r="H114" s="66" t="s">
        <v>415</v>
      </c>
      <c r="I114" s="67"/>
      <c r="J114" s="67"/>
      <c r="K114" s="66" t="s">
        <v>415</v>
      </c>
      <c r="L114" s="70">
        <v>29.729885057471265</v>
      </c>
      <c r="M114" s="71">
        <v>4540.99365234375</v>
      </c>
      <c r="N114" s="71">
        <v>3813.094482421875</v>
      </c>
      <c r="O114" s="72"/>
      <c r="P114" s="73"/>
      <c r="Q114" s="73"/>
      <c r="R114" s="86"/>
      <c r="S114" s="45">
        <v>3</v>
      </c>
      <c r="T114" s="45">
        <v>0</v>
      </c>
      <c r="U114" s="46">
        <v>1</v>
      </c>
      <c r="V114" s="46">
        <v>0.015075</v>
      </c>
      <c r="W114" s="46">
        <v>0</v>
      </c>
      <c r="X114" s="46">
        <v>0.005227</v>
      </c>
      <c r="Y114" s="46">
        <v>0.3333333333333333</v>
      </c>
      <c r="Z114" s="46">
        <v>0</v>
      </c>
      <c r="AA114" s="68">
        <v>114</v>
      </c>
      <c r="AB114" s="68"/>
      <c r="AC114" s="69"/>
      <c r="AD114" s="76" t="s">
        <v>1097</v>
      </c>
      <c r="AE114" s="85" t="s">
        <v>1275</v>
      </c>
      <c r="AF114" s="76">
        <v>673</v>
      </c>
      <c r="AG114" s="76">
        <v>72754</v>
      </c>
      <c r="AH114" s="76">
        <v>6795</v>
      </c>
      <c r="AI114" s="76">
        <v>18167</v>
      </c>
      <c r="AJ114" s="76"/>
      <c r="AK114" s="76" t="s">
        <v>1456</v>
      </c>
      <c r="AL114" s="76" t="s">
        <v>1603</v>
      </c>
      <c r="AM114" s="82" t="str">
        <f>HYPERLINK("https://t.co/OatcdgX3oh")</f>
        <v>https://t.co/OatcdgX3oh</v>
      </c>
      <c r="AN114" s="76"/>
      <c r="AO114" s="78">
        <v>44732.09100694444</v>
      </c>
      <c r="AP114" s="82" t="str">
        <f>HYPERLINK("https://pbs.twimg.com/profile_banners/1538705932799987712/1673151793")</f>
        <v>https://pbs.twimg.com/profile_banners/1538705932799987712/1673151793</v>
      </c>
      <c r="AQ114" s="76" t="b">
        <v>1</v>
      </c>
      <c r="AR114" s="76" t="b">
        <v>0</v>
      </c>
      <c r="AS114" s="76" t="b">
        <v>0</v>
      </c>
      <c r="AT114" s="76"/>
      <c r="AU114" s="76">
        <v>223</v>
      </c>
      <c r="AV114" s="76"/>
      <c r="AW114" s="76" t="b">
        <v>0</v>
      </c>
      <c r="AX114" s="76" t="s">
        <v>1651</v>
      </c>
      <c r="AY114" s="82" t="str">
        <f>HYPERLINK("https://twitter.com/aristos_revenge")</f>
        <v>https://twitter.com/aristos_revenge</v>
      </c>
      <c r="AZ114" s="76" t="s">
        <v>65</v>
      </c>
      <c r="BA114" s="76" t="str">
        <f>REPLACE(INDEX(GroupVertices[Group],MATCH(Vertices[[#This Row],[Vertex]],GroupVertices[Vertex],0)),1,1,"")</f>
        <v>10</v>
      </c>
      <c r="BB114" s="45"/>
      <c r="BC114" s="46"/>
      <c r="BD114" s="45"/>
      <c r="BE114" s="46"/>
      <c r="BF114" s="45"/>
      <c r="BG114" s="46"/>
      <c r="BH114" s="45"/>
      <c r="BI114" s="46"/>
      <c r="BJ114" s="45"/>
      <c r="BK114" s="45"/>
      <c r="BL114" s="45"/>
      <c r="BM114" s="45"/>
      <c r="BN114" s="45"/>
      <c r="BO114" s="2"/>
    </row>
    <row r="115" spans="1:67" ht="15">
      <c r="A115" s="61" t="s">
        <v>325</v>
      </c>
      <c r="B115" s="62"/>
      <c r="C115" s="62"/>
      <c r="D115" s="63">
        <v>100.9090909090909</v>
      </c>
      <c r="E115" s="65"/>
      <c r="F115" s="100" t="str">
        <f>HYPERLINK("https://pbs.twimg.com/profile_images/830867055159164937/xTM1ryf8_normal.jpg")</f>
        <v>https://pbs.twimg.com/profile_images/830867055159164937/xTM1ryf8_normal.jpg</v>
      </c>
      <c r="G115" s="62"/>
      <c r="H115" s="66" t="s">
        <v>325</v>
      </c>
      <c r="I115" s="67"/>
      <c r="J115" s="67"/>
      <c r="K115" s="66" t="s">
        <v>325</v>
      </c>
      <c r="L115" s="70">
        <v>29.729885057471265</v>
      </c>
      <c r="M115" s="71">
        <v>3369.640625</v>
      </c>
      <c r="N115" s="71">
        <v>3499.960205078125</v>
      </c>
      <c r="O115" s="72"/>
      <c r="P115" s="73"/>
      <c r="Q115" s="73"/>
      <c r="R115" s="86"/>
      <c r="S115" s="45">
        <v>2</v>
      </c>
      <c r="T115" s="45">
        <v>1</v>
      </c>
      <c r="U115" s="46">
        <v>1</v>
      </c>
      <c r="V115" s="46">
        <v>0.015075</v>
      </c>
      <c r="W115" s="46">
        <v>0</v>
      </c>
      <c r="X115" s="46">
        <v>0.005227</v>
      </c>
      <c r="Y115" s="46">
        <v>0.3333333333333333</v>
      </c>
      <c r="Z115" s="46">
        <v>0</v>
      </c>
      <c r="AA115" s="68">
        <v>115</v>
      </c>
      <c r="AB115" s="68"/>
      <c r="AC115" s="69"/>
      <c r="AD115" s="76" t="s">
        <v>1098</v>
      </c>
      <c r="AE115" s="85" t="s">
        <v>937</v>
      </c>
      <c r="AF115" s="76">
        <v>897</v>
      </c>
      <c r="AG115" s="76">
        <v>485</v>
      </c>
      <c r="AH115" s="76">
        <v>7719</v>
      </c>
      <c r="AI115" s="76">
        <v>11108</v>
      </c>
      <c r="AJ115" s="76"/>
      <c r="AK115" s="76" t="s">
        <v>1457</v>
      </c>
      <c r="AL115" s="76"/>
      <c r="AM115" s="76"/>
      <c r="AN115" s="76"/>
      <c r="AO115" s="78">
        <v>42110.79378472222</v>
      </c>
      <c r="AP115" s="82" t="str">
        <f>HYPERLINK("https://pbs.twimg.com/profile_banners/3173834902/1486929156")</f>
        <v>https://pbs.twimg.com/profile_banners/3173834902/1486929156</v>
      </c>
      <c r="AQ115" s="76" t="b">
        <v>1</v>
      </c>
      <c r="AR115" s="76" t="b">
        <v>0</v>
      </c>
      <c r="AS115" s="76" t="b">
        <v>1</v>
      </c>
      <c r="AT115" s="76"/>
      <c r="AU115" s="76">
        <v>17</v>
      </c>
      <c r="AV115" s="82" t="str">
        <f>HYPERLINK("https://abs.twimg.com/images/themes/theme1/bg.png")</f>
        <v>https://abs.twimg.com/images/themes/theme1/bg.png</v>
      </c>
      <c r="AW115" s="76" t="b">
        <v>0</v>
      </c>
      <c r="AX115" s="76" t="s">
        <v>1651</v>
      </c>
      <c r="AY115" s="82" t="str">
        <f>HYPERLINK("https://twitter.com/techclive")</f>
        <v>https://twitter.com/techclive</v>
      </c>
      <c r="AZ115" s="76" t="s">
        <v>66</v>
      </c>
      <c r="BA115" s="76" t="str">
        <f>REPLACE(INDEX(GroupVertices[Group],MATCH(Vertices[[#This Row],[Vertex]],GroupVertices[Vertex],0)),1,1,"")</f>
        <v>10</v>
      </c>
      <c r="BB115" s="45"/>
      <c r="BC115" s="46"/>
      <c r="BD115" s="45"/>
      <c r="BE115" s="46"/>
      <c r="BF115" s="45"/>
      <c r="BG115" s="46"/>
      <c r="BH115" s="45"/>
      <c r="BI115" s="46"/>
      <c r="BJ115" s="45"/>
      <c r="BK115" s="109" t="s">
        <v>916</v>
      </c>
      <c r="BL115" s="109" t="s">
        <v>916</v>
      </c>
      <c r="BM115" s="109" t="s">
        <v>916</v>
      </c>
      <c r="BN115" s="109" t="s">
        <v>916</v>
      </c>
      <c r="BO115" s="2"/>
    </row>
    <row r="116" spans="1:67" ht="15">
      <c r="A116" s="61" t="s">
        <v>416</v>
      </c>
      <c r="B116" s="62"/>
      <c r="C116" s="62"/>
      <c r="D116" s="63">
        <v>80</v>
      </c>
      <c r="E116" s="65"/>
      <c r="F116" s="100" t="str">
        <f>HYPERLINK("https://pbs.twimg.com/profile_images/1498112732779859974/BrQJ6nn2_normal.jpg")</f>
        <v>https://pbs.twimg.com/profile_images/1498112732779859974/BrQJ6nn2_normal.jpg</v>
      </c>
      <c r="G116" s="62"/>
      <c r="H116" s="66" t="s">
        <v>416</v>
      </c>
      <c r="I116" s="67"/>
      <c r="J116" s="67"/>
      <c r="K116" s="66" t="s">
        <v>416</v>
      </c>
      <c r="L116" s="70">
        <v>1</v>
      </c>
      <c r="M116" s="71">
        <v>4606.89453125</v>
      </c>
      <c r="N116" s="71">
        <v>5223.41015625</v>
      </c>
      <c r="O116" s="72"/>
      <c r="P116" s="73"/>
      <c r="Q116" s="73"/>
      <c r="R116" s="86"/>
      <c r="S116" s="45">
        <v>1</v>
      </c>
      <c r="T116" s="45">
        <v>0</v>
      </c>
      <c r="U116" s="46">
        <v>0</v>
      </c>
      <c r="V116" s="46">
        <v>0.03397</v>
      </c>
      <c r="W116" s="46">
        <v>0</v>
      </c>
      <c r="X116" s="46">
        <v>0.004386</v>
      </c>
      <c r="Y116" s="46">
        <v>0</v>
      </c>
      <c r="Z116" s="46">
        <v>0</v>
      </c>
      <c r="AA116" s="68">
        <v>116</v>
      </c>
      <c r="AB116" s="68"/>
      <c r="AC116" s="69"/>
      <c r="AD116" s="76" t="s">
        <v>1099</v>
      </c>
      <c r="AE116" s="85" t="s">
        <v>938</v>
      </c>
      <c r="AF116" s="76">
        <v>602991</v>
      </c>
      <c r="AG116" s="76">
        <v>651698</v>
      </c>
      <c r="AH116" s="76">
        <v>895497</v>
      </c>
      <c r="AI116" s="76">
        <v>13</v>
      </c>
      <c r="AJ116" s="76"/>
      <c r="AK116" s="76" t="s">
        <v>1458</v>
      </c>
      <c r="AL116" s="76" t="s">
        <v>1604</v>
      </c>
      <c r="AM116" s="82" t="str">
        <f>HYPERLINK("https://t.co/vWJIQX8QxA")</f>
        <v>https://t.co/vWJIQX8QxA</v>
      </c>
      <c r="AN116" s="76"/>
      <c r="AO116" s="78">
        <v>39888.73813657407</v>
      </c>
      <c r="AP116" s="82" t="str">
        <f>HYPERLINK("https://pbs.twimg.com/profile_banners/24733117/1646012884")</f>
        <v>https://pbs.twimg.com/profile_banners/24733117/1646012884</v>
      </c>
      <c r="AQ116" s="76" t="b">
        <v>0</v>
      </c>
      <c r="AR116" s="76" t="b">
        <v>0</v>
      </c>
      <c r="AS116" s="76" t="b">
        <v>0</v>
      </c>
      <c r="AT116" s="76"/>
      <c r="AU116" s="76">
        <v>5214</v>
      </c>
      <c r="AV116" s="82" t="str">
        <f>HYPERLINK("https://abs.twimg.com/images/themes/theme12/bg.gif")</f>
        <v>https://abs.twimg.com/images/themes/theme12/bg.gif</v>
      </c>
      <c r="AW116" s="76" t="b">
        <v>0</v>
      </c>
      <c r="AX116" s="76" t="s">
        <v>1651</v>
      </c>
      <c r="AY116" s="82" t="str">
        <f>HYPERLINK("https://twitter.com/jilevin")</f>
        <v>https://twitter.com/jilevin</v>
      </c>
      <c r="AZ116" s="76" t="s">
        <v>65</v>
      </c>
      <c r="BA116" s="76" t="str">
        <f>REPLACE(INDEX(GroupVertices[Group],MATCH(Vertices[[#This Row],[Vertex]],GroupVertices[Vertex],0)),1,1,"")</f>
        <v>3</v>
      </c>
      <c r="BB116" s="45"/>
      <c r="BC116" s="46"/>
      <c r="BD116" s="45"/>
      <c r="BE116" s="46"/>
      <c r="BF116" s="45"/>
      <c r="BG116" s="46"/>
      <c r="BH116" s="45"/>
      <c r="BI116" s="46"/>
      <c r="BJ116" s="45"/>
      <c r="BK116" s="45"/>
      <c r="BL116" s="45"/>
      <c r="BM116" s="45"/>
      <c r="BN116" s="45"/>
      <c r="BO116" s="2"/>
    </row>
    <row r="117" spans="1:67" ht="15">
      <c r="A117" s="61" t="s">
        <v>417</v>
      </c>
      <c r="B117" s="62"/>
      <c r="C117" s="62"/>
      <c r="D117" s="63">
        <v>80</v>
      </c>
      <c r="E117" s="65"/>
      <c r="F117" s="100" t="str">
        <f>HYPERLINK("https://pbs.twimg.com/profile_images/1616439386760962049/gvyndO1J_normal.jpg")</f>
        <v>https://pbs.twimg.com/profile_images/1616439386760962049/gvyndO1J_normal.jpg</v>
      </c>
      <c r="G117" s="62"/>
      <c r="H117" s="66" t="s">
        <v>417</v>
      </c>
      <c r="I117" s="67"/>
      <c r="J117" s="67"/>
      <c r="K117" s="66" t="s">
        <v>417</v>
      </c>
      <c r="L117" s="70">
        <v>1</v>
      </c>
      <c r="M117" s="71">
        <v>2712.505859375</v>
      </c>
      <c r="N117" s="71">
        <v>3466.66796875</v>
      </c>
      <c r="O117" s="72"/>
      <c r="P117" s="73"/>
      <c r="Q117" s="73"/>
      <c r="R117" s="86"/>
      <c r="S117" s="45">
        <v>1</v>
      </c>
      <c r="T117" s="45">
        <v>0</v>
      </c>
      <c r="U117" s="46">
        <v>0</v>
      </c>
      <c r="V117" s="46">
        <v>0.03397</v>
      </c>
      <c r="W117" s="46">
        <v>0</v>
      </c>
      <c r="X117" s="46">
        <v>0.004386</v>
      </c>
      <c r="Y117" s="46">
        <v>0</v>
      </c>
      <c r="Z117" s="46">
        <v>0</v>
      </c>
      <c r="AA117" s="68">
        <v>117</v>
      </c>
      <c r="AB117" s="68"/>
      <c r="AC117" s="69"/>
      <c r="AD117" s="76" t="s">
        <v>1100</v>
      </c>
      <c r="AE117" s="85" t="s">
        <v>939</v>
      </c>
      <c r="AF117" s="76">
        <v>1812</v>
      </c>
      <c r="AG117" s="76">
        <v>1278815</v>
      </c>
      <c r="AH117" s="76">
        <v>12886</v>
      </c>
      <c r="AI117" s="76">
        <v>474</v>
      </c>
      <c r="AJ117" s="76"/>
      <c r="AK117" s="76" t="s">
        <v>1459</v>
      </c>
      <c r="AL117" s="76" t="s">
        <v>1605</v>
      </c>
      <c r="AM117" s="82" t="str">
        <f>HYPERLINK("https://t.co/3TEQqm9oVM")</f>
        <v>https://t.co/3TEQqm9oVM</v>
      </c>
      <c r="AN117" s="76"/>
      <c r="AO117" s="78">
        <v>39374.11914351852</v>
      </c>
      <c r="AP117" s="82" t="str">
        <f>HYPERLINK("https://pbs.twimg.com/profile_banners/9534522/1674224129")</f>
        <v>https://pbs.twimg.com/profile_banners/9534522/1674224129</v>
      </c>
      <c r="AQ117" s="76" t="b">
        <v>0</v>
      </c>
      <c r="AR117" s="76" t="b">
        <v>0</v>
      </c>
      <c r="AS117" s="76" t="b">
        <v>1</v>
      </c>
      <c r="AT117" s="76"/>
      <c r="AU117" s="76">
        <v>18067</v>
      </c>
      <c r="AV117" s="82" t="str">
        <f>HYPERLINK("https://abs.twimg.com/images/themes/theme2/bg.gif")</f>
        <v>https://abs.twimg.com/images/themes/theme2/bg.gif</v>
      </c>
      <c r="AW117" s="76" t="b">
        <v>1</v>
      </c>
      <c r="AX117" s="76" t="s">
        <v>1651</v>
      </c>
      <c r="AY117" s="82" t="str">
        <f>HYPERLINK("https://twitter.com/pogue")</f>
        <v>https://twitter.com/pogue</v>
      </c>
      <c r="AZ117" s="76" t="s">
        <v>65</v>
      </c>
      <c r="BA117" s="76" t="str">
        <f>REPLACE(INDEX(GroupVertices[Group],MATCH(Vertices[[#This Row],[Vertex]],GroupVertices[Vertex],0)),1,1,"")</f>
        <v>3</v>
      </c>
      <c r="BB117" s="45"/>
      <c r="BC117" s="46"/>
      <c r="BD117" s="45"/>
      <c r="BE117" s="46"/>
      <c r="BF117" s="45"/>
      <c r="BG117" s="46"/>
      <c r="BH117" s="45"/>
      <c r="BI117" s="46"/>
      <c r="BJ117" s="45"/>
      <c r="BK117" s="45"/>
      <c r="BL117" s="45"/>
      <c r="BM117" s="45"/>
      <c r="BN117" s="45"/>
      <c r="BO117" s="2"/>
    </row>
    <row r="118" spans="1:67" ht="15">
      <c r="A118" s="61" t="s">
        <v>418</v>
      </c>
      <c r="B118" s="62"/>
      <c r="C118" s="62"/>
      <c r="D118" s="63">
        <v>80</v>
      </c>
      <c r="E118" s="65"/>
      <c r="F118" s="100" t="str">
        <f>HYPERLINK("https://pbs.twimg.com/profile_images/1219361186195468288/9_ZjxWzJ_normal.jpg")</f>
        <v>https://pbs.twimg.com/profile_images/1219361186195468288/9_ZjxWzJ_normal.jpg</v>
      </c>
      <c r="G118" s="62"/>
      <c r="H118" s="66" t="s">
        <v>418</v>
      </c>
      <c r="I118" s="67"/>
      <c r="J118" s="67"/>
      <c r="K118" s="66" t="s">
        <v>418</v>
      </c>
      <c r="L118" s="70">
        <v>1</v>
      </c>
      <c r="M118" s="71">
        <v>5916.2998046875</v>
      </c>
      <c r="N118" s="71">
        <v>3489.52978515625</v>
      </c>
      <c r="O118" s="72"/>
      <c r="P118" s="73"/>
      <c r="Q118" s="73"/>
      <c r="R118" s="86"/>
      <c r="S118" s="45">
        <v>1</v>
      </c>
      <c r="T118" s="45">
        <v>0</v>
      </c>
      <c r="U118" s="46">
        <v>0</v>
      </c>
      <c r="V118" s="46">
        <v>0.03397</v>
      </c>
      <c r="W118" s="46">
        <v>0</v>
      </c>
      <c r="X118" s="46">
        <v>0.004386</v>
      </c>
      <c r="Y118" s="46">
        <v>0</v>
      </c>
      <c r="Z118" s="46">
        <v>0</v>
      </c>
      <c r="AA118" s="68">
        <v>118</v>
      </c>
      <c r="AB118" s="68"/>
      <c r="AC118" s="69"/>
      <c r="AD118" s="76" t="s">
        <v>1101</v>
      </c>
      <c r="AE118" s="85" t="s">
        <v>1276</v>
      </c>
      <c r="AF118" s="76">
        <v>1601</v>
      </c>
      <c r="AG118" s="76">
        <v>1744156</v>
      </c>
      <c r="AH118" s="76">
        <v>143760</v>
      </c>
      <c r="AI118" s="76">
        <v>43933</v>
      </c>
      <c r="AJ118" s="76"/>
      <c r="AK118" s="76" t="s">
        <v>1460</v>
      </c>
      <c r="AL118" s="76" t="s">
        <v>1606</v>
      </c>
      <c r="AM118" s="82" t="str">
        <f>HYPERLINK("https://t.co/7AgnirGcxf")</f>
        <v>https://t.co/7AgnirGcxf</v>
      </c>
      <c r="AN118" s="76"/>
      <c r="AO118" s="78">
        <v>39818.73304398148</v>
      </c>
      <c r="AP118" s="82" t="str">
        <f>HYPERLINK("https://pbs.twimg.com/profile_banners/18638090/1675261879")</f>
        <v>https://pbs.twimg.com/profile_banners/18638090/1675261879</v>
      </c>
      <c r="AQ118" s="76" t="b">
        <v>0</v>
      </c>
      <c r="AR118" s="76" t="b">
        <v>0</v>
      </c>
      <c r="AS118" s="76" t="b">
        <v>1</v>
      </c>
      <c r="AT118" s="76"/>
      <c r="AU118" s="76">
        <v>3815</v>
      </c>
      <c r="AV118" s="82" t="str">
        <f>HYPERLINK("https://abs.twimg.com/images/themes/theme13/bg.gif")</f>
        <v>https://abs.twimg.com/images/themes/theme13/bg.gif</v>
      </c>
      <c r="AW118" s="76" t="b">
        <v>1</v>
      </c>
      <c r="AX118" s="76" t="s">
        <v>1651</v>
      </c>
      <c r="AY118" s="82" t="str">
        <f>HYPERLINK("https://twitter.com/weathernetwork")</f>
        <v>https://twitter.com/weathernetwork</v>
      </c>
      <c r="AZ118" s="76" t="s">
        <v>65</v>
      </c>
      <c r="BA118" s="76" t="str">
        <f>REPLACE(INDEX(GroupVertices[Group],MATCH(Vertices[[#This Row],[Vertex]],GroupVertices[Vertex],0)),1,1,"")</f>
        <v>3</v>
      </c>
      <c r="BB118" s="45"/>
      <c r="BC118" s="46"/>
      <c r="BD118" s="45"/>
      <c r="BE118" s="46"/>
      <c r="BF118" s="45"/>
      <c r="BG118" s="46"/>
      <c r="BH118" s="45"/>
      <c r="BI118" s="46"/>
      <c r="BJ118" s="45"/>
      <c r="BK118" s="45"/>
      <c r="BL118" s="45"/>
      <c r="BM118" s="45"/>
      <c r="BN118" s="45"/>
      <c r="BO118" s="2"/>
    </row>
    <row r="119" spans="1:67" ht="15">
      <c r="A119" s="61" t="s">
        <v>419</v>
      </c>
      <c r="B119" s="62"/>
      <c r="C119" s="62"/>
      <c r="D119" s="63">
        <v>80</v>
      </c>
      <c r="E119" s="65"/>
      <c r="F119" s="100" t="str">
        <f>HYPERLINK("https://pbs.twimg.com/profile_images/777173614856540160/XoQYQp5k_normal.jpg")</f>
        <v>https://pbs.twimg.com/profile_images/777173614856540160/XoQYQp5k_normal.jpg</v>
      </c>
      <c r="G119" s="62"/>
      <c r="H119" s="66" t="s">
        <v>419</v>
      </c>
      <c r="I119" s="67"/>
      <c r="J119" s="67"/>
      <c r="K119" s="66" t="s">
        <v>419</v>
      </c>
      <c r="L119" s="70">
        <v>1</v>
      </c>
      <c r="M119" s="71">
        <v>5771.35595703125</v>
      </c>
      <c r="N119" s="71">
        <v>2691.37158203125</v>
      </c>
      <c r="O119" s="72"/>
      <c r="P119" s="73"/>
      <c r="Q119" s="73"/>
      <c r="R119" s="86"/>
      <c r="S119" s="45">
        <v>1</v>
      </c>
      <c r="T119" s="45">
        <v>0</v>
      </c>
      <c r="U119" s="46">
        <v>0</v>
      </c>
      <c r="V119" s="46">
        <v>0.03397</v>
      </c>
      <c r="W119" s="46">
        <v>0</v>
      </c>
      <c r="X119" s="46">
        <v>0.004386</v>
      </c>
      <c r="Y119" s="46">
        <v>0</v>
      </c>
      <c r="Z119" s="46">
        <v>0</v>
      </c>
      <c r="AA119" s="68">
        <v>119</v>
      </c>
      <c r="AB119" s="68"/>
      <c r="AC119" s="69"/>
      <c r="AD119" s="76" t="s">
        <v>1102</v>
      </c>
      <c r="AE119" s="85" t="s">
        <v>1277</v>
      </c>
      <c r="AF119" s="76">
        <v>989</v>
      </c>
      <c r="AG119" s="76">
        <v>1447</v>
      </c>
      <c r="AH119" s="76">
        <v>5095</v>
      </c>
      <c r="AI119" s="76">
        <v>3526</v>
      </c>
      <c r="AJ119" s="76"/>
      <c r="AK119" s="76" t="s">
        <v>1461</v>
      </c>
      <c r="AL119" s="76" t="s">
        <v>1607</v>
      </c>
      <c r="AM119" s="76"/>
      <c r="AN119" s="76"/>
      <c r="AO119" s="78">
        <v>39969.91506944445</v>
      </c>
      <c r="AP119" s="82" t="str">
        <f>HYPERLINK("https://pbs.twimg.com/profile_banners/45008184/1663440501")</f>
        <v>https://pbs.twimg.com/profile_banners/45008184/1663440501</v>
      </c>
      <c r="AQ119" s="76" t="b">
        <v>0</v>
      </c>
      <c r="AR119" s="76" t="b">
        <v>0</v>
      </c>
      <c r="AS119" s="76" t="b">
        <v>0</v>
      </c>
      <c r="AT119" s="76"/>
      <c r="AU119" s="76">
        <v>44</v>
      </c>
      <c r="AV119" s="82" t="str">
        <f>HYPERLINK("https://abs.twimg.com/images/themes/theme9/bg.gif")</f>
        <v>https://abs.twimg.com/images/themes/theme9/bg.gif</v>
      </c>
      <c r="AW119" s="76" t="b">
        <v>1</v>
      </c>
      <c r="AX119" s="76" t="s">
        <v>1651</v>
      </c>
      <c r="AY119" s="82" t="str">
        <f>HYPERLINK("https://twitter.com/cgbilton")</f>
        <v>https://twitter.com/cgbilton</v>
      </c>
      <c r="AZ119" s="76" t="s">
        <v>65</v>
      </c>
      <c r="BA119" s="76" t="str">
        <f>REPLACE(INDEX(GroupVertices[Group],MATCH(Vertices[[#This Row],[Vertex]],GroupVertices[Vertex],0)),1,1,"")</f>
        <v>3</v>
      </c>
      <c r="BB119" s="45"/>
      <c r="BC119" s="46"/>
      <c r="BD119" s="45"/>
      <c r="BE119" s="46"/>
      <c r="BF119" s="45"/>
      <c r="BG119" s="46"/>
      <c r="BH119" s="45"/>
      <c r="BI119" s="46"/>
      <c r="BJ119" s="45"/>
      <c r="BK119" s="45"/>
      <c r="BL119" s="45"/>
      <c r="BM119" s="45"/>
      <c r="BN119" s="45"/>
      <c r="BO119" s="2"/>
    </row>
    <row r="120" spans="1:67" ht="15">
      <c r="A120" s="61" t="s">
        <v>420</v>
      </c>
      <c r="B120" s="62"/>
      <c r="C120" s="62"/>
      <c r="D120" s="63">
        <v>80</v>
      </c>
      <c r="E120" s="65"/>
      <c r="F120" s="100" t="str">
        <f>HYPERLINK("https://pbs.twimg.com/profile_images/1250736366872395779/NVnHvjJ7_normal.jpg")</f>
        <v>https://pbs.twimg.com/profile_images/1250736366872395779/NVnHvjJ7_normal.jpg</v>
      </c>
      <c r="G120" s="62"/>
      <c r="H120" s="66" t="s">
        <v>420</v>
      </c>
      <c r="I120" s="67"/>
      <c r="J120" s="67"/>
      <c r="K120" s="66" t="s">
        <v>420</v>
      </c>
      <c r="L120" s="70">
        <v>1</v>
      </c>
      <c r="M120" s="71">
        <v>5312.2275390625</v>
      </c>
      <c r="N120" s="71">
        <v>4888.4169921875</v>
      </c>
      <c r="O120" s="72"/>
      <c r="P120" s="73"/>
      <c r="Q120" s="73"/>
      <c r="R120" s="86"/>
      <c r="S120" s="45">
        <v>1</v>
      </c>
      <c r="T120" s="45">
        <v>0</v>
      </c>
      <c r="U120" s="46">
        <v>0</v>
      </c>
      <c r="V120" s="46">
        <v>0.03397</v>
      </c>
      <c r="W120" s="46">
        <v>0</v>
      </c>
      <c r="X120" s="46">
        <v>0.004386</v>
      </c>
      <c r="Y120" s="46">
        <v>0</v>
      </c>
      <c r="Z120" s="46">
        <v>0</v>
      </c>
      <c r="AA120" s="68">
        <v>120</v>
      </c>
      <c r="AB120" s="68"/>
      <c r="AC120" s="69"/>
      <c r="AD120" s="76" t="s">
        <v>1103</v>
      </c>
      <c r="AE120" s="85" t="s">
        <v>1278</v>
      </c>
      <c r="AF120" s="76">
        <v>1025</v>
      </c>
      <c r="AG120" s="76">
        <v>647776</v>
      </c>
      <c r="AH120" s="76">
        <v>134687</v>
      </c>
      <c r="AI120" s="76">
        <v>684</v>
      </c>
      <c r="AJ120" s="76"/>
      <c r="AK120" s="76" t="s">
        <v>1462</v>
      </c>
      <c r="AL120" s="76"/>
      <c r="AM120" s="82" t="str">
        <f>HYPERLINK("https://t.co/93DAtB3dtV")</f>
        <v>https://t.co/93DAtB3dtV</v>
      </c>
      <c r="AN120" s="76"/>
      <c r="AO120" s="78">
        <v>42695.60320601852</v>
      </c>
      <c r="AP120" s="82" t="str">
        <f>HYPERLINK("https://pbs.twimg.com/profile_banners/800707492346925056/1587033794")</f>
        <v>https://pbs.twimg.com/profile_banners/800707492346925056/1587033794</v>
      </c>
      <c r="AQ120" s="76" t="b">
        <v>1</v>
      </c>
      <c r="AR120" s="76" t="b">
        <v>0</v>
      </c>
      <c r="AS120" s="76" t="b">
        <v>1</v>
      </c>
      <c r="AT120" s="76"/>
      <c r="AU120" s="76">
        <v>8668</v>
      </c>
      <c r="AV120" s="76"/>
      <c r="AW120" s="76" t="b">
        <v>1</v>
      </c>
      <c r="AX120" s="76" t="s">
        <v>1651</v>
      </c>
      <c r="AY120" s="82" t="str">
        <f>HYPERLINK("https://twitter.com/axios")</f>
        <v>https://twitter.com/axios</v>
      </c>
      <c r="AZ120" s="76" t="s">
        <v>65</v>
      </c>
      <c r="BA120" s="76" t="str">
        <f>REPLACE(INDEX(GroupVertices[Group],MATCH(Vertices[[#This Row],[Vertex]],GroupVertices[Vertex],0)),1,1,"")</f>
        <v>3</v>
      </c>
      <c r="BB120" s="45"/>
      <c r="BC120" s="46"/>
      <c r="BD120" s="45"/>
      <c r="BE120" s="46"/>
      <c r="BF120" s="45"/>
      <c r="BG120" s="46"/>
      <c r="BH120" s="45"/>
      <c r="BI120" s="46"/>
      <c r="BJ120" s="45"/>
      <c r="BK120" s="45"/>
      <c r="BL120" s="45"/>
      <c r="BM120" s="45"/>
      <c r="BN120" s="45"/>
      <c r="BO120" s="2"/>
    </row>
    <row r="121" spans="1:67" ht="15">
      <c r="A121" s="61" t="s">
        <v>421</v>
      </c>
      <c r="B121" s="62"/>
      <c r="C121" s="62"/>
      <c r="D121" s="63">
        <v>80</v>
      </c>
      <c r="E121" s="65"/>
      <c r="F121" s="100" t="str">
        <f>HYPERLINK("https://pbs.twimg.com/profile_images/891764709493534721/T4CoSpQB_normal.jpg")</f>
        <v>https://pbs.twimg.com/profile_images/891764709493534721/T4CoSpQB_normal.jpg</v>
      </c>
      <c r="G121" s="62"/>
      <c r="H121" s="66" t="s">
        <v>421</v>
      </c>
      <c r="I121" s="67"/>
      <c r="J121" s="67"/>
      <c r="K121" s="66" t="s">
        <v>421</v>
      </c>
      <c r="L121" s="70">
        <v>1</v>
      </c>
      <c r="M121" s="71">
        <v>3068.485107421875</v>
      </c>
      <c r="N121" s="71">
        <v>2589.039306640625</v>
      </c>
      <c r="O121" s="72"/>
      <c r="P121" s="73"/>
      <c r="Q121" s="73"/>
      <c r="R121" s="86"/>
      <c r="S121" s="45">
        <v>1</v>
      </c>
      <c r="T121" s="45">
        <v>0</v>
      </c>
      <c r="U121" s="46">
        <v>0</v>
      </c>
      <c r="V121" s="46">
        <v>0.03397</v>
      </c>
      <c r="W121" s="46">
        <v>0</v>
      </c>
      <c r="X121" s="46">
        <v>0.004386</v>
      </c>
      <c r="Y121" s="46">
        <v>0</v>
      </c>
      <c r="Z121" s="46">
        <v>0</v>
      </c>
      <c r="AA121" s="68">
        <v>121</v>
      </c>
      <c r="AB121" s="68"/>
      <c r="AC121" s="69"/>
      <c r="AD121" s="76" t="s">
        <v>1104</v>
      </c>
      <c r="AE121" s="85" t="s">
        <v>1279</v>
      </c>
      <c r="AF121" s="76">
        <v>2100</v>
      </c>
      <c r="AG121" s="76">
        <v>2213</v>
      </c>
      <c r="AH121" s="76">
        <v>9872</v>
      </c>
      <c r="AI121" s="76">
        <v>8495</v>
      </c>
      <c r="AJ121" s="76"/>
      <c r="AK121" s="76" t="s">
        <v>1463</v>
      </c>
      <c r="AL121" s="76" t="s">
        <v>1536</v>
      </c>
      <c r="AM121" s="82" t="str">
        <f>HYPERLINK("https://t.co/GZe20BWDIc")</f>
        <v>https://t.co/GZe20BWDIc</v>
      </c>
      <c r="AN121" s="76"/>
      <c r="AO121" s="78">
        <v>40776.51515046296</v>
      </c>
      <c r="AP121" s="82" t="str">
        <f>HYPERLINK("https://pbs.twimg.com/profile_banners/359341918/1647699762")</f>
        <v>https://pbs.twimg.com/profile_banners/359341918/1647699762</v>
      </c>
      <c r="AQ121" s="76" t="b">
        <v>1</v>
      </c>
      <c r="AR121" s="76" t="b">
        <v>0</v>
      </c>
      <c r="AS121" s="76" t="b">
        <v>0</v>
      </c>
      <c r="AT121" s="76"/>
      <c r="AU121" s="76">
        <v>86</v>
      </c>
      <c r="AV121" s="82" t="str">
        <f>HYPERLINK("https://abs.twimg.com/images/themes/theme1/bg.png")</f>
        <v>https://abs.twimg.com/images/themes/theme1/bg.png</v>
      </c>
      <c r="AW121" s="76" t="b">
        <v>1</v>
      </c>
      <c r="AX121" s="76" t="s">
        <v>1651</v>
      </c>
      <c r="AY121" s="82" t="str">
        <f>HYPERLINK("https://twitter.com/chuckmccutcheon")</f>
        <v>https://twitter.com/chuckmccutcheon</v>
      </c>
      <c r="AZ121" s="76" t="s">
        <v>65</v>
      </c>
      <c r="BA121" s="76" t="str">
        <f>REPLACE(INDEX(GroupVertices[Group],MATCH(Vertices[[#This Row],[Vertex]],GroupVertices[Vertex],0)),1,1,"")</f>
        <v>3</v>
      </c>
      <c r="BB121" s="45"/>
      <c r="BC121" s="46"/>
      <c r="BD121" s="45"/>
      <c r="BE121" s="46"/>
      <c r="BF121" s="45"/>
      <c r="BG121" s="46"/>
      <c r="BH121" s="45"/>
      <c r="BI121" s="46"/>
      <c r="BJ121" s="45"/>
      <c r="BK121" s="45"/>
      <c r="BL121" s="45"/>
      <c r="BM121" s="45"/>
      <c r="BN121" s="45"/>
      <c r="BO121" s="2"/>
    </row>
    <row r="122" spans="1:67" ht="15">
      <c r="A122" s="61" t="s">
        <v>422</v>
      </c>
      <c r="B122" s="62"/>
      <c r="C122" s="62"/>
      <c r="D122" s="63">
        <v>80</v>
      </c>
      <c r="E122" s="65"/>
      <c r="F122" s="100" t="str">
        <f>HYPERLINK("https://pbs.twimg.com/profile_images/1498132280581279748/poVhTq_3_normal.jpg")</f>
        <v>https://pbs.twimg.com/profile_images/1498132280581279748/poVhTq_3_normal.jpg</v>
      </c>
      <c r="G122" s="62"/>
      <c r="H122" s="66" t="s">
        <v>422</v>
      </c>
      <c r="I122" s="67"/>
      <c r="J122" s="67"/>
      <c r="K122" s="66" t="s">
        <v>422</v>
      </c>
      <c r="L122" s="70">
        <v>1</v>
      </c>
      <c r="M122" s="71">
        <v>2990.61328125</v>
      </c>
      <c r="N122" s="71">
        <v>4594.2626953125</v>
      </c>
      <c r="O122" s="72"/>
      <c r="P122" s="73"/>
      <c r="Q122" s="73"/>
      <c r="R122" s="86"/>
      <c r="S122" s="45">
        <v>1</v>
      </c>
      <c r="T122" s="45">
        <v>0</v>
      </c>
      <c r="U122" s="46">
        <v>0</v>
      </c>
      <c r="V122" s="46">
        <v>0.03397</v>
      </c>
      <c r="W122" s="46">
        <v>0</v>
      </c>
      <c r="X122" s="46">
        <v>0.004386</v>
      </c>
      <c r="Y122" s="46">
        <v>0</v>
      </c>
      <c r="Z122" s="46">
        <v>0</v>
      </c>
      <c r="AA122" s="68">
        <v>122</v>
      </c>
      <c r="AB122" s="68"/>
      <c r="AC122" s="69"/>
      <c r="AD122" s="76" t="s">
        <v>1105</v>
      </c>
      <c r="AE122" s="85" t="s">
        <v>1280</v>
      </c>
      <c r="AF122" s="76">
        <v>4751</v>
      </c>
      <c r="AG122" s="76">
        <v>4369228</v>
      </c>
      <c r="AH122" s="76">
        <v>127933</v>
      </c>
      <c r="AI122" s="76">
        <v>22716</v>
      </c>
      <c r="AJ122" s="76"/>
      <c r="AK122" s="76" t="s">
        <v>1464</v>
      </c>
      <c r="AL122" s="76" t="s">
        <v>1608</v>
      </c>
      <c r="AM122" s="82" t="str">
        <f>HYPERLINK("https://t.co/RTxQjyP6zm")</f>
        <v>https://t.co/RTxQjyP6zm</v>
      </c>
      <c r="AN122" s="76"/>
      <c r="AO122" s="78">
        <v>39860.68138888889</v>
      </c>
      <c r="AP122" s="82" t="str">
        <f>HYPERLINK("https://pbs.twimg.com/profile_banners/20998647/1671039862")</f>
        <v>https://pbs.twimg.com/profile_banners/20998647/1671039862</v>
      </c>
      <c r="AQ122" s="76" t="b">
        <v>0</v>
      </c>
      <c r="AR122" s="76" t="b">
        <v>0</v>
      </c>
      <c r="AS122" s="76" t="b">
        <v>0</v>
      </c>
      <c r="AT122" s="76"/>
      <c r="AU122" s="76">
        <v>16813</v>
      </c>
      <c r="AV122" s="82" t="str">
        <f>HYPERLINK("https://abs.twimg.com/images/themes/theme1/bg.png")</f>
        <v>https://abs.twimg.com/images/themes/theme1/bg.png</v>
      </c>
      <c r="AW122" s="76" t="b">
        <v>1</v>
      </c>
      <c r="AX122" s="76" t="s">
        <v>1651</v>
      </c>
      <c r="AY122" s="82" t="str">
        <f>HYPERLINK("https://twitter.com/weatherchannel")</f>
        <v>https://twitter.com/weatherchannel</v>
      </c>
      <c r="AZ122" s="76" t="s">
        <v>65</v>
      </c>
      <c r="BA122" s="76" t="str">
        <f>REPLACE(INDEX(GroupVertices[Group],MATCH(Vertices[[#This Row],[Vertex]],GroupVertices[Vertex],0)),1,1,"")</f>
        <v>3</v>
      </c>
      <c r="BB122" s="45"/>
      <c r="BC122" s="46"/>
      <c r="BD122" s="45"/>
      <c r="BE122" s="46"/>
      <c r="BF122" s="45"/>
      <c r="BG122" s="46"/>
      <c r="BH122" s="45"/>
      <c r="BI122" s="46"/>
      <c r="BJ122" s="45"/>
      <c r="BK122" s="45"/>
      <c r="BL122" s="45"/>
      <c r="BM122" s="45"/>
      <c r="BN122" s="45"/>
      <c r="BO122" s="2"/>
    </row>
    <row r="123" spans="1:67" ht="15">
      <c r="A123" s="61" t="s">
        <v>423</v>
      </c>
      <c r="B123" s="62"/>
      <c r="C123" s="62"/>
      <c r="D123" s="63">
        <v>80</v>
      </c>
      <c r="E123" s="65"/>
      <c r="F123" s="100" t="str">
        <f>HYPERLINK("https://pbs.twimg.com/profile_images/1013820958560440322/xQ0nC_X3_normal.jpg")</f>
        <v>https://pbs.twimg.com/profile_images/1013820958560440322/xQ0nC_X3_normal.jpg</v>
      </c>
      <c r="G123" s="62"/>
      <c r="H123" s="66" t="s">
        <v>423</v>
      </c>
      <c r="I123" s="67"/>
      <c r="J123" s="67"/>
      <c r="K123" s="66" t="s">
        <v>423</v>
      </c>
      <c r="L123" s="70">
        <v>1</v>
      </c>
      <c r="M123" s="71">
        <v>5837.31494140625</v>
      </c>
      <c r="N123" s="71">
        <v>4289.42578125</v>
      </c>
      <c r="O123" s="72"/>
      <c r="P123" s="73"/>
      <c r="Q123" s="73"/>
      <c r="R123" s="86"/>
      <c r="S123" s="45">
        <v>1</v>
      </c>
      <c r="T123" s="45">
        <v>0</v>
      </c>
      <c r="U123" s="46">
        <v>0</v>
      </c>
      <c r="V123" s="46">
        <v>0.03397</v>
      </c>
      <c r="W123" s="46">
        <v>0</v>
      </c>
      <c r="X123" s="46">
        <v>0.004386</v>
      </c>
      <c r="Y123" s="46">
        <v>0</v>
      </c>
      <c r="Z123" s="46">
        <v>0</v>
      </c>
      <c r="AA123" s="68">
        <v>123</v>
      </c>
      <c r="AB123" s="68"/>
      <c r="AC123" s="69"/>
      <c r="AD123" s="76" t="s">
        <v>1106</v>
      </c>
      <c r="AE123" s="85" t="s">
        <v>1281</v>
      </c>
      <c r="AF123" s="76">
        <v>586</v>
      </c>
      <c r="AG123" s="76">
        <v>418</v>
      </c>
      <c r="AH123" s="76">
        <v>687</v>
      </c>
      <c r="AI123" s="76">
        <v>338</v>
      </c>
      <c r="AJ123" s="76"/>
      <c r="AK123" s="76" t="s">
        <v>1465</v>
      </c>
      <c r="AL123" s="76" t="s">
        <v>1609</v>
      </c>
      <c r="AM123" s="82" t="str">
        <f>HYPERLINK("http://t.co/5sNyzGMxDF")</f>
        <v>http://t.co/5sNyzGMxDF</v>
      </c>
      <c r="AN123" s="76"/>
      <c r="AO123" s="78">
        <v>40837.810277777775</v>
      </c>
      <c r="AP123" s="82" t="str">
        <f>HYPERLINK("https://pbs.twimg.com/profile_banners/395504597/1470669177")</f>
        <v>https://pbs.twimg.com/profile_banners/395504597/1470669177</v>
      </c>
      <c r="AQ123" s="76" t="b">
        <v>0</v>
      </c>
      <c r="AR123" s="76" t="b">
        <v>0</v>
      </c>
      <c r="AS123" s="76" t="b">
        <v>1</v>
      </c>
      <c r="AT123" s="76"/>
      <c r="AU123" s="76">
        <v>18</v>
      </c>
      <c r="AV123" s="82" t="str">
        <f>HYPERLINK("https://abs.twimg.com/images/themes/theme1/bg.png")</f>
        <v>https://abs.twimg.com/images/themes/theme1/bg.png</v>
      </c>
      <c r="AW123" s="76" t="b">
        <v>1</v>
      </c>
      <c r="AX123" s="76" t="s">
        <v>1651</v>
      </c>
      <c r="AY123" s="82" t="str">
        <f>HYPERLINK("https://twitter.com/nicolebonaccors")</f>
        <v>https://twitter.com/nicolebonaccors</v>
      </c>
      <c r="AZ123" s="76" t="s">
        <v>65</v>
      </c>
      <c r="BA123" s="76" t="str">
        <f>REPLACE(INDEX(GroupVertices[Group],MATCH(Vertices[[#This Row],[Vertex]],GroupVertices[Vertex],0)),1,1,"")</f>
        <v>3</v>
      </c>
      <c r="BB123" s="45"/>
      <c r="BC123" s="46"/>
      <c r="BD123" s="45"/>
      <c r="BE123" s="46"/>
      <c r="BF123" s="45"/>
      <c r="BG123" s="46"/>
      <c r="BH123" s="45"/>
      <c r="BI123" s="46"/>
      <c r="BJ123" s="45"/>
      <c r="BK123" s="45"/>
      <c r="BL123" s="45"/>
      <c r="BM123" s="45"/>
      <c r="BN123" s="45"/>
      <c r="BO123" s="2"/>
    </row>
    <row r="124" spans="1:67" ht="15">
      <c r="A124" s="61" t="s">
        <v>424</v>
      </c>
      <c r="B124" s="62"/>
      <c r="C124" s="62"/>
      <c r="D124" s="63">
        <v>80</v>
      </c>
      <c r="E124" s="65"/>
      <c r="F124" s="100" t="str">
        <f>HYPERLINK("https://pbs.twimg.com/profile_images/1544746688006561794/zPGoWNLs_normal.jpg")</f>
        <v>https://pbs.twimg.com/profile_images/1544746688006561794/zPGoWNLs_normal.jpg</v>
      </c>
      <c r="G124" s="62"/>
      <c r="H124" s="66" t="s">
        <v>424</v>
      </c>
      <c r="I124" s="67"/>
      <c r="J124" s="67"/>
      <c r="K124" s="66" t="s">
        <v>424</v>
      </c>
      <c r="L124" s="70">
        <v>1</v>
      </c>
      <c r="M124" s="71">
        <v>3604.044189453125</v>
      </c>
      <c r="N124" s="71">
        <v>3889.441162109375</v>
      </c>
      <c r="O124" s="72"/>
      <c r="P124" s="73"/>
      <c r="Q124" s="73"/>
      <c r="R124" s="86"/>
      <c r="S124" s="45">
        <v>1</v>
      </c>
      <c r="T124" s="45">
        <v>0</v>
      </c>
      <c r="U124" s="46">
        <v>0</v>
      </c>
      <c r="V124" s="46">
        <v>0.03397</v>
      </c>
      <c r="W124" s="46">
        <v>0</v>
      </c>
      <c r="X124" s="46">
        <v>0.004386</v>
      </c>
      <c r="Y124" s="46">
        <v>0</v>
      </c>
      <c r="Z124" s="46">
        <v>0</v>
      </c>
      <c r="AA124" s="68">
        <v>124</v>
      </c>
      <c r="AB124" s="68"/>
      <c r="AC124" s="69"/>
      <c r="AD124" s="76" t="s">
        <v>1107</v>
      </c>
      <c r="AE124" s="85" t="s">
        <v>1282</v>
      </c>
      <c r="AF124" s="76">
        <v>2534</v>
      </c>
      <c r="AG124" s="76">
        <v>1144259</v>
      </c>
      <c r="AH124" s="76">
        <v>99782</v>
      </c>
      <c r="AI124" s="76">
        <v>13556</v>
      </c>
      <c r="AJ124" s="76"/>
      <c r="AK124" s="76" t="s">
        <v>1466</v>
      </c>
      <c r="AL124" s="76" t="s">
        <v>1610</v>
      </c>
      <c r="AM124" s="82" t="str">
        <f>HYPERLINK("https://t.co/M59xIvSyc7")</f>
        <v>https://t.co/M59xIvSyc7</v>
      </c>
      <c r="AN124" s="76"/>
      <c r="AO124" s="78">
        <v>39323.53947916667</v>
      </c>
      <c r="AP124" s="82" t="str">
        <f>HYPERLINK("https://pbs.twimg.com/profile_banners/8510242/1616101423")</f>
        <v>https://pbs.twimg.com/profile_banners/8510242/1616101423</v>
      </c>
      <c r="AQ124" s="76" t="b">
        <v>1</v>
      </c>
      <c r="AR124" s="76" t="b">
        <v>0</v>
      </c>
      <c r="AS124" s="76" t="b">
        <v>1</v>
      </c>
      <c r="AT124" s="76"/>
      <c r="AU124" s="76">
        <v>2815</v>
      </c>
      <c r="AV124" s="82" t="str">
        <f>HYPERLINK("https://abs.twimg.com/images/themes/theme1/bg.png")</f>
        <v>https://abs.twimg.com/images/themes/theme1/bg.png</v>
      </c>
      <c r="AW124" s="76" t="b">
        <v>1</v>
      </c>
      <c r="AX124" s="76" t="s">
        <v>1651</v>
      </c>
      <c r="AY124" s="82" t="str">
        <f>HYPERLINK("https://twitter.com/accuweather")</f>
        <v>https://twitter.com/accuweather</v>
      </c>
      <c r="AZ124" s="76" t="s">
        <v>65</v>
      </c>
      <c r="BA124" s="76" t="str">
        <f>REPLACE(INDEX(GroupVertices[Group],MATCH(Vertices[[#This Row],[Vertex]],GroupVertices[Vertex],0)),1,1,"")</f>
        <v>3</v>
      </c>
      <c r="BB124" s="45"/>
      <c r="BC124" s="46"/>
      <c r="BD124" s="45"/>
      <c r="BE124" s="46"/>
      <c r="BF124" s="45"/>
      <c r="BG124" s="46"/>
      <c r="BH124" s="45"/>
      <c r="BI124" s="46"/>
      <c r="BJ124" s="45"/>
      <c r="BK124" s="45"/>
      <c r="BL124" s="45"/>
      <c r="BM124" s="45"/>
      <c r="BN124" s="45"/>
      <c r="BO124" s="2"/>
    </row>
    <row r="125" spans="1:67" ht="15">
      <c r="A125" s="61" t="s">
        <v>425</v>
      </c>
      <c r="B125" s="62"/>
      <c r="C125" s="62"/>
      <c r="D125" s="63">
        <v>80</v>
      </c>
      <c r="E125" s="65"/>
      <c r="F125" s="100" t="str">
        <f>HYPERLINK("https://pbs.twimg.com/profile_images/1422581345721724928/SQEzz9KH_normal.jpg")</f>
        <v>https://pbs.twimg.com/profile_images/1422581345721724928/SQEzz9KH_normal.jpg</v>
      </c>
      <c r="G125" s="62"/>
      <c r="H125" s="66" t="s">
        <v>425</v>
      </c>
      <c r="I125" s="67"/>
      <c r="J125" s="67"/>
      <c r="K125" s="66" t="s">
        <v>425</v>
      </c>
      <c r="L125" s="70">
        <v>1</v>
      </c>
      <c r="M125" s="71">
        <v>3792.86669921875</v>
      </c>
      <c r="N125" s="71">
        <v>5151.91357421875</v>
      </c>
      <c r="O125" s="72"/>
      <c r="P125" s="73"/>
      <c r="Q125" s="73"/>
      <c r="R125" s="86"/>
      <c r="S125" s="45">
        <v>1</v>
      </c>
      <c r="T125" s="45">
        <v>0</v>
      </c>
      <c r="U125" s="46">
        <v>0</v>
      </c>
      <c r="V125" s="46">
        <v>0.03397</v>
      </c>
      <c r="W125" s="46">
        <v>0</v>
      </c>
      <c r="X125" s="46">
        <v>0.004386</v>
      </c>
      <c r="Y125" s="46">
        <v>0</v>
      </c>
      <c r="Z125" s="46">
        <v>0</v>
      </c>
      <c r="AA125" s="68">
        <v>125</v>
      </c>
      <c r="AB125" s="68"/>
      <c r="AC125" s="69"/>
      <c r="AD125" s="76" t="s">
        <v>1108</v>
      </c>
      <c r="AE125" s="85" t="s">
        <v>1283</v>
      </c>
      <c r="AF125" s="76">
        <v>1041</v>
      </c>
      <c r="AG125" s="76">
        <v>238</v>
      </c>
      <c r="AH125" s="76">
        <v>182</v>
      </c>
      <c r="AI125" s="76">
        <v>729</v>
      </c>
      <c r="AJ125" s="76"/>
      <c r="AK125" s="76" t="s">
        <v>1467</v>
      </c>
      <c r="AL125" s="76"/>
      <c r="AM125" s="82" t="str">
        <f>HYPERLINK("https://t.co/iCWFwqVoAD")</f>
        <v>https://t.co/iCWFwqVoAD</v>
      </c>
      <c r="AN125" s="76"/>
      <c r="AO125" s="78">
        <v>43531.99984953704</v>
      </c>
      <c r="AP125" s="82" t="str">
        <f>HYPERLINK("https://pbs.twimg.com/profile_banners/1103807489018028032/1589846294")</f>
        <v>https://pbs.twimg.com/profile_banners/1103807489018028032/1589846294</v>
      </c>
      <c r="AQ125" s="76" t="b">
        <v>1</v>
      </c>
      <c r="AR125" s="76" t="b">
        <v>0</v>
      </c>
      <c r="AS125" s="76" t="b">
        <v>1</v>
      </c>
      <c r="AT125" s="76"/>
      <c r="AU125" s="76">
        <v>6</v>
      </c>
      <c r="AV125" s="76"/>
      <c r="AW125" s="76" t="b">
        <v>0</v>
      </c>
      <c r="AX125" s="76" t="s">
        <v>1651</v>
      </c>
      <c r="AY125" s="82" t="str">
        <f>HYPERLINK("https://twitter.com/adrianaavarro")</f>
        <v>https://twitter.com/adrianaavarro</v>
      </c>
      <c r="AZ125" s="76" t="s">
        <v>65</v>
      </c>
      <c r="BA125" s="76" t="str">
        <f>REPLACE(INDEX(GroupVertices[Group],MATCH(Vertices[[#This Row],[Vertex]],GroupVertices[Vertex],0)),1,1,"")</f>
        <v>3</v>
      </c>
      <c r="BB125" s="45"/>
      <c r="BC125" s="46"/>
      <c r="BD125" s="45"/>
      <c r="BE125" s="46"/>
      <c r="BF125" s="45"/>
      <c r="BG125" s="46"/>
      <c r="BH125" s="45"/>
      <c r="BI125" s="46"/>
      <c r="BJ125" s="45"/>
      <c r="BK125" s="45"/>
      <c r="BL125" s="45"/>
      <c r="BM125" s="45"/>
      <c r="BN125" s="45"/>
      <c r="BO125" s="2"/>
    </row>
    <row r="126" spans="1:67" ht="15">
      <c r="A126" s="61" t="s">
        <v>324</v>
      </c>
      <c r="B126" s="62"/>
      <c r="C126" s="62"/>
      <c r="D126" s="63">
        <v>80</v>
      </c>
      <c r="E126" s="65"/>
      <c r="F126" s="100" t="str">
        <f>HYPERLINK("https://pbs.twimg.com/profile_images/634414067906510848/or7_k5ZV_normal.jpg")</f>
        <v>https://pbs.twimg.com/profile_images/634414067906510848/or7_k5ZV_normal.jpg</v>
      </c>
      <c r="G126" s="62"/>
      <c r="H126" s="66" t="s">
        <v>324</v>
      </c>
      <c r="I126" s="67"/>
      <c r="J126" s="67"/>
      <c r="K126" s="66" t="s">
        <v>324</v>
      </c>
      <c r="L126" s="70">
        <v>1</v>
      </c>
      <c r="M126" s="71">
        <v>4016.699462890625</v>
      </c>
      <c r="N126" s="71">
        <v>2637.429443359375</v>
      </c>
      <c r="O126" s="72"/>
      <c r="P126" s="73"/>
      <c r="Q126" s="73"/>
      <c r="R126" s="86"/>
      <c r="S126" s="45">
        <v>0</v>
      </c>
      <c r="T126" s="45">
        <v>1</v>
      </c>
      <c r="U126" s="46">
        <v>0</v>
      </c>
      <c r="V126" s="46">
        <v>0.005025</v>
      </c>
      <c r="W126" s="46">
        <v>0</v>
      </c>
      <c r="X126" s="46">
        <v>0.005</v>
      </c>
      <c r="Y126" s="46">
        <v>0</v>
      </c>
      <c r="Z126" s="46">
        <v>0</v>
      </c>
      <c r="AA126" s="68">
        <v>126</v>
      </c>
      <c r="AB126" s="68"/>
      <c r="AC126" s="69"/>
      <c r="AD126" s="76" t="s">
        <v>1109</v>
      </c>
      <c r="AE126" s="85" t="s">
        <v>1284</v>
      </c>
      <c r="AF126" s="76">
        <v>732</v>
      </c>
      <c r="AG126" s="76">
        <v>1135</v>
      </c>
      <c r="AH126" s="76">
        <v>9642</v>
      </c>
      <c r="AI126" s="76">
        <v>8440</v>
      </c>
      <c r="AJ126" s="76"/>
      <c r="AK126" s="76" t="s">
        <v>1468</v>
      </c>
      <c r="AL126" s="76" t="s">
        <v>1611</v>
      </c>
      <c r="AM126" s="76"/>
      <c r="AN126" s="76"/>
      <c r="AO126" s="78">
        <v>40260.80384259259</v>
      </c>
      <c r="AP126" s="82" t="str">
        <f>HYPERLINK("https://pbs.twimg.com/profile_banners/125751639/1440090949")</f>
        <v>https://pbs.twimg.com/profile_banners/125751639/1440090949</v>
      </c>
      <c r="AQ126" s="76" t="b">
        <v>0</v>
      </c>
      <c r="AR126" s="76" t="b">
        <v>0</v>
      </c>
      <c r="AS126" s="76" t="b">
        <v>0</v>
      </c>
      <c r="AT126" s="76"/>
      <c r="AU126" s="76">
        <v>0</v>
      </c>
      <c r="AV126" s="82" t="str">
        <f>HYPERLINK("https://abs.twimg.com/images/themes/theme1/bg.png")</f>
        <v>https://abs.twimg.com/images/themes/theme1/bg.png</v>
      </c>
      <c r="AW126" s="76" t="b">
        <v>0</v>
      </c>
      <c r="AX126" s="76" t="s">
        <v>1651</v>
      </c>
      <c r="AY126" s="82" t="str">
        <f>HYPERLINK("https://twitter.com/noelkeough")</f>
        <v>https://twitter.com/noelkeough</v>
      </c>
      <c r="AZ126" s="76" t="s">
        <v>66</v>
      </c>
      <c r="BA126" s="76" t="str">
        <f>REPLACE(INDEX(GroupVertices[Group],MATCH(Vertices[[#This Row],[Vertex]],GroupVertices[Vertex],0)),1,1,"")</f>
        <v>33</v>
      </c>
      <c r="BB126" s="45"/>
      <c r="BC126" s="46"/>
      <c r="BD126" s="45"/>
      <c r="BE126" s="46"/>
      <c r="BF126" s="45"/>
      <c r="BG126" s="46"/>
      <c r="BH126" s="45"/>
      <c r="BI126" s="46"/>
      <c r="BJ126" s="45"/>
      <c r="BK126" s="109" t="s">
        <v>916</v>
      </c>
      <c r="BL126" s="109" t="s">
        <v>916</v>
      </c>
      <c r="BM126" s="109" t="s">
        <v>916</v>
      </c>
      <c r="BN126" s="109" t="s">
        <v>916</v>
      </c>
      <c r="BO126" s="2"/>
    </row>
    <row r="127" spans="1:67" ht="15">
      <c r="A127" s="61" t="s">
        <v>426</v>
      </c>
      <c r="B127" s="62"/>
      <c r="C127" s="62"/>
      <c r="D127" s="63">
        <v>80</v>
      </c>
      <c r="E127" s="65"/>
      <c r="F127" s="100" t="str">
        <f>HYPERLINK("https://pbs.twimg.com/profile_images/2044852218/NYT_Twitter_Krugman_normal.png")</f>
        <v>https://pbs.twimg.com/profile_images/2044852218/NYT_Twitter_Krugman_normal.png</v>
      </c>
      <c r="G127" s="62"/>
      <c r="H127" s="66" t="s">
        <v>426</v>
      </c>
      <c r="I127" s="67"/>
      <c r="J127" s="67"/>
      <c r="K127" s="66" t="s">
        <v>426</v>
      </c>
      <c r="L127" s="70">
        <v>1</v>
      </c>
      <c r="M127" s="71">
        <v>5255.10205078125</v>
      </c>
      <c r="N127" s="71">
        <v>2406.406982421875</v>
      </c>
      <c r="O127" s="72"/>
      <c r="P127" s="73"/>
      <c r="Q127" s="73"/>
      <c r="R127" s="86"/>
      <c r="S127" s="45">
        <v>1</v>
      </c>
      <c r="T127" s="45">
        <v>0</v>
      </c>
      <c r="U127" s="46">
        <v>0</v>
      </c>
      <c r="V127" s="46">
        <v>0.005025</v>
      </c>
      <c r="W127" s="46">
        <v>0</v>
      </c>
      <c r="X127" s="46">
        <v>0.005</v>
      </c>
      <c r="Y127" s="46">
        <v>0</v>
      </c>
      <c r="Z127" s="46">
        <v>0</v>
      </c>
      <c r="AA127" s="68">
        <v>127</v>
      </c>
      <c r="AB127" s="68"/>
      <c r="AC127" s="69"/>
      <c r="AD127" s="76" t="s">
        <v>1110</v>
      </c>
      <c r="AE127" s="85" t="s">
        <v>1285</v>
      </c>
      <c r="AF127" s="76">
        <v>119</v>
      </c>
      <c r="AG127" s="76">
        <v>4586387</v>
      </c>
      <c r="AH127" s="76">
        <v>24093</v>
      </c>
      <c r="AI127" s="76">
        <v>43</v>
      </c>
      <c r="AJ127" s="76"/>
      <c r="AK127" s="76" t="s">
        <v>1469</v>
      </c>
      <c r="AL127" s="76" t="s">
        <v>1612</v>
      </c>
      <c r="AM127" s="82" t="str">
        <f>HYPERLINK("https://t.co/eyXDbYebpR")</f>
        <v>https://t.co/eyXDbYebpR</v>
      </c>
      <c r="AN127" s="76"/>
      <c r="AO127" s="78">
        <v>39748.84516203704</v>
      </c>
      <c r="AP127" s="76"/>
      <c r="AQ127" s="76" t="b">
        <v>0</v>
      </c>
      <c r="AR127" s="76" t="b">
        <v>0</v>
      </c>
      <c r="AS127" s="76" t="b">
        <v>0</v>
      </c>
      <c r="AT127" s="76"/>
      <c r="AU127" s="76">
        <v>36091</v>
      </c>
      <c r="AV127" s="82" t="str">
        <f>HYPERLINK("https://abs.twimg.com/images/themes/theme1/bg.png")</f>
        <v>https://abs.twimg.com/images/themes/theme1/bg.png</v>
      </c>
      <c r="AW127" s="76" t="b">
        <v>1</v>
      </c>
      <c r="AX127" s="76" t="s">
        <v>1651</v>
      </c>
      <c r="AY127" s="82" t="str">
        <f>HYPERLINK("https://twitter.com/paulkrugman")</f>
        <v>https://twitter.com/paulkrugman</v>
      </c>
      <c r="AZ127" s="76" t="s">
        <v>65</v>
      </c>
      <c r="BA127" s="76" t="str">
        <f>REPLACE(INDEX(GroupVertices[Group],MATCH(Vertices[[#This Row],[Vertex]],GroupVertices[Vertex],0)),1,1,"")</f>
        <v>33</v>
      </c>
      <c r="BB127" s="45"/>
      <c r="BC127" s="46"/>
      <c r="BD127" s="45"/>
      <c r="BE127" s="46"/>
      <c r="BF127" s="45"/>
      <c r="BG127" s="46"/>
      <c r="BH127" s="45"/>
      <c r="BI127" s="46"/>
      <c r="BJ127" s="45"/>
      <c r="BK127" s="45"/>
      <c r="BL127" s="45"/>
      <c r="BM127" s="45"/>
      <c r="BN127" s="45"/>
      <c r="BO127" s="2"/>
    </row>
    <row r="128" spans="1:67" ht="15">
      <c r="A128" s="61" t="s">
        <v>326</v>
      </c>
      <c r="B128" s="62"/>
      <c r="C128" s="62"/>
      <c r="D128" s="63">
        <v>80</v>
      </c>
      <c r="E128" s="65"/>
      <c r="F128" s="100" t="str">
        <f>HYPERLINK("https://pbs.twimg.com/profile_images/1593736670221852672/Beu82Wuv_normal.jpg")</f>
        <v>https://pbs.twimg.com/profile_images/1593736670221852672/Beu82Wuv_normal.jpg</v>
      </c>
      <c r="G128" s="62"/>
      <c r="H128" s="66" t="s">
        <v>326</v>
      </c>
      <c r="I128" s="67"/>
      <c r="J128" s="67"/>
      <c r="K128" s="66" t="s">
        <v>326</v>
      </c>
      <c r="L128" s="70">
        <v>1</v>
      </c>
      <c r="M128" s="71">
        <v>3668.117919921875</v>
      </c>
      <c r="N128" s="71">
        <v>4839.53076171875</v>
      </c>
      <c r="O128" s="72"/>
      <c r="P128" s="73"/>
      <c r="Q128" s="73"/>
      <c r="R128" s="86"/>
      <c r="S128" s="45">
        <v>0</v>
      </c>
      <c r="T128" s="45">
        <v>2</v>
      </c>
      <c r="U128" s="46">
        <v>0</v>
      </c>
      <c r="V128" s="46">
        <v>0.011307</v>
      </c>
      <c r="W128" s="46">
        <v>0</v>
      </c>
      <c r="X128" s="46">
        <v>0.004773</v>
      </c>
      <c r="Y128" s="46">
        <v>0.5</v>
      </c>
      <c r="Z128" s="46">
        <v>0</v>
      </c>
      <c r="AA128" s="68">
        <v>128</v>
      </c>
      <c r="AB128" s="68"/>
      <c r="AC128" s="69"/>
      <c r="AD128" s="76" t="s">
        <v>1111</v>
      </c>
      <c r="AE128" s="85" t="s">
        <v>1286</v>
      </c>
      <c r="AF128" s="76">
        <v>949</v>
      </c>
      <c r="AG128" s="76">
        <v>229</v>
      </c>
      <c r="AH128" s="76">
        <v>10451</v>
      </c>
      <c r="AI128" s="76">
        <v>2977</v>
      </c>
      <c r="AJ128" s="76"/>
      <c r="AK128" s="76" t="s">
        <v>1470</v>
      </c>
      <c r="AL128" s="76" t="s">
        <v>1613</v>
      </c>
      <c r="AM128" s="76"/>
      <c r="AN128" s="76"/>
      <c r="AO128" s="78">
        <v>39925.04552083334</v>
      </c>
      <c r="AP128" s="82" t="str">
        <f>HYPERLINK("https://pbs.twimg.com/profile_banners/34120925/1668811444")</f>
        <v>https://pbs.twimg.com/profile_banners/34120925/1668811444</v>
      </c>
      <c r="AQ128" s="76" t="b">
        <v>1</v>
      </c>
      <c r="AR128" s="76" t="b">
        <v>0</v>
      </c>
      <c r="AS128" s="76" t="b">
        <v>0</v>
      </c>
      <c r="AT128" s="76"/>
      <c r="AU128" s="76">
        <v>1</v>
      </c>
      <c r="AV128" s="82" t="str">
        <f>HYPERLINK("https://abs.twimg.com/images/themes/theme1/bg.png")</f>
        <v>https://abs.twimg.com/images/themes/theme1/bg.png</v>
      </c>
      <c r="AW128" s="76" t="b">
        <v>0</v>
      </c>
      <c r="AX128" s="76" t="s">
        <v>1651</v>
      </c>
      <c r="AY128" s="82" t="str">
        <f>HYPERLINK("https://twitter.com/tommylopez")</f>
        <v>https://twitter.com/tommylopez</v>
      </c>
      <c r="AZ128" s="76" t="s">
        <v>66</v>
      </c>
      <c r="BA128" s="76" t="str">
        <f>REPLACE(INDEX(GroupVertices[Group],MATCH(Vertices[[#This Row],[Vertex]],GroupVertices[Vertex],0)),1,1,"")</f>
        <v>10</v>
      </c>
      <c r="BB128" s="45"/>
      <c r="BC128" s="46"/>
      <c r="BD128" s="45"/>
      <c r="BE128" s="46"/>
      <c r="BF128" s="45"/>
      <c r="BG128" s="46"/>
      <c r="BH128" s="45"/>
      <c r="BI128" s="46"/>
      <c r="BJ128" s="45"/>
      <c r="BK128" s="109" t="s">
        <v>916</v>
      </c>
      <c r="BL128" s="109" t="s">
        <v>916</v>
      </c>
      <c r="BM128" s="109" t="s">
        <v>916</v>
      </c>
      <c r="BN128" s="109" t="s">
        <v>916</v>
      </c>
      <c r="BO128" s="2"/>
    </row>
    <row r="129" spans="1:67" ht="15">
      <c r="A129" s="61" t="s">
        <v>327</v>
      </c>
      <c r="B129" s="62"/>
      <c r="C129" s="62"/>
      <c r="D129" s="63">
        <v>163.63636363636363</v>
      </c>
      <c r="E129" s="65"/>
      <c r="F129" s="100" t="str">
        <f>HYPERLINK("https://abs.twimg.com/sticky/default_profile_images/default_profile_normal.png")</f>
        <v>https://abs.twimg.com/sticky/default_profile_images/default_profile_normal.png</v>
      </c>
      <c r="G129" s="62"/>
      <c r="H129" s="66" t="s">
        <v>327</v>
      </c>
      <c r="I129" s="67"/>
      <c r="J129" s="67"/>
      <c r="K129" s="66" t="s">
        <v>327</v>
      </c>
      <c r="L129" s="70">
        <v>115.91954022988506</v>
      </c>
      <c r="M129" s="71">
        <v>4736.3701171875</v>
      </c>
      <c r="N129" s="71">
        <v>1874.61474609375</v>
      </c>
      <c r="O129" s="72"/>
      <c r="P129" s="73"/>
      <c r="Q129" s="73"/>
      <c r="R129" s="86"/>
      <c r="S129" s="45">
        <v>0</v>
      </c>
      <c r="T129" s="45">
        <v>2</v>
      </c>
      <c r="U129" s="46">
        <v>4</v>
      </c>
      <c r="V129" s="46">
        <v>0.011307</v>
      </c>
      <c r="W129" s="46">
        <v>0</v>
      </c>
      <c r="X129" s="46">
        <v>0.005349</v>
      </c>
      <c r="Y129" s="46">
        <v>0</v>
      </c>
      <c r="Z129" s="46">
        <v>0</v>
      </c>
      <c r="AA129" s="68">
        <v>129</v>
      </c>
      <c r="AB129" s="68"/>
      <c r="AC129" s="69"/>
      <c r="AD129" s="76" t="s">
        <v>1112</v>
      </c>
      <c r="AE129" s="85" t="s">
        <v>1287</v>
      </c>
      <c r="AF129" s="76">
        <v>564</v>
      </c>
      <c r="AG129" s="76">
        <v>164</v>
      </c>
      <c r="AH129" s="76">
        <v>1920</v>
      </c>
      <c r="AI129" s="76">
        <v>1160</v>
      </c>
      <c r="AJ129" s="76"/>
      <c r="AK129" s="76"/>
      <c r="AL129" s="76"/>
      <c r="AM129" s="76"/>
      <c r="AN129" s="76"/>
      <c r="AO129" s="78">
        <v>44914.48930555556</v>
      </c>
      <c r="AP129" s="76"/>
      <c r="AQ129" s="76" t="b">
        <v>1</v>
      </c>
      <c r="AR129" s="76" t="b">
        <v>1</v>
      </c>
      <c r="AS129" s="76" t="b">
        <v>0</v>
      </c>
      <c r="AT129" s="76"/>
      <c r="AU129" s="76">
        <v>0</v>
      </c>
      <c r="AV129" s="76"/>
      <c r="AW129" s="76" t="b">
        <v>0</v>
      </c>
      <c r="AX129" s="76" t="s">
        <v>1651</v>
      </c>
      <c r="AY129" s="82" t="str">
        <f>HYPERLINK("https://twitter.com/adam75640822")</f>
        <v>https://twitter.com/adam75640822</v>
      </c>
      <c r="AZ129" s="76" t="s">
        <v>66</v>
      </c>
      <c r="BA129" s="76" t="str">
        <f>REPLACE(INDEX(GroupVertices[Group],MATCH(Vertices[[#This Row],[Vertex]],GroupVertices[Vertex],0)),1,1,"")</f>
        <v>6</v>
      </c>
      <c r="BB129" s="45"/>
      <c r="BC129" s="46"/>
      <c r="BD129" s="45"/>
      <c r="BE129" s="46"/>
      <c r="BF129" s="45"/>
      <c r="BG129" s="46"/>
      <c r="BH129" s="45"/>
      <c r="BI129" s="46"/>
      <c r="BJ129" s="45"/>
      <c r="BK129" s="109" t="s">
        <v>916</v>
      </c>
      <c r="BL129" s="109" t="s">
        <v>916</v>
      </c>
      <c r="BM129" s="109" t="s">
        <v>916</v>
      </c>
      <c r="BN129" s="109" t="s">
        <v>916</v>
      </c>
      <c r="BO129" s="2"/>
    </row>
    <row r="130" spans="1:67" ht="15">
      <c r="A130" s="61" t="s">
        <v>427</v>
      </c>
      <c r="B130" s="62"/>
      <c r="C130" s="62"/>
      <c r="D130" s="63">
        <v>80</v>
      </c>
      <c r="E130" s="65"/>
      <c r="F130" s="100" t="str">
        <f>HYPERLINK("https://pbs.twimg.com/profile_images/1219620717492363266/OtpFFveY_normal.jpg")</f>
        <v>https://pbs.twimg.com/profile_images/1219620717492363266/OtpFFveY_normal.jpg</v>
      </c>
      <c r="G130" s="62"/>
      <c r="H130" s="66" t="s">
        <v>427</v>
      </c>
      <c r="I130" s="67"/>
      <c r="J130" s="67"/>
      <c r="K130" s="66" t="s">
        <v>427</v>
      </c>
      <c r="L130" s="70">
        <v>1</v>
      </c>
      <c r="M130" s="71">
        <v>4304.48193359375</v>
      </c>
      <c r="N130" s="71">
        <v>634.3059692382812</v>
      </c>
      <c r="O130" s="72"/>
      <c r="P130" s="73"/>
      <c r="Q130" s="73"/>
      <c r="R130" s="86"/>
      <c r="S130" s="45">
        <v>1</v>
      </c>
      <c r="T130" s="45">
        <v>0</v>
      </c>
      <c r="U130" s="46">
        <v>0</v>
      </c>
      <c r="V130" s="46">
        <v>0.007538</v>
      </c>
      <c r="W130" s="46">
        <v>0</v>
      </c>
      <c r="X130" s="46">
        <v>0.004651</v>
      </c>
      <c r="Y130" s="46">
        <v>0</v>
      </c>
      <c r="Z130" s="46">
        <v>0</v>
      </c>
      <c r="AA130" s="68">
        <v>130</v>
      </c>
      <c r="AB130" s="68"/>
      <c r="AC130" s="69"/>
      <c r="AD130" s="76" t="s">
        <v>1113</v>
      </c>
      <c r="AE130" s="85" t="s">
        <v>1288</v>
      </c>
      <c r="AF130" s="76">
        <v>148</v>
      </c>
      <c r="AG130" s="76">
        <v>95501</v>
      </c>
      <c r="AH130" s="76">
        <v>49188</v>
      </c>
      <c r="AI130" s="76">
        <v>90</v>
      </c>
      <c r="AJ130" s="76"/>
      <c r="AK130" s="76" t="s">
        <v>1471</v>
      </c>
      <c r="AL130" s="76"/>
      <c r="AM130" s="82" t="str">
        <f>HYPERLINK("https://t.co/wXL7s4v3QF")</f>
        <v>https://t.co/wXL7s4v3QF</v>
      </c>
      <c r="AN130" s="76"/>
      <c r="AO130" s="78">
        <v>42648.72431712963</v>
      </c>
      <c r="AP130" s="82" t="str">
        <f>HYPERLINK("https://pbs.twimg.com/profile_banners/783719151684685824/1663258364")</f>
        <v>https://pbs.twimg.com/profile_banners/783719151684685824/1663258364</v>
      </c>
      <c r="AQ130" s="76" t="b">
        <v>0</v>
      </c>
      <c r="AR130" s="76" t="b">
        <v>0</v>
      </c>
      <c r="AS130" s="76" t="b">
        <v>0</v>
      </c>
      <c r="AT130" s="76"/>
      <c r="AU130" s="76">
        <v>1948</v>
      </c>
      <c r="AV130" s="82" t="str">
        <f>HYPERLINK("https://abs.twimg.com/images/themes/theme1/bg.png")</f>
        <v>https://abs.twimg.com/images/themes/theme1/bg.png</v>
      </c>
      <c r="AW130" s="76" t="b">
        <v>1</v>
      </c>
      <c r="AX130" s="76" t="s">
        <v>1651</v>
      </c>
      <c r="AY130" s="82" t="str">
        <f>HYPERLINK("https://twitter.com/climate")</f>
        <v>https://twitter.com/climate</v>
      </c>
      <c r="AZ130" s="76" t="s">
        <v>65</v>
      </c>
      <c r="BA130" s="76" t="str">
        <f>REPLACE(INDEX(GroupVertices[Group],MATCH(Vertices[[#This Row],[Vertex]],GroupVertices[Vertex],0)),1,1,"")</f>
        <v>6</v>
      </c>
      <c r="BB130" s="45"/>
      <c r="BC130" s="46"/>
      <c r="BD130" s="45"/>
      <c r="BE130" s="46"/>
      <c r="BF130" s="45"/>
      <c r="BG130" s="46"/>
      <c r="BH130" s="45"/>
      <c r="BI130" s="46"/>
      <c r="BJ130" s="45"/>
      <c r="BK130" s="45"/>
      <c r="BL130" s="45"/>
      <c r="BM130" s="45"/>
      <c r="BN130" s="45"/>
      <c r="BO130" s="2"/>
    </row>
    <row r="131" spans="1:67" ht="15">
      <c r="A131" s="61" t="s">
        <v>428</v>
      </c>
      <c r="B131" s="62"/>
      <c r="C131" s="62"/>
      <c r="D131" s="63">
        <v>163.63636363636363</v>
      </c>
      <c r="E131" s="65"/>
      <c r="F131" s="100" t="str">
        <f>HYPERLINK("https://abs.twimg.com/sticky/default_profile_images/default_profile_normal.png")</f>
        <v>https://abs.twimg.com/sticky/default_profile_images/default_profile_normal.png</v>
      </c>
      <c r="G131" s="62"/>
      <c r="H131" s="66" t="s">
        <v>428</v>
      </c>
      <c r="I131" s="67"/>
      <c r="J131" s="67"/>
      <c r="K131" s="66" t="s">
        <v>428</v>
      </c>
      <c r="L131" s="70">
        <v>115.91954022988506</v>
      </c>
      <c r="M131" s="71">
        <v>5141.6494140625</v>
      </c>
      <c r="N131" s="71">
        <v>3124.58349609375</v>
      </c>
      <c r="O131" s="72"/>
      <c r="P131" s="73"/>
      <c r="Q131" s="73"/>
      <c r="R131" s="86"/>
      <c r="S131" s="45">
        <v>2</v>
      </c>
      <c r="T131" s="45">
        <v>0</v>
      </c>
      <c r="U131" s="46">
        <v>4</v>
      </c>
      <c r="V131" s="46">
        <v>0.011307</v>
      </c>
      <c r="W131" s="46">
        <v>0</v>
      </c>
      <c r="X131" s="46">
        <v>0.005349</v>
      </c>
      <c r="Y131" s="46">
        <v>0</v>
      </c>
      <c r="Z131" s="46">
        <v>0</v>
      </c>
      <c r="AA131" s="68">
        <v>131</v>
      </c>
      <c r="AB131" s="68"/>
      <c r="AC131" s="69"/>
      <c r="AD131" s="76" t="s">
        <v>1114</v>
      </c>
      <c r="AE131" s="85" t="s">
        <v>940</v>
      </c>
      <c r="AF131" s="76">
        <v>2</v>
      </c>
      <c r="AG131" s="76">
        <v>1816</v>
      </c>
      <c r="AH131" s="76">
        <v>0</v>
      </c>
      <c r="AI131" s="76">
        <v>0</v>
      </c>
      <c r="AJ131" s="76"/>
      <c r="AK131" s="82" t="str">
        <f>HYPERLINK("https://t.co/FBqAXMBBAA")</f>
        <v>https://t.co/FBqAXMBBAA</v>
      </c>
      <c r="AL131" s="76"/>
      <c r="AM131" s="76"/>
      <c r="AN131" s="76"/>
      <c r="AO131" s="78">
        <v>44896.220509259256</v>
      </c>
      <c r="AP131" s="76"/>
      <c r="AQ131" s="76" t="b">
        <v>1</v>
      </c>
      <c r="AR131" s="76" t="b">
        <v>1</v>
      </c>
      <c r="AS131" s="76" t="b">
        <v>0</v>
      </c>
      <c r="AT131" s="76"/>
      <c r="AU131" s="76">
        <v>26</v>
      </c>
      <c r="AV131" s="76"/>
      <c r="AW131" s="76" t="b">
        <v>0</v>
      </c>
      <c r="AX131" s="76" t="s">
        <v>1651</v>
      </c>
      <c r="AY131" s="82" t="str">
        <f>HYPERLINK("https://twitter.com/chatgpt")</f>
        <v>https://twitter.com/chatgpt</v>
      </c>
      <c r="AZ131" s="76" t="s">
        <v>65</v>
      </c>
      <c r="BA131" s="76" t="str">
        <f>REPLACE(INDEX(GroupVertices[Group],MATCH(Vertices[[#This Row],[Vertex]],GroupVertices[Vertex],0)),1,1,"")</f>
        <v>6</v>
      </c>
      <c r="BB131" s="45"/>
      <c r="BC131" s="46"/>
      <c r="BD131" s="45"/>
      <c r="BE131" s="46"/>
      <c r="BF131" s="45"/>
      <c r="BG131" s="46"/>
      <c r="BH131" s="45"/>
      <c r="BI131" s="46"/>
      <c r="BJ131" s="45"/>
      <c r="BK131" s="45"/>
      <c r="BL131" s="45"/>
      <c r="BM131" s="45"/>
      <c r="BN131" s="45"/>
      <c r="BO131" s="2"/>
    </row>
    <row r="132" spans="1:67" ht="15">
      <c r="A132" s="61" t="s">
        <v>328</v>
      </c>
      <c r="B132" s="62"/>
      <c r="C132" s="62"/>
      <c r="D132" s="63">
        <v>80</v>
      </c>
      <c r="E132" s="65"/>
      <c r="F132" s="100" t="str">
        <f>HYPERLINK("https://abs.twimg.com/sticky/default_profile_images/default_profile_normal.png")</f>
        <v>https://abs.twimg.com/sticky/default_profile_images/default_profile_normal.png</v>
      </c>
      <c r="G132" s="62"/>
      <c r="H132" s="66" t="s">
        <v>328</v>
      </c>
      <c r="I132" s="67"/>
      <c r="J132" s="67"/>
      <c r="K132" s="66" t="s">
        <v>328</v>
      </c>
      <c r="L132" s="70">
        <v>1</v>
      </c>
      <c r="M132" s="71">
        <v>4233.9580078125</v>
      </c>
      <c r="N132" s="71">
        <v>2795.70068359375</v>
      </c>
      <c r="O132" s="72"/>
      <c r="P132" s="73"/>
      <c r="Q132" s="73"/>
      <c r="R132" s="86"/>
      <c r="S132" s="45">
        <v>1</v>
      </c>
      <c r="T132" s="45">
        <v>1</v>
      </c>
      <c r="U132" s="46">
        <v>0</v>
      </c>
      <c r="V132" s="46">
        <v>0</v>
      </c>
      <c r="W132" s="46">
        <v>0</v>
      </c>
      <c r="X132" s="46">
        <v>0.005</v>
      </c>
      <c r="Y132" s="46">
        <v>0</v>
      </c>
      <c r="Z132" s="46">
        <v>0</v>
      </c>
      <c r="AA132" s="68">
        <v>132</v>
      </c>
      <c r="AB132" s="68"/>
      <c r="AC132" s="69"/>
      <c r="AD132" s="76" t="s">
        <v>1115</v>
      </c>
      <c r="AE132" s="85" t="s">
        <v>1289</v>
      </c>
      <c r="AF132" s="76">
        <v>192</v>
      </c>
      <c r="AG132" s="76">
        <v>11</v>
      </c>
      <c r="AH132" s="76">
        <v>4027</v>
      </c>
      <c r="AI132" s="76">
        <v>3937</v>
      </c>
      <c r="AJ132" s="76"/>
      <c r="AK132" s="76"/>
      <c r="AL132" s="76"/>
      <c r="AM132" s="76"/>
      <c r="AN132" s="76"/>
      <c r="AO132" s="78">
        <v>42892.96939814815</v>
      </c>
      <c r="AP132" s="76"/>
      <c r="AQ132" s="76" t="b">
        <v>1</v>
      </c>
      <c r="AR132" s="76" t="b">
        <v>1</v>
      </c>
      <c r="AS132" s="76" t="b">
        <v>0</v>
      </c>
      <c r="AT132" s="76"/>
      <c r="AU132" s="76">
        <v>0</v>
      </c>
      <c r="AV132" s="76"/>
      <c r="AW132" s="76" t="b">
        <v>0</v>
      </c>
      <c r="AX132" s="76" t="s">
        <v>1651</v>
      </c>
      <c r="AY132" s="82" t="str">
        <f>HYPERLINK("https://twitter.com/davidx002")</f>
        <v>https://twitter.com/davidx002</v>
      </c>
      <c r="AZ132" s="76" t="s">
        <v>66</v>
      </c>
      <c r="BA132" s="76" t="str">
        <f>REPLACE(INDEX(GroupVertices[Group],MATCH(Vertices[[#This Row],[Vertex]],GroupVertices[Vertex],0)),1,1,"")</f>
        <v>67</v>
      </c>
      <c r="BB132" s="45"/>
      <c r="BC132" s="46"/>
      <c r="BD132" s="45"/>
      <c r="BE132" s="46"/>
      <c r="BF132" s="45"/>
      <c r="BG132" s="46"/>
      <c r="BH132" s="45"/>
      <c r="BI132" s="46"/>
      <c r="BJ132" s="45"/>
      <c r="BK132" s="109" t="s">
        <v>916</v>
      </c>
      <c r="BL132" s="109" t="s">
        <v>916</v>
      </c>
      <c r="BM132" s="109" t="s">
        <v>916</v>
      </c>
      <c r="BN132" s="109" t="s">
        <v>916</v>
      </c>
      <c r="BO132" s="2"/>
    </row>
    <row r="133" spans="1:67" ht="15">
      <c r="A133" s="61" t="s">
        <v>329</v>
      </c>
      <c r="B133" s="62"/>
      <c r="C133" s="62"/>
      <c r="D133" s="63">
        <v>80</v>
      </c>
      <c r="E133" s="65"/>
      <c r="F133" s="100" t="str">
        <f>HYPERLINK("https://pbs.twimg.com/profile_images/424084288129085440/cQf4Q4Ru_normal.jpeg")</f>
        <v>https://pbs.twimg.com/profile_images/424084288129085440/cQf4Q4Ru_normal.jpeg</v>
      </c>
      <c r="G133" s="62"/>
      <c r="H133" s="66" t="s">
        <v>329</v>
      </c>
      <c r="I133" s="67"/>
      <c r="J133" s="67"/>
      <c r="K133" s="66" t="s">
        <v>329</v>
      </c>
      <c r="L133" s="70">
        <v>1</v>
      </c>
      <c r="M133" s="71">
        <v>4142.95654296875</v>
      </c>
      <c r="N133" s="71">
        <v>2583.89013671875</v>
      </c>
      <c r="O133" s="72"/>
      <c r="P133" s="73"/>
      <c r="Q133" s="73"/>
      <c r="R133" s="86"/>
      <c r="S133" s="45">
        <v>1</v>
      </c>
      <c r="T133" s="45">
        <v>1</v>
      </c>
      <c r="U133" s="46">
        <v>0</v>
      </c>
      <c r="V133" s="46">
        <v>0</v>
      </c>
      <c r="W133" s="46">
        <v>0</v>
      </c>
      <c r="X133" s="46">
        <v>0.005</v>
      </c>
      <c r="Y133" s="46">
        <v>0</v>
      </c>
      <c r="Z133" s="46">
        <v>0</v>
      </c>
      <c r="AA133" s="68">
        <v>133</v>
      </c>
      <c r="AB133" s="68"/>
      <c r="AC133" s="69"/>
      <c r="AD133" s="76" t="s">
        <v>1116</v>
      </c>
      <c r="AE133" s="85" t="s">
        <v>1290</v>
      </c>
      <c r="AF133" s="76">
        <v>2197</v>
      </c>
      <c r="AG133" s="76">
        <v>2265</v>
      </c>
      <c r="AH133" s="76">
        <v>396672</v>
      </c>
      <c r="AI133" s="76">
        <v>62</v>
      </c>
      <c r="AJ133" s="76"/>
      <c r="AK133" s="76" t="s">
        <v>1472</v>
      </c>
      <c r="AL133" s="76"/>
      <c r="AM133" s="76"/>
      <c r="AN133" s="76"/>
      <c r="AO133" s="78">
        <v>41504.27386574074</v>
      </c>
      <c r="AP133" s="76"/>
      <c r="AQ133" s="76" t="b">
        <v>1</v>
      </c>
      <c r="AR133" s="76" t="b">
        <v>0</v>
      </c>
      <c r="AS133" s="76" t="b">
        <v>1</v>
      </c>
      <c r="AT133" s="76"/>
      <c r="AU133" s="76">
        <v>143</v>
      </c>
      <c r="AV133" s="82" t="str">
        <f>HYPERLINK("https://abs.twimg.com/images/themes/theme1/bg.png")</f>
        <v>https://abs.twimg.com/images/themes/theme1/bg.png</v>
      </c>
      <c r="AW133" s="76" t="b">
        <v>0</v>
      </c>
      <c r="AX133" s="76" t="s">
        <v>1651</v>
      </c>
      <c r="AY133" s="82" t="str">
        <f>HYPERLINK("https://twitter.com/dazza_double_u")</f>
        <v>https://twitter.com/dazza_double_u</v>
      </c>
      <c r="AZ133" s="76" t="s">
        <v>66</v>
      </c>
      <c r="BA133" s="76" t="str">
        <f>REPLACE(INDEX(GroupVertices[Group],MATCH(Vertices[[#This Row],[Vertex]],GroupVertices[Vertex],0)),1,1,"")</f>
        <v>66</v>
      </c>
      <c r="BB133" s="45"/>
      <c r="BC133" s="46"/>
      <c r="BD133" s="45"/>
      <c r="BE133" s="46"/>
      <c r="BF133" s="45"/>
      <c r="BG133" s="46"/>
      <c r="BH133" s="45"/>
      <c r="BI133" s="46"/>
      <c r="BJ133" s="45"/>
      <c r="BK133" s="109" t="s">
        <v>916</v>
      </c>
      <c r="BL133" s="109" t="s">
        <v>916</v>
      </c>
      <c r="BM133" s="109" t="s">
        <v>916</v>
      </c>
      <c r="BN133" s="109" t="s">
        <v>916</v>
      </c>
      <c r="BO133" s="2"/>
    </row>
    <row r="134" spans="1:67" ht="15">
      <c r="A134" s="61" t="s">
        <v>330</v>
      </c>
      <c r="B134" s="62"/>
      <c r="C134" s="62"/>
      <c r="D134" s="63">
        <v>80</v>
      </c>
      <c r="E134" s="65"/>
      <c r="F134" s="100" t="str">
        <f>HYPERLINK("https://pbs.twimg.com/profile_images/477809657268797440/sAzwmP0J_normal.jpeg")</f>
        <v>https://pbs.twimg.com/profile_images/477809657268797440/sAzwmP0J_normal.jpeg</v>
      </c>
      <c r="G134" s="62"/>
      <c r="H134" s="66" t="s">
        <v>330</v>
      </c>
      <c r="I134" s="67"/>
      <c r="J134" s="67"/>
      <c r="K134" s="66" t="s">
        <v>330</v>
      </c>
      <c r="L134" s="70">
        <v>1</v>
      </c>
      <c r="M134" s="71">
        <v>4302.3193359375</v>
      </c>
      <c r="N134" s="71">
        <v>2717.066162109375</v>
      </c>
      <c r="O134" s="72"/>
      <c r="P134" s="73"/>
      <c r="Q134" s="73"/>
      <c r="R134" s="86"/>
      <c r="S134" s="45">
        <v>1</v>
      </c>
      <c r="T134" s="45">
        <v>1</v>
      </c>
      <c r="U134" s="46">
        <v>0</v>
      </c>
      <c r="V134" s="46">
        <v>0</v>
      </c>
      <c r="W134" s="46">
        <v>0</v>
      </c>
      <c r="X134" s="46">
        <v>0.005</v>
      </c>
      <c r="Y134" s="46">
        <v>0</v>
      </c>
      <c r="Z134" s="46">
        <v>0</v>
      </c>
      <c r="AA134" s="68">
        <v>134</v>
      </c>
      <c r="AB134" s="68"/>
      <c r="AC134" s="69"/>
      <c r="AD134" s="76" t="s">
        <v>1117</v>
      </c>
      <c r="AE134" s="85" t="s">
        <v>1291</v>
      </c>
      <c r="AF134" s="76">
        <v>1493</v>
      </c>
      <c r="AG134" s="76">
        <v>717</v>
      </c>
      <c r="AH134" s="76">
        <v>51232</v>
      </c>
      <c r="AI134" s="76">
        <v>145776</v>
      </c>
      <c r="AJ134" s="76"/>
      <c r="AK134" s="76" t="s">
        <v>1473</v>
      </c>
      <c r="AL134" s="76"/>
      <c r="AM134" s="76"/>
      <c r="AN134" s="76"/>
      <c r="AO134" s="78">
        <v>41042.01021990741</v>
      </c>
      <c r="AP134" s="82" t="str">
        <f>HYPERLINK("https://pbs.twimg.com/profile_banners/578585757/1627937252")</f>
        <v>https://pbs.twimg.com/profile_banners/578585757/1627937252</v>
      </c>
      <c r="AQ134" s="76" t="b">
        <v>1</v>
      </c>
      <c r="AR134" s="76" t="b">
        <v>0</v>
      </c>
      <c r="AS134" s="76" t="b">
        <v>1</v>
      </c>
      <c r="AT134" s="76"/>
      <c r="AU134" s="76">
        <v>11</v>
      </c>
      <c r="AV134" s="82" t="str">
        <f>HYPERLINK("https://abs.twimg.com/images/themes/theme1/bg.png")</f>
        <v>https://abs.twimg.com/images/themes/theme1/bg.png</v>
      </c>
      <c r="AW134" s="76" t="b">
        <v>0</v>
      </c>
      <c r="AX134" s="76" t="s">
        <v>1651</v>
      </c>
      <c r="AY134" s="82" t="str">
        <f>HYPERLINK("https://twitter.com/leonecampiao")</f>
        <v>https://twitter.com/leonecampiao</v>
      </c>
      <c r="AZ134" s="76" t="s">
        <v>66</v>
      </c>
      <c r="BA134" s="76" t="str">
        <f>REPLACE(INDEX(GroupVertices[Group],MATCH(Vertices[[#This Row],[Vertex]],GroupVertices[Vertex],0)),1,1,"")</f>
        <v>65</v>
      </c>
      <c r="BB134" s="45"/>
      <c r="BC134" s="46"/>
      <c r="BD134" s="45"/>
      <c r="BE134" s="46"/>
      <c r="BF134" s="45"/>
      <c r="BG134" s="46"/>
      <c r="BH134" s="45"/>
      <c r="BI134" s="46"/>
      <c r="BJ134" s="45"/>
      <c r="BK134" s="109" t="s">
        <v>916</v>
      </c>
      <c r="BL134" s="109" t="s">
        <v>916</v>
      </c>
      <c r="BM134" s="109" t="s">
        <v>916</v>
      </c>
      <c r="BN134" s="109" t="s">
        <v>916</v>
      </c>
      <c r="BO134" s="2"/>
    </row>
    <row r="135" spans="1:67" ht="15">
      <c r="A135" s="61" t="s">
        <v>331</v>
      </c>
      <c r="B135" s="62"/>
      <c r="C135" s="62"/>
      <c r="D135" s="63">
        <v>80</v>
      </c>
      <c r="E135" s="65"/>
      <c r="F135" s="100" t="str">
        <f>HYPERLINK("https://pbs.twimg.com/profile_images/1059602230112739328/vP8hWjTd_normal.jpg")</f>
        <v>https://pbs.twimg.com/profile_images/1059602230112739328/vP8hWjTd_normal.jpg</v>
      </c>
      <c r="G135" s="62"/>
      <c r="H135" s="66" t="s">
        <v>331</v>
      </c>
      <c r="I135" s="67"/>
      <c r="J135" s="67"/>
      <c r="K135" s="66" t="s">
        <v>331</v>
      </c>
      <c r="L135" s="70">
        <v>1</v>
      </c>
      <c r="M135" s="71">
        <v>4158.64990234375</v>
      </c>
      <c r="N135" s="71">
        <v>2751.875244140625</v>
      </c>
      <c r="O135" s="72"/>
      <c r="P135" s="73"/>
      <c r="Q135" s="73"/>
      <c r="R135" s="86"/>
      <c r="S135" s="45">
        <v>1</v>
      </c>
      <c r="T135" s="45">
        <v>1</v>
      </c>
      <c r="U135" s="46">
        <v>0</v>
      </c>
      <c r="V135" s="46">
        <v>0</v>
      </c>
      <c r="W135" s="46">
        <v>0</v>
      </c>
      <c r="X135" s="46">
        <v>0.005</v>
      </c>
      <c r="Y135" s="46">
        <v>0</v>
      </c>
      <c r="Z135" s="46">
        <v>0</v>
      </c>
      <c r="AA135" s="68">
        <v>135</v>
      </c>
      <c r="AB135" s="68"/>
      <c r="AC135" s="69"/>
      <c r="AD135" s="76" t="s">
        <v>1118</v>
      </c>
      <c r="AE135" s="85" t="s">
        <v>1292</v>
      </c>
      <c r="AF135" s="76">
        <v>189</v>
      </c>
      <c r="AG135" s="76">
        <v>91</v>
      </c>
      <c r="AH135" s="76">
        <v>3600</v>
      </c>
      <c r="AI135" s="76">
        <v>12579</v>
      </c>
      <c r="AJ135" s="76"/>
      <c r="AK135" s="76" t="s">
        <v>1474</v>
      </c>
      <c r="AL135" s="76" t="s">
        <v>1614</v>
      </c>
      <c r="AM135" s="76"/>
      <c r="AN135" s="76"/>
      <c r="AO135" s="78">
        <v>41472.269421296296</v>
      </c>
      <c r="AP135" s="76"/>
      <c r="AQ135" s="76" t="b">
        <v>1</v>
      </c>
      <c r="AR135" s="76" t="b">
        <v>0</v>
      </c>
      <c r="AS135" s="76" t="b">
        <v>1</v>
      </c>
      <c r="AT135" s="76"/>
      <c r="AU135" s="76">
        <v>0</v>
      </c>
      <c r="AV135" s="82" t="str">
        <f>HYPERLINK("https://abs.twimg.com/images/themes/theme1/bg.png")</f>
        <v>https://abs.twimg.com/images/themes/theme1/bg.png</v>
      </c>
      <c r="AW135" s="76" t="b">
        <v>0</v>
      </c>
      <c r="AX135" s="76" t="s">
        <v>1651</v>
      </c>
      <c r="AY135" s="82" t="str">
        <f>HYPERLINK("https://twitter.com/selden5")</f>
        <v>https://twitter.com/selden5</v>
      </c>
      <c r="AZ135" s="76" t="s">
        <v>66</v>
      </c>
      <c r="BA135" s="76" t="str">
        <f>REPLACE(INDEX(GroupVertices[Group],MATCH(Vertices[[#This Row],[Vertex]],GroupVertices[Vertex],0)),1,1,"")</f>
        <v>64</v>
      </c>
      <c r="BB135" s="45"/>
      <c r="BC135" s="46"/>
      <c r="BD135" s="45"/>
      <c r="BE135" s="46"/>
      <c r="BF135" s="45"/>
      <c r="BG135" s="46"/>
      <c r="BH135" s="45"/>
      <c r="BI135" s="46"/>
      <c r="BJ135" s="45"/>
      <c r="BK135" s="109" t="s">
        <v>916</v>
      </c>
      <c r="BL135" s="109" t="s">
        <v>916</v>
      </c>
      <c r="BM135" s="109" t="s">
        <v>916</v>
      </c>
      <c r="BN135" s="109" t="s">
        <v>916</v>
      </c>
      <c r="BO135" s="2"/>
    </row>
    <row r="136" spans="1:67" ht="15">
      <c r="A136" s="61" t="s">
        <v>332</v>
      </c>
      <c r="B136" s="62"/>
      <c r="C136" s="62"/>
      <c r="D136" s="63">
        <v>80</v>
      </c>
      <c r="E136" s="65"/>
      <c r="F136" s="100" t="str">
        <f>HYPERLINK("https://abs.twimg.com/sticky/default_profile_images/default_profile_normal.png")</f>
        <v>https://abs.twimg.com/sticky/default_profile_images/default_profile_normal.png</v>
      </c>
      <c r="G136" s="62"/>
      <c r="H136" s="66" t="s">
        <v>332</v>
      </c>
      <c r="I136" s="67"/>
      <c r="J136" s="67"/>
      <c r="K136" s="66" t="s">
        <v>332</v>
      </c>
      <c r="L136" s="70">
        <v>1</v>
      </c>
      <c r="M136" s="71">
        <v>4153.0390625</v>
      </c>
      <c r="N136" s="71">
        <v>2725.5390625</v>
      </c>
      <c r="O136" s="72"/>
      <c r="P136" s="73"/>
      <c r="Q136" s="73"/>
      <c r="R136" s="86"/>
      <c r="S136" s="45">
        <v>1</v>
      </c>
      <c r="T136" s="45">
        <v>1</v>
      </c>
      <c r="U136" s="46">
        <v>0</v>
      </c>
      <c r="V136" s="46">
        <v>0</v>
      </c>
      <c r="W136" s="46">
        <v>0</v>
      </c>
      <c r="X136" s="46">
        <v>0.005</v>
      </c>
      <c r="Y136" s="46">
        <v>0</v>
      </c>
      <c r="Z136" s="46">
        <v>0</v>
      </c>
      <c r="AA136" s="68">
        <v>136</v>
      </c>
      <c r="AB136" s="68"/>
      <c r="AC136" s="69"/>
      <c r="AD136" s="76" t="s">
        <v>1119</v>
      </c>
      <c r="AE136" s="85" t="s">
        <v>1293</v>
      </c>
      <c r="AF136" s="76">
        <v>59</v>
      </c>
      <c r="AG136" s="76">
        <v>8</v>
      </c>
      <c r="AH136" s="76">
        <v>74</v>
      </c>
      <c r="AI136" s="76">
        <v>365</v>
      </c>
      <c r="AJ136" s="76"/>
      <c r="AK136" s="76" t="s">
        <v>1475</v>
      </c>
      <c r="AL136" s="76"/>
      <c r="AM136" s="76"/>
      <c r="AN136" s="76"/>
      <c r="AO136" s="78">
        <v>44713.13108796296</v>
      </c>
      <c r="AP136" s="76"/>
      <c r="AQ136" s="76" t="b">
        <v>1</v>
      </c>
      <c r="AR136" s="76" t="b">
        <v>1</v>
      </c>
      <c r="AS136" s="76" t="b">
        <v>0</v>
      </c>
      <c r="AT136" s="76"/>
      <c r="AU136" s="76">
        <v>3</v>
      </c>
      <c r="AV136" s="76"/>
      <c r="AW136" s="76" t="b">
        <v>0</v>
      </c>
      <c r="AX136" s="76" t="s">
        <v>1651</v>
      </c>
      <c r="AY136" s="82" t="str">
        <f>HYPERLINK("https://twitter.com/swapstar930")</f>
        <v>https://twitter.com/swapstar930</v>
      </c>
      <c r="AZ136" s="76" t="s">
        <v>66</v>
      </c>
      <c r="BA136" s="76" t="str">
        <f>REPLACE(INDEX(GroupVertices[Group],MATCH(Vertices[[#This Row],[Vertex]],GroupVertices[Vertex],0)),1,1,"")</f>
        <v>63</v>
      </c>
      <c r="BB136" s="45"/>
      <c r="BC136" s="46"/>
      <c r="BD136" s="45"/>
      <c r="BE136" s="46"/>
      <c r="BF136" s="45"/>
      <c r="BG136" s="46"/>
      <c r="BH136" s="45"/>
      <c r="BI136" s="46"/>
      <c r="BJ136" s="45"/>
      <c r="BK136" s="109" t="s">
        <v>916</v>
      </c>
      <c r="BL136" s="109" t="s">
        <v>916</v>
      </c>
      <c r="BM136" s="109" t="s">
        <v>916</v>
      </c>
      <c r="BN136" s="109" t="s">
        <v>916</v>
      </c>
      <c r="BO136" s="2"/>
    </row>
    <row r="137" spans="1:67" ht="15">
      <c r="A137" s="61" t="s">
        <v>333</v>
      </c>
      <c r="B137" s="62"/>
      <c r="C137" s="62"/>
      <c r="D137" s="63">
        <v>80</v>
      </c>
      <c r="E137" s="65"/>
      <c r="F137" s="100" t="str">
        <f>HYPERLINK("https://pbs.twimg.com/profile_images/961154920702332928/Qo45dckM_normal.jpg")</f>
        <v>https://pbs.twimg.com/profile_images/961154920702332928/Qo45dckM_normal.jpg</v>
      </c>
      <c r="G137" s="62"/>
      <c r="H137" s="66" t="s">
        <v>333</v>
      </c>
      <c r="I137" s="67"/>
      <c r="J137" s="67"/>
      <c r="K137" s="66" t="s">
        <v>333</v>
      </c>
      <c r="L137" s="70">
        <v>1</v>
      </c>
      <c r="M137" s="71">
        <v>2930.681396484375</v>
      </c>
      <c r="N137" s="71">
        <v>3319.69580078125</v>
      </c>
      <c r="O137" s="72"/>
      <c r="P137" s="73"/>
      <c r="Q137" s="73"/>
      <c r="R137" s="86"/>
      <c r="S137" s="45">
        <v>2</v>
      </c>
      <c r="T137" s="45">
        <v>1</v>
      </c>
      <c r="U137" s="46">
        <v>0</v>
      </c>
      <c r="V137" s="46">
        <v>0.005025</v>
      </c>
      <c r="W137" s="46">
        <v>0</v>
      </c>
      <c r="X137" s="46">
        <v>0.005349</v>
      </c>
      <c r="Y137" s="46">
        <v>0</v>
      </c>
      <c r="Z137" s="46">
        <v>0</v>
      </c>
      <c r="AA137" s="68">
        <v>137</v>
      </c>
      <c r="AB137" s="68"/>
      <c r="AC137" s="69"/>
      <c r="AD137" s="76" t="s">
        <v>1120</v>
      </c>
      <c r="AE137" s="85" t="s">
        <v>1294</v>
      </c>
      <c r="AF137" s="76">
        <v>4604</v>
      </c>
      <c r="AG137" s="76">
        <v>1641</v>
      </c>
      <c r="AH137" s="76">
        <v>24652</v>
      </c>
      <c r="AI137" s="76">
        <v>46579</v>
      </c>
      <c r="AJ137" s="76"/>
      <c r="AK137" s="76" t="s">
        <v>1476</v>
      </c>
      <c r="AL137" s="76" t="s">
        <v>1615</v>
      </c>
      <c r="AM137" s="76"/>
      <c r="AN137" s="76"/>
      <c r="AO137" s="78">
        <v>39906.233773148146</v>
      </c>
      <c r="AP137" s="82" t="str">
        <f>HYPERLINK("https://pbs.twimg.com/profile_banners/28511894/1601288340")</f>
        <v>https://pbs.twimg.com/profile_banners/28511894/1601288340</v>
      </c>
      <c r="AQ137" s="76" t="b">
        <v>0</v>
      </c>
      <c r="AR137" s="76" t="b">
        <v>0</v>
      </c>
      <c r="AS137" s="76" t="b">
        <v>0</v>
      </c>
      <c r="AT137" s="76"/>
      <c r="AU137" s="76">
        <v>52</v>
      </c>
      <c r="AV137" s="82" t="str">
        <f>HYPERLINK("https://abs.twimg.com/images/themes/theme18/bg.gif")</f>
        <v>https://abs.twimg.com/images/themes/theme18/bg.gif</v>
      </c>
      <c r="AW137" s="76" t="b">
        <v>0</v>
      </c>
      <c r="AX137" s="76" t="s">
        <v>1651</v>
      </c>
      <c r="AY137" s="82" t="str">
        <f>HYPERLINK("https://twitter.com/markx420")</f>
        <v>https://twitter.com/markx420</v>
      </c>
      <c r="AZ137" s="76" t="s">
        <v>66</v>
      </c>
      <c r="BA137" s="76" t="str">
        <f>REPLACE(INDEX(GroupVertices[Group],MATCH(Vertices[[#This Row],[Vertex]],GroupVertices[Vertex],0)),1,1,"")</f>
        <v>32</v>
      </c>
      <c r="BB137" s="45"/>
      <c r="BC137" s="46"/>
      <c r="BD137" s="45"/>
      <c r="BE137" s="46"/>
      <c r="BF137" s="45"/>
      <c r="BG137" s="46"/>
      <c r="BH137" s="45"/>
      <c r="BI137" s="46"/>
      <c r="BJ137" s="45"/>
      <c r="BK137" s="109" t="s">
        <v>916</v>
      </c>
      <c r="BL137" s="109" t="s">
        <v>916</v>
      </c>
      <c r="BM137" s="109" t="s">
        <v>916</v>
      </c>
      <c r="BN137" s="109" t="s">
        <v>916</v>
      </c>
      <c r="BO137" s="2"/>
    </row>
    <row r="138" spans="1:67" ht="15">
      <c r="A138" s="61" t="s">
        <v>334</v>
      </c>
      <c r="B138" s="62"/>
      <c r="C138" s="62"/>
      <c r="D138" s="63">
        <v>80</v>
      </c>
      <c r="E138" s="65"/>
      <c r="F138" s="100" t="str">
        <f>HYPERLINK("https://pbs.twimg.com/profile_images/1011611464782700550/UO-9IR-5_normal.jpg")</f>
        <v>https://pbs.twimg.com/profile_images/1011611464782700550/UO-9IR-5_normal.jpg</v>
      </c>
      <c r="G138" s="62"/>
      <c r="H138" s="66" t="s">
        <v>334</v>
      </c>
      <c r="I138" s="67"/>
      <c r="J138" s="67"/>
      <c r="K138" s="66" t="s">
        <v>334</v>
      </c>
      <c r="L138" s="70">
        <v>1</v>
      </c>
      <c r="M138" s="71">
        <v>4090.615966796875</v>
      </c>
      <c r="N138" s="71">
        <v>2809.205810546875</v>
      </c>
      <c r="O138" s="72"/>
      <c r="P138" s="73"/>
      <c r="Q138" s="73"/>
      <c r="R138" s="86"/>
      <c r="S138" s="45">
        <v>0</v>
      </c>
      <c r="T138" s="45">
        <v>1</v>
      </c>
      <c r="U138" s="46">
        <v>0</v>
      </c>
      <c r="V138" s="46">
        <v>0.005025</v>
      </c>
      <c r="W138" s="46">
        <v>0</v>
      </c>
      <c r="X138" s="46">
        <v>0.004651</v>
      </c>
      <c r="Y138" s="46">
        <v>0</v>
      </c>
      <c r="Z138" s="46">
        <v>0</v>
      </c>
      <c r="AA138" s="68">
        <v>138</v>
      </c>
      <c r="AB138" s="68"/>
      <c r="AC138" s="69"/>
      <c r="AD138" s="76" t="s">
        <v>1121</v>
      </c>
      <c r="AE138" s="85" t="s">
        <v>1295</v>
      </c>
      <c r="AF138" s="76">
        <v>6413</v>
      </c>
      <c r="AG138" s="76">
        <v>9537</v>
      </c>
      <c r="AH138" s="76">
        <v>502025</v>
      </c>
      <c r="AI138" s="76">
        <v>385986</v>
      </c>
      <c r="AJ138" s="76"/>
      <c r="AK138" s="76" t="s">
        <v>1477</v>
      </c>
      <c r="AL138" s="76"/>
      <c r="AM138" s="76"/>
      <c r="AN138" s="76"/>
      <c r="AO138" s="78">
        <v>42766.31579861111</v>
      </c>
      <c r="AP138" s="82" t="str">
        <f>HYPERLINK("https://pbs.twimg.com/profile_banners/826332877457481728/1615004739")</f>
        <v>https://pbs.twimg.com/profile_banners/826332877457481728/1615004739</v>
      </c>
      <c r="AQ138" s="76" t="b">
        <v>1</v>
      </c>
      <c r="AR138" s="76" t="b">
        <v>0</v>
      </c>
      <c r="AS138" s="76" t="b">
        <v>1</v>
      </c>
      <c r="AT138" s="76"/>
      <c r="AU138" s="76">
        <v>27</v>
      </c>
      <c r="AV138" s="76"/>
      <c r="AW138" s="76" t="b">
        <v>0</v>
      </c>
      <c r="AX138" s="76" t="s">
        <v>1651</v>
      </c>
      <c r="AY138" s="82" t="str">
        <f>HYPERLINK("https://twitter.com/ladypoop2")</f>
        <v>https://twitter.com/ladypoop2</v>
      </c>
      <c r="AZ138" s="76" t="s">
        <v>66</v>
      </c>
      <c r="BA138" s="76" t="str">
        <f>REPLACE(INDEX(GroupVertices[Group],MATCH(Vertices[[#This Row],[Vertex]],GroupVertices[Vertex],0)),1,1,"")</f>
        <v>32</v>
      </c>
      <c r="BB138" s="45"/>
      <c r="BC138" s="46"/>
      <c r="BD138" s="45"/>
      <c r="BE138" s="46"/>
      <c r="BF138" s="45"/>
      <c r="BG138" s="46"/>
      <c r="BH138" s="45"/>
      <c r="BI138" s="46"/>
      <c r="BJ138" s="45"/>
      <c r="BK138" s="109" t="s">
        <v>916</v>
      </c>
      <c r="BL138" s="109" t="s">
        <v>916</v>
      </c>
      <c r="BM138" s="109" t="s">
        <v>916</v>
      </c>
      <c r="BN138" s="109" t="s">
        <v>916</v>
      </c>
      <c r="BO138" s="2"/>
    </row>
    <row r="139" spans="1:67" ht="15">
      <c r="A139" s="61" t="s">
        <v>335</v>
      </c>
      <c r="B139" s="62"/>
      <c r="C139" s="62"/>
      <c r="D139" s="63">
        <v>80</v>
      </c>
      <c r="E139" s="65"/>
      <c r="F139" s="100" t="str">
        <f>HYPERLINK("https://pbs.twimg.com/profile_images/1574898763059306496/kIhyjNdc_normal.jpg")</f>
        <v>https://pbs.twimg.com/profile_images/1574898763059306496/kIhyjNdc_normal.jpg</v>
      </c>
      <c r="G139" s="62"/>
      <c r="H139" s="66" t="s">
        <v>335</v>
      </c>
      <c r="I139" s="67"/>
      <c r="J139" s="67"/>
      <c r="K139" s="66" t="s">
        <v>335</v>
      </c>
      <c r="L139" s="70">
        <v>1</v>
      </c>
      <c r="M139" s="71">
        <v>4188.7900390625</v>
      </c>
      <c r="N139" s="71">
        <v>2842.8701171875</v>
      </c>
      <c r="O139" s="72"/>
      <c r="P139" s="73"/>
      <c r="Q139" s="73"/>
      <c r="R139" s="86"/>
      <c r="S139" s="45">
        <v>1</v>
      </c>
      <c r="T139" s="45">
        <v>1</v>
      </c>
      <c r="U139" s="46">
        <v>0</v>
      </c>
      <c r="V139" s="46">
        <v>0</v>
      </c>
      <c r="W139" s="46">
        <v>0</v>
      </c>
      <c r="X139" s="46">
        <v>0.005</v>
      </c>
      <c r="Y139" s="46">
        <v>0</v>
      </c>
      <c r="Z139" s="46">
        <v>0</v>
      </c>
      <c r="AA139" s="68">
        <v>139</v>
      </c>
      <c r="AB139" s="68"/>
      <c r="AC139" s="69"/>
      <c r="AD139" s="76" t="s">
        <v>1122</v>
      </c>
      <c r="AE139" s="85" t="s">
        <v>1296</v>
      </c>
      <c r="AF139" s="76">
        <v>444</v>
      </c>
      <c r="AG139" s="76">
        <v>646</v>
      </c>
      <c r="AH139" s="76">
        <v>22835</v>
      </c>
      <c r="AI139" s="76">
        <v>66886</v>
      </c>
      <c r="AJ139" s="76"/>
      <c r="AK139" s="76" t="s">
        <v>1478</v>
      </c>
      <c r="AL139" s="76" t="s">
        <v>1616</v>
      </c>
      <c r="AM139" s="76"/>
      <c r="AN139" s="76"/>
      <c r="AO139" s="78">
        <v>40009.54119212963</v>
      </c>
      <c r="AP139" s="82" t="str">
        <f>HYPERLINK("https://pbs.twimg.com/profile_banners/57008549/1664320101")</f>
        <v>https://pbs.twimg.com/profile_banners/57008549/1664320101</v>
      </c>
      <c r="AQ139" s="76" t="b">
        <v>1</v>
      </c>
      <c r="AR139" s="76" t="b">
        <v>0</v>
      </c>
      <c r="AS139" s="76" t="b">
        <v>0</v>
      </c>
      <c r="AT139" s="76"/>
      <c r="AU139" s="76">
        <v>0</v>
      </c>
      <c r="AV139" s="82" t="str">
        <f>HYPERLINK("https://abs.twimg.com/images/themes/theme1/bg.png")</f>
        <v>https://abs.twimg.com/images/themes/theme1/bg.png</v>
      </c>
      <c r="AW139" s="76" t="b">
        <v>0</v>
      </c>
      <c r="AX139" s="76" t="s">
        <v>1651</v>
      </c>
      <c r="AY139" s="82" t="str">
        <f>HYPERLINK("https://twitter.com/julianozen")</f>
        <v>https://twitter.com/julianozen</v>
      </c>
      <c r="AZ139" s="76" t="s">
        <v>66</v>
      </c>
      <c r="BA139" s="76" t="str">
        <f>REPLACE(INDEX(GroupVertices[Group],MATCH(Vertices[[#This Row],[Vertex]],GroupVertices[Vertex],0)),1,1,"")</f>
        <v>62</v>
      </c>
      <c r="BB139" s="45"/>
      <c r="BC139" s="46"/>
      <c r="BD139" s="45"/>
      <c r="BE139" s="46"/>
      <c r="BF139" s="45"/>
      <c r="BG139" s="46"/>
      <c r="BH139" s="45"/>
      <c r="BI139" s="46"/>
      <c r="BJ139" s="45"/>
      <c r="BK139" s="109" t="s">
        <v>916</v>
      </c>
      <c r="BL139" s="109" t="s">
        <v>916</v>
      </c>
      <c r="BM139" s="109" t="s">
        <v>916</v>
      </c>
      <c r="BN139" s="109" t="s">
        <v>916</v>
      </c>
      <c r="BO139" s="2"/>
    </row>
    <row r="140" spans="1:67" ht="15">
      <c r="A140" s="61" t="s">
        <v>336</v>
      </c>
      <c r="B140" s="62"/>
      <c r="C140" s="62"/>
      <c r="D140" s="63">
        <v>80</v>
      </c>
      <c r="E140" s="65"/>
      <c r="F140" s="100" t="str">
        <f>HYPERLINK("https://pbs.twimg.com/profile_images/1584048618364772352/-Q-KM1vh_normal.jpg")</f>
        <v>https://pbs.twimg.com/profile_images/1584048618364772352/-Q-KM1vh_normal.jpg</v>
      </c>
      <c r="G140" s="62"/>
      <c r="H140" s="66" t="s">
        <v>336</v>
      </c>
      <c r="I140" s="67"/>
      <c r="J140" s="67"/>
      <c r="K140" s="66" t="s">
        <v>336</v>
      </c>
      <c r="L140" s="70">
        <v>1</v>
      </c>
      <c r="M140" s="71">
        <v>4100.33837890625</v>
      </c>
      <c r="N140" s="71">
        <v>2851.5107421875</v>
      </c>
      <c r="O140" s="72"/>
      <c r="P140" s="73"/>
      <c r="Q140" s="73"/>
      <c r="R140" s="86"/>
      <c r="S140" s="45">
        <v>1</v>
      </c>
      <c r="T140" s="45">
        <v>1</v>
      </c>
      <c r="U140" s="46">
        <v>0</v>
      </c>
      <c r="V140" s="46">
        <v>0</v>
      </c>
      <c r="W140" s="46">
        <v>0</v>
      </c>
      <c r="X140" s="46">
        <v>0.005</v>
      </c>
      <c r="Y140" s="46">
        <v>0</v>
      </c>
      <c r="Z140" s="46">
        <v>0</v>
      </c>
      <c r="AA140" s="68">
        <v>140</v>
      </c>
      <c r="AB140" s="68"/>
      <c r="AC140" s="69"/>
      <c r="AD140" s="76" t="s">
        <v>1123</v>
      </c>
      <c r="AE140" s="85" t="s">
        <v>1297</v>
      </c>
      <c r="AF140" s="76">
        <v>4322</v>
      </c>
      <c r="AG140" s="76">
        <v>3361</v>
      </c>
      <c r="AH140" s="76">
        <v>82510</v>
      </c>
      <c r="AI140" s="76">
        <v>98522</v>
      </c>
      <c r="AJ140" s="76"/>
      <c r="AK140" s="76" t="s">
        <v>1479</v>
      </c>
      <c r="AL140" s="76" t="s">
        <v>1548</v>
      </c>
      <c r="AM140" s="82" t="str">
        <f>HYPERLINK("https://t.co/RU16guj3oC")</f>
        <v>https://t.co/RU16guj3oC</v>
      </c>
      <c r="AN140" s="76"/>
      <c r="AO140" s="78">
        <v>40975.28349537037</v>
      </c>
      <c r="AP140" s="82" t="str">
        <f>HYPERLINK("https://pbs.twimg.com/profile_banners/517295013/1664668487")</f>
        <v>https://pbs.twimg.com/profile_banners/517295013/1664668487</v>
      </c>
      <c r="AQ140" s="76" t="b">
        <v>0</v>
      </c>
      <c r="AR140" s="76" t="b">
        <v>0</v>
      </c>
      <c r="AS140" s="76" t="b">
        <v>1</v>
      </c>
      <c r="AT140" s="76"/>
      <c r="AU140" s="76">
        <v>40</v>
      </c>
      <c r="AV140" s="82" t="str">
        <f>HYPERLINK("https://abs.twimg.com/images/themes/theme5/bg.gif")</f>
        <v>https://abs.twimg.com/images/themes/theme5/bg.gif</v>
      </c>
      <c r="AW140" s="76" t="b">
        <v>0</v>
      </c>
      <c r="AX140" s="76" t="s">
        <v>1651</v>
      </c>
      <c r="AY140" s="82" t="str">
        <f>HYPERLINK("https://twitter.com/fount8")</f>
        <v>https://twitter.com/fount8</v>
      </c>
      <c r="AZ140" s="76" t="s">
        <v>66</v>
      </c>
      <c r="BA140" s="76" t="str">
        <f>REPLACE(INDEX(GroupVertices[Group],MATCH(Vertices[[#This Row],[Vertex]],GroupVertices[Vertex],0)),1,1,"")</f>
        <v>61</v>
      </c>
      <c r="BB140" s="45"/>
      <c r="BC140" s="46"/>
      <c r="BD140" s="45"/>
      <c r="BE140" s="46"/>
      <c r="BF140" s="45"/>
      <c r="BG140" s="46"/>
      <c r="BH140" s="45"/>
      <c r="BI140" s="46"/>
      <c r="BJ140" s="45"/>
      <c r="BK140" s="109" t="s">
        <v>916</v>
      </c>
      <c r="BL140" s="109" t="s">
        <v>916</v>
      </c>
      <c r="BM140" s="109" t="s">
        <v>916</v>
      </c>
      <c r="BN140" s="109" t="s">
        <v>916</v>
      </c>
      <c r="BO140" s="2"/>
    </row>
    <row r="141" spans="1:67" ht="15">
      <c r="A141" s="61" t="s">
        <v>337</v>
      </c>
      <c r="B141" s="62"/>
      <c r="C141" s="62"/>
      <c r="D141" s="63">
        <v>80</v>
      </c>
      <c r="E141" s="65"/>
      <c r="F141" s="100" t="str">
        <f>HYPERLINK("https://pbs.twimg.com/profile_images/1013244482282668032/BO0D4lYb_normal.jpg")</f>
        <v>https://pbs.twimg.com/profile_images/1013244482282668032/BO0D4lYb_normal.jpg</v>
      </c>
      <c r="G141" s="62"/>
      <c r="H141" s="66" t="s">
        <v>337</v>
      </c>
      <c r="I141" s="67"/>
      <c r="J141" s="67"/>
      <c r="K141" s="66" t="s">
        <v>337</v>
      </c>
      <c r="L141" s="70">
        <v>1</v>
      </c>
      <c r="M141" s="71">
        <v>4279.6376953125</v>
      </c>
      <c r="N141" s="71">
        <v>2609.204833984375</v>
      </c>
      <c r="O141" s="72"/>
      <c r="P141" s="73"/>
      <c r="Q141" s="73"/>
      <c r="R141" s="86"/>
      <c r="S141" s="45">
        <v>1</v>
      </c>
      <c r="T141" s="45">
        <v>1</v>
      </c>
      <c r="U141" s="46">
        <v>0</v>
      </c>
      <c r="V141" s="46">
        <v>0</v>
      </c>
      <c r="W141" s="46">
        <v>0</v>
      </c>
      <c r="X141" s="46">
        <v>0.005</v>
      </c>
      <c r="Y141" s="46">
        <v>0</v>
      </c>
      <c r="Z141" s="46">
        <v>0</v>
      </c>
      <c r="AA141" s="68">
        <v>141</v>
      </c>
      <c r="AB141" s="68"/>
      <c r="AC141" s="69"/>
      <c r="AD141" s="76" t="s">
        <v>1124</v>
      </c>
      <c r="AE141" s="85" t="s">
        <v>1298</v>
      </c>
      <c r="AF141" s="76">
        <v>503</v>
      </c>
      <c r="AG141" s="76">
        <v>3069</v>
      </c>
      <c r="AH141" s="76">
        <v>527882</v>
      </c>
      <c r="AI141" s="76">
        <v>466924</v>
      </c>
      <c r="AJ141" s="76"/>
      <c r="AK141" s="76" t="s">
        <v>1480</v>
      </c>
      <c r="AL141" s="76" t="s">
        <v>1617</v>
      </c>
      <c r="AM141" s="76"/>
      <c r="AN141" s="76"/>
      <c r="AO141" s="78">
        <v>42100.4194212963</v>
      </c>
      <c r="AP141" s="76"/>
      <c r="AQ141" s="76" t="b">
        <v>1</v>
      </c>
      <c r="AR141" s="76" t="b">
        <v>0</v>
      </c>
      <c r="AS141" s="76" t="b">
        <v>1</v>
      </c>
      <c r="AT141" s="76"/>
      <c r="AU141" s="76">
        <v>227</v>
      </c>
      <c r="AV141" s="82" t="str">
        <f>HYPERLINK("https://abs.twimg.com/images/themes/theme1/bg.png")</f>
        <v>https://abs.twimg.com/images/themes/theme1/bg.png</v>
      </c>
      <c r="AW141" s="76" t="b">
        <v>0</v>
      </c>
      <c r="AX141" s="76" t="s">
        <v>1651</v>
      </c>
      <c r="AY141" s="82" t="str">
        <f>HYPERLINK("https://twitter.com/michaelpurvis64")</f>
        <v>https://twitter.com/michaelpurvis64</v>
      </c>
      <c r="AZ141" s="76" t="s">
        <v>66</v>
      </c>
      <c r="BA141" s="76" t="str">
        <f>REPLACE(INDEX(GroupVertices[Group],MATCH(Vertices[[#This Row],[Vertex]],GroupVertices[Vertex],0)),1,1,"")</f>
        <v>60</v>
      </c>
      <c r="BB141" s="45"/>
      <c r="BC141" s="46"/>
      <c r="BD141" s="45"/>
      <c r="BE141" s="46"/>
      <c r="BF141" s="45"/>
      <c r="BG141" s="46"/>
      <c r="BH141" s="45"/>
      <c r="BI141" s="46"/>
      <c r="BJ141" s="45"/>
      <c r="BK141" s="109" t="s">
        <v>916</v>
      </c>
      <c r="BL141" s="109" t="s">
        <v>916</v>
      </c>
      <c r="BM141" s="109" t="s">
        <v>916</v>
      </c>
      <c r="BN141" s="109" t="s">
        <v>916</v>
      </c>
      <c r="BO141" s="2"/>
    </row>
    <row r="142" spans="1:67" ht="15">
      <c r="A142" s="61" t="s">
        <v>338</v>
      </c>
      <c r="B142" s="62"/>
      <c r="C142" s="62"/>
      <c r="D142" s="63">
        <v>80</v>
      </c>
      <c r="E142" s="65"/>
      <c r="F142" s="100" t="str">
        <f>HYPERLINK("https://pbs.twimg.com/profile_images/1597566401840967683/y3yUPHOw_normal.jpg")</f>
        <v>https://pbs.twimg.com/profile_images/1597566401840967683/y3yUPHOw_normal.jpg</v>
      </c>
      <c r="G142" s="62"/>
      <c r="H142" s="66" t="s">
        <v>338</v>
      </c>
      <c r="I142" s="67"/>
      <c r="J142" s="67"/>
      <c r="K142" s="66" t="s">
        <v>338</v>
      </c>
      <c r="L142" s="70">
        <v>1</v>
      </c>
      <c r="M142" s="71">
        <v>4271.021484375</v>
      </c>
      <c r="N142" s="71">
        <v>2849.6181640625</v>
      </c>
      <c r="O142" s="72"/>
      <c r="P142" s="73"/>
      <c r="Q142" s="73"/>
      <c r="R142" s="86"/>
      <c r="S142" s="45">
        <v>2</v>
      </c>
      <c r="T142" s="45">
        <v>1</v>
      </c>
      <c r="U142" s="46">
        <v>0</v>
      </c>
      <c r="V142" s="46">
        <v>0.005025</v>
      </c>
      <c r="W142" s="46">
        <v>0</v>
      </c>
      <c r="X142" s="46">
        <v>0.005349</v>
      </c>
      <c r="Y142" s="46">
        <v>0</v>
      </c>
      <c r="Z142" s="46">
        <v>0</v>
      </c>
      <c r="AA142" s="68">
        <v>142</v>
      </c>
      <c r="AB142" s="68"/>
      <c r="AC142" s="69"/>
      <c r="AD142" s="76" t="s">
        <v>1125</v>
      </c>
      <c r="AE142" s="85" t="s">
        <v>1299</v>
      </c>
      <c r="AF142" s="76">
        <v>60</v>
      </c>
      <c r="AG142" s="76">
        <v>42</v>
      </c>
      <c r="AH142" s="76">
        <v>37</v>
      </c>
      <c r="AI142" s="76">
        <v>132</v>
      </c>
      <c r="AJ142" s="76"/>
      <c r="AK142" s="76" t="s">
        <v>1481</v>
      </c>
      <c r="AL142" s="76"/>
      <c r="AM142" s="76"/>
      <c r="AN142" s="76"/>
      <c r="AO142" s="78">
        <v>44664.34159722222</v>
      </c>
      <c r="AP142" s="82" t="str">
        <f>HYPERLINK("https://pbs.twimg.com/profile_banners/1514154350708662275/1669724486")</f>
        <v>https://pbs.twimg.com/profile_banners/1514154350708662275/1669724486</v>
      </c>
      <c r="AQ142" s="76" t="b">
        <v>1</v>
      </c>
      <c r="AR142" s="76" t="b">
        <v>0</v>
      </c>
      <c r="AS142" s="76" t="b">
        <v>0</v>
      </c>
      <c r="AT142" s="76"/>
      <c r="AU142" s="76">
        <v>1</v>
      </c>
      <c r="AV142" s="76"/>
      <c r="AW142" s="76" t="b">
        <v>0</v>
      </c>
      <c r="AX142" s="76" t="s">
        <v>1651</v>
      </c>
      <c r="AY142" s="82" t="str">
        <f>HYPERLINK("https://twitter.com/ender_reinhart")</f>
        <v>https://twitter.com/ender_reinhart</v>
      </c>
      <c r="AZ142" s="76" t="s">
        <v>66</v>
      </c>
      <c r="BA142" s="76" t="str">
        <f>REPLACE(INDEX(GroupVertices[Group],MATCH(Vertices[[#This Row],[Vertex]],GroupVertices[Vertex],0)),1,1,"")</f>
        <v>31</v>
      </c>
      <c r="BB142" s="45"/>
      <c r="BC142" s="46"/>
      <c r="BD142" s="45"/>
      <c r="BE142" s="46"/>
      <c r="BF142" s="45"/>
      <c r="BG142" s="46"/>
      <c r="BH142" s="45"/>
      <c r="BI142" s="46"/>
      <c r="BJ142" s="45"/>
      <c r="BK142" s="109" t="s">
        <v>916</v>
      </c>
      <c r="BL142" s="109" t="s">
        <v>916</v>
      </c>
      <c r="BM142" s="109" t="s">
        <v>916</v>
      </c>
      <c r="BN142" s="109" t="s">
        <v>916</v>
      </c>
      <c r="BO142" s="2"/>
    </row>
    <row r="143" spans="1:67" ht="15">
      <c r="A143" s="61" t="s">
        <v>339</v>
      </c>
      <c r="B143" s="62"/>
      <c r="C143" s="62"/>
      <c r="D143" s="63">
        <v>80</v>
      </c>
      <c r="E143" s="65"/>
      <c r="F143" s="100" t="str">
        <f>HYPERLINK("https://pbs.twimg.com/profile_images/1623549853300310017/obzT622B_normal.jpg")</f>
        <v>https://pbs.twimg.com/profile_images/1623549853300310017/obzT622B_normal.jpg</v>
      </c>
      <c r="G143" s="62"/>
      <c r="H143" s="66" t="s">
        <v>339</v>
      </c>
      <c r="I143" s="67"/>
      <c r="J143" s="67"/>
      <c r="K143" s="66" t="s">
        <v>339</v>
      </c>
      <c r="L143" s="70">
        <v>1</v>
      </c>
      <c r="M143" s="71">
        <v>3108.30419921875</v>
      </c>
      <c r="N143" s="71">
        <v>2346.1484375</v>
      </c>
      <c r="O143" s="72"/>
      <c r="P143" s="73"/>
      <c r="Q143" s="73"/>
      <c r="R143" s="86"/>
      <c r="S143" s="45">
        <v>0</v>
      </c>
      <c r="T143" s="45">
        <v>1</v>
      </c>
      <c r="U143" s="46">
        <v>0</v>
      </c>
      <c r="V143" s="46">
        <v>0.005025</v>
      </c>
      <c r="W143" s="46">
        <v>0</v>
      </c>
      <c r="X143" s="46">
        <v>0.004651</v>
      </c>
      <c r="Y143" s="46">
        <v>0</v>
      </c>
      <c r="Z143" s="46">
        <v>0</v>
      </c>
      <c r="AA143" s="68">
        <v>143</v>
      </c>
      <c r="AB143" s="68"/>
      <c r="AC143" s="69"/>
      <c r="AD143" s="76" t="s">
        <v>1126</v>
      </c>
      <c r="AE143" s="85" t="s">
        <v>1300</v>
      </c>
      <c r="AF143" s="76">
        <v>283</v>
      </c>
      <c r="AG143" s="76">
        <v>36</v>
      </c>
      <c r="AH143" s="76">
        <v>231</v>
      </c>
      <c r="AI143" s="76">
        <v>431</v>
      </c>
      <c r="AJ143" s="76"/>
      <c r="AK143" s="76" t="s">
        <v>1482</v>
      </c>
      <c r="AL143" s="76"/>
      <c r="AM143" s="82" t="str">
        <f>HYPERLINK("https://t.co/qsEOdJuS8j")</f>
        <v>https://t.co/qsEOdJuS8j</v>
      </c>
      <c r="AN143" s="76"/>
      <c r="AO143" s="78">
        <v>43991.93953703704</v>
      </c>
      <c r="AP143" s="82" t="str">
        <f>HYPERLINK("https://pbs.twimg.com/profile_banners/1270484006249926656/1591742420")</f>
        <v>https://pbs.twimg.com/profile_banners/1270484006249926656/1591742420</v>
      </c>
      <c r="AQ143" s="76" t="b">
        <v>1</v>
      </c>
      <c r="AR143" s="76" t="b">
        <v>0</v>
      </c>
      <c r="AS143" s="76" t="b">
        <v>0</v>
      </c>
      <c r="AT143" s="76"/>
      <c r="AU143" s="76">
        <v>1</v>
      </c>
      <c r="AV143" s="76"/>
      <c r="AW143" s="76" t="b">
        <v>0</v>
      </c>
      <c r="AX143" s="76" t="s">
        <v>1651</v>
      </c>
      <c r="AY143" s="82" t="str">
        <f>HYPERLINK("https://twitter.com/uquo_tech")</f>
        <v>https://twitter.com/uquo_tech</v>
      </c>
      <c r="AZ143" s="76" t="s">
        <v>66</v>
      </c>
      <c r="BA143" s="76" t="str">
        <f>REPLACE(INDEX(GroupVertices[Group],MATCH(Vertices[[#This Row],[Vertex]],GroupVertices[Vertex],0)),1,1,"")</f>
        <v>31</v>
      </c>
      <c r="BB143" s="45"/>
      <c r="BC143" s="46"/>
      <c r="BD143" s="45"/>
      <c r="BE143" s="46"/>
      <c r="BF143" s="45"/>
      <c r="BG143" s="46"/>
      <c r="BH143" s="45"/>
      <c r="BI143" s="46"/>
      <c r="BJ143" s="45"/>
      <c r="BK143" s="109" t="s">
        <v>916</v>
      </c>
      <c r="BL143" s="109" t="s">
        <v>916</v>
      </c>
      <c r="BM143" s="109" t="s">
        <v>916</v>
      </c>
      <c r="BN143" s="109" t="s">
        <v>916</v>
      </c>
      <c r="BO143" s="2"/>
    </row>
    <row r="144" spans="1:67" ht="15">
      <c r="A144" s="61" t="s">
        <v>340</v>
      </c>
      <c r="B144" s="62"/>
      <c r="C144" s="62"/>
      <c r="D144" s="63">
        <v>80</v>
      </c>
      <c r="E144" s="65"/>
      <c r="F144" s="100" t="str">
        <f>HYPERLINK("https://pbs.twimg.com/profile_images/1540761428671401987/rl0nWzl2_normal.jpg")</f>
        <v>https://pbs.twimg.com/profile_images/1540761428671401987/rl0nWzl2_normal.jpg</v>
      </c>
      <c r="G144" s="62"/>
      <c r="H144" s="66" t="s">
        <v>340</v>
      </c>
      <c r="I144" s="67"/>
      <c r="J144" s="67"/>
      <c r="K144" s="66" t="s">
        <v>340</v>
      </c>
      <c r="L144" s="70">
        <v>1</v>
      </c>
      <c r="M144" s="71">
        <v>4232.38037109375</v>
      </c>
      <c r="N144" s="71">
        <v>2733.77197265625</v>
      </c>
      <c r="O144" s="72"/>
      <c r="P144" s="73"/>
      <c r="Q144" s="73"/>
      <c r="R144" s="86"/>
      <c r="S144" s="45">
        <v>1</v>
      </c>
      <c r="T144" s="45">
        <v>1</v>
      </c>
      <c r="U144" s="46">
        <v>0</v>
      </c>
      <c r="V144" s="46">
        <v>0</v>
      </c>
      <c r="W144" s="46">
        <v>0</v>
      </c>
      <c r="X144" s="46">
        <v>0.005</v>
      </c>
      <c r="Y144" s="46">
        <v>0</v>
      </c>
      <c r="Z144" s="46">
        <v>0</v>
      </c>
      <c r="AA144" s="68">
        <v>144</v>
      </c>
      <c r="AB144" s="68"/>
      <c r="AC144" s="69"/>
      <c r="AD144" s="76" t="s">
        <v>1127</v>
      </c>
      <c r="AE144" s="85" t="s">
        <v>1301</v>
      </c>
      <c r="AF144" s="76">
        <v>75</v>
      </c>
      <c r="AG144" s="76">
        <v>34</v>
      </c>
      <c r="AH144" s="76">
        <v>30</v>
      </c>
      <c r="AI144" s="76">
        <v>102</v>
      </c>
      <c r="AJ144" s="76"/>
      <c r="AK144" s="76" t="s">
        <v>1483</v>
      </c>
      <c r="AL144" s="76"/>
      <c r="AM144" s="76"/>
      <c r="AN144" s="76"/>
      <c r="AO144" s="78">
        <v>44727.29924768519</v>
      </c>
      <c r="AP144" s="82" t="str">
        <f>HYPERLINK("https://pbs.twimg.com/profile_banners/1536969441744867328/1656181172")</f>
        <v>https://pbs.twimg.com/profile_banners/1536969441744867328/1656181172</v>
      </c>
      <c r="AQ144" s="76" t="b">
        <v>1</v>
      </c>
      <c r="AR144" s="76" t="b">
        <v>0</v>
      </c>
      <c r="AS144" s="76" t="b">
        <v>0</v>
      </c>
      <c r="AT144" s="76"/>
      <c r="AU144" s="76">
        <v>0</v>
      </c>
      <c r="AV144" s="76"/>
      <c r="AW144" s="76" t="b">
        <v>0</v>
      </c>
      <c r="AX144" s="76" t="s">
        <v>1651</v>
      </c>
      <c r="AY144" s="82" t="str">
        <f>HYPERLINK("https://twitter.com/rao_triton")</f>
        <v>https://twitter.com/rao_triton</v>
      </c>
      <c r="AZ144" s="76" t="s">
        <v>66</v>
      </c>
      <c r="BA144" s="76" t="str">
        <f>REPLACE(INDEX(GroupVertices[Group],MATCH(Vertices[[#This Row],[Vertex]],GroupVertices[Vertex],0)),1,1,"")</f>
        <v>59</v>
      </c>
      <c r="BB144" s="45"/>
      <c r="BC144" s="46"/>
      <c r="BD144" s="45"/>
      <c r="BE144" s="46"/>
      <c r="BF144" s="45"/>
      <c r="BG144" s="46"/>
      <c r="BH144" s="45"/>
      <c r="BI144" s="46"/>
      <c r="BJ144" s="45"/>
      <c r="BK144" s="109" t="s">
        <v>916</v>
      </c>
      <c r="BL144" s="109" t="s">
        <v>916</v>
      </c>
      <c r="BM144" s="109" t="s">
        <v>916</v>
      </c>
      <c r="BN144" s="109" t="s">
        <v>916</v>
      </c>
      <c r="BO144" s="2"/>
    </row>
    <row r="145" spans="1:67" ht="15">
      <c r="A145" s="61" t="s">
        <v>341</v>
      </c>
      <c r="B145" s="62"/>
      <c r="C145" s="62"/>
      <c r="D145" s="63">
        <v>80</v>
      </c>
      <c r="E145" s="65"/>
      <c r="F145" s="100" t="str">
        <f>HYPERLINK("https://pbs.twimg.com/profile_images/1524009746595864576/XR61xUqG_normal.jpg")</f>
        <v>https://pbs.twimg.com/profile_images/1524009746595864576/XR61xUqG_normal.jpg</v>
      </c>
      <c r="G145" s="62"/>
      <c r="H145" s="66" t="s">
        <v>341</v>
      </c>
      <c r="I145" s="67"/>
      <c r="J145" s="67"/>
      <c r="K145" s="66" t="s">
        <v>341</v>
      </c>
      <c r="L145" s="70">
        <v>1</v>
      </c>
      <c r="M145" s="71">
        <v>4217.55224609375</v>
      </c>
      <c r="N145" s="71">
        <v>2782.574462890625</v>
      </c>
      <c r="O145" s="72"/>
      <c r="P145" s="73"/>
      <c r="Q145" s="73"/>
      <c r="R145" s="86"/>
      <c r="S145" s="45">
        <v>1</v>
      </c>
      <c r="T145" s="45">
        <v>1</v>
      </c>
      <c r="U145" s="46">
        <v>0</v>
      </c>
      <c r="V145" s="46">
        <v>0</v>
      </c>
      <c r="W145" s="46">
        <v>0</v>
      </c>
      <c r="X145" s="46">
        <v>0.005</v>
      </c>
      <c r="Y145" s="46">
        <v>0</v>
      </c>
      <c r="Z145" s="46">
        <v>0</v>
      </c>
      <c r="AA145" s="68">
        <v>145</v>
      </c>
      <c r="AB145" s="68"/>
      <c r="AC145" s="69"/>
      <c r="AD145" s="76" t="s">
        <v>1128</v>
      </c>
      <c r="AE145" s="85" t="s">
        <v>1302</v>
      </c>
      <c r="AF145" s="76">
        <v>67</v>
      </c>
      <c r="AG145" s="76">
        <v>42</v>
      </c>
      <c r="AH145" s="76">
        <v>47</v>
      </c>
      <c r="AI145" s="76">
        <v>163</v>
      </c>
      <c r="AJ145" s="76"/>
      <c r="AK145" s="76" t="s">
        <v>1484</v>
      </c>
      <c r="AL145" s="76"/>
      <c r="AM145" s="76"/>
      <c r="AN145" s="76"/>
      <c r="AO145" s="78">
        <v>44691.198969907404</v>
      </c>
      <c r="AP145" s="82" t="str">
        <f>HYPERLINK("https://pbs.twimg.com/profile_banners/1523887139825799168/1652187260")</f>
        <v>https://pbs.twimg.com/profile_banners/1523887139825799168/1652187260</v>
      </c>
      <c r="AQ145" s="76" t="b">
        <v>1</v>
      </c>
      <c r="AR145" s="76" t="b">
        <v>0</v>
      </c>
      <c r="AS145" s="76" t="b">
        <v>0</v>
      </c>
      <c r="AT145" s="76"/>
      <c r="AU145" s="76">
        <v>1</v>
      </c>
      <c r="AV145" s="76"/>
      <c r="AW145" s="76" t="b">
        <v>0</v>
      </c>
      <c r="AX145" s="76" t="s">
        <v>1651</v>
      </c>
      <c r="AY145" s="82" t="str">
        <f>HYPERLINK("https://twitter.com/sidneyf90097715")</f>
        <v>https://twitter.com/sidneyf90097715</v>
      </c>
      <c r="AZ145" s="76" t="s">
        <v>66</v>
      </c>
      <c r="BA145" s="76" t="str">
        <f>REPLACE(INDEX(GroupVertices[Group],MATCH(Vertices[[#This Row],[Vertex]],GroupVertices[Vertex],0)),1,1,"")</f>
        <v>58</v>
      </c>
      <c r="BB145" s="45"/>
      <c r="BC145" s="46"/>
      <c r="BD145" s="45"/>
      <c r="BE145" s="46"/>
      <c r="BF145" s="45"/>
      <c r="BG145" s="46"/>
      <c r="BH145" s="45"/>
      <c r="BI145" s="46"/>
      <c r="BJ145" s="45"/>
      <c r="BK145" s="109" t="s">
        <v>916</v>
      </c>
      <c r="BL145" s="109" t="s">
        <v>916</v>
      </c>
      <c r="BM145" s="109" t="s">
        <v>916</v>
      </c>
      <c r="BN145" s="109" t="s">
        <v>916</v>
      </c>
      <c r="BO145" s="2"/>
    </row>
    <row r="146" spans="1:67" ht="15">
      <c r="A146" s="61" t="s">
        <v>343</v>
      </c>
      <c r="B146" s="62"/>
      <c r="C146" s="62"/>
      <c r="D146" s="63">
        <v>80</v>
      </c>
      <c r="E146" s="65"/>
      <c r="F146" s="100" t="str">
        <f>HYPERLINK("https://pbs.twimg.com/profile_images/1564750275013132288/Lf5TeZ0T_normal.jpg")</f>
        <v>https://pbs.twimg.com/profile_images/1564750275013132288/Lf5TeZ0T_normal.jpg</v>
      </c>
      <c r="G146" s="62"/>
      <c r="H146" s="66" t="s">
        <v>343</v>
      </c>
      <c r="I146" s="67"/>
      <c r="J146" s="67"/>
      <c r="K146" s="66" t="s">
        <v>343</v>
      </c>
      <c r="L146" s="70">
        <v>1</v>
      </c>
      <c r="M146" s="71">
        <v>2888.1884765625</v>
      </c>
      <c r="N146" s="71">
        <v>4302.97021484375</v>
      </c>
      <c r="O146" s="72"/>
      <c r="P146" s="73"/>
      <c r="Q146" s="73"/>
      <c r="R146" s="86"/>
      <c r="S146" s="45">
        <v>0</v>
      </c>
      <c r="T146" s="45">
        <v>1</v>
      </c>
      <c r="U146" s="46">
        <v>0</v>
      </c>
      <c r="V146" s="46">
        <v>0.0067</v>
      </c>
      <c r="W146" s="46">
        <v>0</v>
      </c>
      <c r="X146" s="46">
        <v>0.004545</v>
      </c>
      <c r="Y146" s="46">
        <v>0</v>
      </c>
      <c r="Z146" s="46">
        <v>0</v>
      </c>
      <c r="AA146" s="68">
        <v>146</v>
      </c>
      <c r="AB146" s="68"/>
      <c r="AC146" s="69"/>
      <c r="AD146" s="76" t="s">
        <v>1129</v>
      </c>
      <c r="AE146" s="85" t="s">
        <v>1303</v>
      </c>
      <c r="AF146" s="76">
        <v>4445</v>
      </c>
      <c r="AG146" s="76">
        <v>3475</v>
      </c>
      <c r="AH146" s="76">
        <v>229164</v>
      </c>
      <c r="AI146" s="76">
        <v>83052</v>
      </c>
      <c r="AJ146" s="76"/>
      <c r="AK146" s="76" t="s">
        <v>1485</v>
      </c>
      <c r="AL146" s="76" t="s">
        <v>1618</v>
      </c>
      <c r="AM146" s="82" t="str">
        <f>HYPERLINK("https://t.co/WMxPpXm8HJ")</f>
        <v>https://t.co/WMxPpXm8HJ</v>
      </c>
      <c r="AN146" s="76"/>
      <c r="AO146" s="78">
        <v>40114.57732638889</v>
      </c>
      <c r="AP146" s="82" t="str">
        <f>HYPERLINK("https://pbs.twimg.com/profile_banners/85821611/1663088376")</f>
        <v>https://pbs.twimg.com/profile_banners/85821611/1663088376</v>
      </c>
      <c r="AQ146" s="76" t="b">
        <v>0</v>
      </c>
      <c r="AR146" s="76" t="b">
        <v>0</v>
      </c>
      <c r="AS146" s="76" t="b">
        <v>1</v>
      </c>
      <c r="AT146" s="76"/>
      <c r="AU146" s="76">
        <v>32</v>
      </c>
      <c r="AV146" s="82" t="str">
        <f>HYPERLINK("https://abs.twimg.com/images/themes/theme14/bg.gif")</f>
        <v>https://abs.twimg.com/images/themes/theme14/bg.gif</v>
      </c>
      <c r="AW146" s="76" t="b">
        <v>0</v>
      </c>
      <c r="AX146" s="76" t="s">
        <v>1651</v>
      </c>
      <c r="AY146" s="82" t="str">
        <f>HYPERLINK("https://twitter.com/akkaufman")</f>
        <v>https://twitter.com/akkaufman</v>
      </c>
      <c r="AZ146" s="76" t="s">
        <v>66</v>
      </c>
      <c r="BA146" s="76" t="str">
        <f>REPLACE(INDEX(GroupVertices[Group],MATCH(Vertices[[#This Row],[Vertex]],GroupVertices[Vertex],0)),1,1,"")</f>
        <v>18</v>
      </c>
      <c r="BB146" s="45"/>
      <c r="BC146" s="46"/>
      <c r="BD146" s="45"/>
      <c r="BE146" s="46"/>
      <c r="BF146" s="45"/>
      <c r="BG146" s="46"/>
      <c r="BH146" s="45"/>
      <c r="BI146" s="46"/>
      <c r="BJ146" s="45"/>
      <c r="BK146" s="109" t="s">
        <v>916</v>
      </c>
      <c r="BL146" s="109" t="s">
        <v>916</v>
      </c>
      <c r="BM146" s="109" t="s">
        <v>916</v>
      </c>
      <c r="BN146" s="109" t="s">
        <v>916</v>
      </c>
      <c r="BO146" s="2"/>
    </row>
    <row r="147" spans="1:67" ht="15">
      <c r="A147" s="61" t="s">
        <v>344</v>
      </c>
      <c r="B147" s="62"/>
      <c r="C147" s="62"/>
      <c r="D147" s="63">
        <v>80</v>
      </c>
      <c r="E147" s="65"/>
      <c r="F147" s="100" t="str">
        <f>HYPERLINK("https://abs.twimg.com/sticky/default_profile_images/default_profile_normal.png")</f>
        <v>https://abs.twimg.com/sticky/default_profile_images/default_profile_normal.png</v>
      </c>
      <c r="G147" s="62"/>
      <c r="H147" s="66" t="s">
        <v>344</v>
      </c>
      <c r="I147" s="67"/>
      <c r="J147" s="67"/>
      <c r="K147" s="66" t="s">
        <v>344</v>
      </c>
      <c r="L147" s="70">
        <v>1</v>
      </c>
      <c r="M147" s="71">
        <v>4930.89208984375</v>
      </c>
      <c r="N147" s="71">
        <v>784.1583251953125</v>
      </c>
      <c r="O147" s="72"/>
      <c r="P147" s="73"/>
      <c r="Q147" s="73"/>
      <c r="R147" s="86"/>
      <c r="S147" s="45">
        <v>0</v>
      </c>
      <c r="T147" s="45">
        <v>1</v>
      </c>
      <c r="U147" s="46">
        <v>0</v>
      </c>
      <c r="V147" s="46">
        <v>0.0067</v>
      </c>
      <c r="W147" s="46">
        <v>0</v>
      </c>
      <c r="X147" s="46">
        <v>0.004545</v>
      </c>
      <c r="Y147" s="46">
        <v>0</v>
      </c>
      <c r="Z147" s="46">
        <v>0</v>
      </c>
      <c r="AA147" s="68">
        <v>147</v>
      </c>
      <c r="AB147" s="68"/>
      <c r="AC147" s="69"/>
      <c r="AD147" s="76" t="s">
        <v>1130</v>
      </c>
      <c r="AE147" s="85" t="s">
        <v>1304</v>
      </c>
      <c r="AF147" s="76">
        <v>5001</v>
      </c>
      <c r="AG147" s="76">
        <v>516</v>
      </c>
      <c r="AH147" s="76">
        <v>39118</v>
      </c>
      <c r="AI147" s="76">
        <v>25319</v>
      </c>
      <c r="AJ147" s="76"/>
      <c r="AK147" s="76" t="s">
        <v>1486</v>
      </c>
      <c r="AL147" s="76"/>
      <c r="AM147" s="76"/>
      <c r="AN147" s="76"/>
      <c r="AO147" s="78">
        <v>44054.62064814815</v>
      </c>
      <c r="AP147" s="76"/>
      <c r="AQ147" s="76" t="b">
        <v>1</v>
      </c>
      <c r="AR147" s="76" t="b">
        <v>1</v>
      </c>
      <c r="AS147" s="76" t="b">
        <v>0</v>
      </c>
      <c r="AT147" s="76"/>
      <c r="AU147" s="76">
        <v>5</v>
      </c>
      <c r="AV147" s="76"/>
      <c r="AW147" s="76" t="b">
        <v>0</v>
      </c>
      <c r="AX147" s="76" t="s">
        <v>1651</v>
      </c>
      <c r="AY147" s="82" t="str">
        <f>HYPERLINK("https://twitter.com/newsoft53759560")</f>
        <v>https://twitter.com/newsoft53759560</v>
      </c>
      <c r="AZ147" s="76" t="s">
        <v>66</v>
      </c>
      <c r="BA147" s="76" t="str">
        <f>REPLACE(INDEX(GroupVertices[Group],MATCH(Vertices[[#This Row],[Vertex]],GroupVertices[Vertex],0)),1,1,"")</f>
        <v>17</v>
      </c>
      <c r="BB147" s="45"/>
      <c r="BC147" s="46"/>
      <c r="BD147" s="45"/>
      <c r="BE147" s="46"/>
      <c r="BF147" s="45"/>
      <c r="BG147" s="46"/>
      <c r="BH147" s="45"/>
      <c r="BI147" s="46"/>
      <c r="BJ147" s="45"/>
      <c r="BK147" s="109" t="s">
        <v>916</v>
      </c>
      <c r="BL147" s="109" t="s">
        <v>916</v>
      </c>
      <c r="BM147" s="109" t="s">
        <v>916</v>
      </c>
      <c r="BN147" s="109" t="s">
        <v>916</v>
      </c>
      <c r="BO147" s="2"/>
    </row>
    <row r="148" spans="1:67" ht="15">
      <c r="A148" s="61" t="s">
        <v>345</v>
      </c>
      <c r="B148" s="62"/>
      <c r="C148" s="62"/>
      <c r="D148" s="63">
        <v>121.81818181818181</v>
      </c>
      <c r="E148" s="65"/>
      <c r="F148" s="100" t="str">
        <f>HYPERLINK("https://pbs.twimg.com/profile_images/1392879518122012679/aG32Qshp_normal.jpg")</f>
        <v>https://pbs.twimg.com/profile_images/1392879518122012679/aG32Qshp_normal.jpg</v>
      </c>
      <c r="G148" s="62"/>
      <c r="H148" s="66" t="s">
        <v>345</v>
      </c>
      <c r="I148" s="67"/>
      <c r="J148" s="67"/>
      <c r="K148" s="66" t="s">
        <v>345</v>
      </c>
      <c r="L148" s="70">
        <v>58.45977011494253</v>
      </c>
      <c r="M148" s="71">
        <v>4048.64501953125</v>
      </c>
      <c r="N148" s="71">
        <v>1724.3074951171875</v>
      </c>
      <c r="O148" s="72"/>
      <c r="P148" s="73"/>
      <c r="Q148" s="73"/>
      <c r="R148" s="86"/>
      <c r="S148" s="45">
        <v>3</v>
      </c>
      <c r="T148" s="45">
        <v>1</v>
      </c>
      <c r="U148" s="46">
        <v>2</v>
      </c>
      <c r="V148" s="46">
        <v>0.01005</v>
      </c>
      <c r="W148" s="46">
        <v>0</v>
      </c>
      <c r="X148" s="46">
        <v>0.005909</v>
      </c>
      <c r="Y148" s="46">
        <v>0</v>
      </c>
      <c r="Z148" s="46">
        <v>0</v>
      </c>
      <c r="AA148" s="68">
        <v>148</v>
      </c>
      <c r="AB148" s="68"/>
      <c r="AC148" s="69"/>
      <c r="AD148" s="76" t="s">
        <v>1131</v>
      </c>
      <c r="AE148" s="85" t="s">
        <v>1305</v>
      </c>
      <c r="AF148" s="76">
        <v>5550</v>
      </c>
      <c r="AG148" s="76">
        <v>5961</v>
      </c>
      <c r="AH148" s="76">
        <v>36394</v>
      </c>
      <c r="AI148" s="76">
        <v>3543</v>
      </c>
      <c r="AJ148" s="76"/>
      <c r="AK148" s="76" t="s">
        <v>1487</v>
      </c>
      <c r="AL148" s="76" t="s">
        <v>1561</v>
      </c>
      <c r="AM148" s="82" t="str">
        <f>HYPERLINK("https://t.co/HwsGwdC1l3")</f>
        <v>https://t.co/HwsGwdC1l3</v>
      </c>
      <c r="AN148" s="76"/>
      <c r="AO148" s="78">
        <v>44321.40094907407</v>
      </c>
      <c r="AP148" s="82" t="str">
        <f>HYPERLINK("https://pbs.twimg.com/profile_banners/1389876718047875073/1624278577")</f>
        <v>https://pbs.twimg.com/profile_banners/1389876718047875073/1624278577</v>
      </c>
      <c r="AQ148" s="76" t="b">
        <v>1</v>
      </c>
      <c r="AR148" s="76" t="b">
        <v>0</v>
      </c>
      <c r="AS148" s="76" t="b">
        <v>0</v>
      </c>
      <c r="AT148" s="76"/>
      <c r="AU148" s="76">
        <v>29</v>
      </c>
      <c r="AV148" s="76"/>
      <c r="AW148" s="76" t="b">
        <v>0</v>
      </c>
      <c r="AX148" s="76" t="s">
        <v>1651</v>
      </c>
      <c r="AY148" s="82" t="str">
        <f>HYPERLINK("https://twitter.com/roboticsainews")</f>
        <v>https://twitter.com/roboticsainews</v>
      </c>
      <c r="AZ148" s="76" t="s">
        <v>66</v>
      </c>
      <c r="BA148" s="76" t="str">
        <f>REPLACE(INDEX(GroupVertices[Group],MATCH(Vertices[[#This Row],[Vertex]],GroupVertices[Vertex],0)),1,1,"")</f>
        <v>17</v>
      </c>
      <c r="BB148" s="45"/>
      <c r="BC148" s="46"/>
      <c r="BD148" s="45"/>
      <c r="BE148" s="46"/>
      <c r="BF148" s="45"/>
      <c r="BG148" s="46"/>
      <c r="BH148" s="45"/>
      <c r="BI148" s="46"/>
      <c r="BJ148" s="45"/>
      <c r="BK148" s="109" t="s">
        <v>916</v>
      </c>
      <c r="BL148" s="109" t="s">
        <v>916</v>
      </c>
      <c r="BM148" s="109" t="s">
        <v>916</v>
      </c>
      <c r="BN148" s="109" t="s">
        <v>916</v>
      </c>
      <c r="BO148" s="2"/>
    </row>
    <row r="149" spans="1:67" ht="15">
      <c r="A149" s="61" t="s">
        <v>346</v>
      </c>
      <c r="B149" s="62"/>
      <c r="C149" s="62"/>
      <c r="D149" s="63">
        <v>80</v>
      </c>
      <c r="E149" s="65"/>
      <c r="F149" s="100" t="str">
        <f>HYPERLINK("https://pbs.twimg.com/profile_images/1177588974753325056/nUQ2fqPB_normal.jpg")</f>
        <v>https://pbs.twimg.com/profile_images/1177588974753325056/nUQ2fqPB_normal.jpg</v>
      </c>
      <c r="G149" s="62"/>
      <c r="H149" s="66" t="s">
        <v>346</v>
      </c>
      <c r="I149" s="67"/>
      <c r="J149" s="67"/>
      <c r="K149" s="66" t="s">
        <v>346</v>
      </c>
      <c r="L149" s="70">
        <v>1</v>
      </c>
      <c r="M149" s="71">
        <v>3165.990966796875</v>
      </c>
      <c r="N149" s="71">
        <v>2664.86376953125</v>
      </c>
      <c r="O149" s="72"/>
      <c r="P149" s="73"/>
      <c r="Q149" s="73"/>
      <c r="R149" s="86"/>
      <c r="S149" s="45">
        <v>0</v>
      </c>
      <c r="T149" s="45">
        <v>1</v>
      </c>
      <c r="U149" s="46">
        <v>0</v>
      </c>
      <c r="V149" s="46">
        <v>0.0067</v>
      </c>
      <c r="W149" s="46">
        <v>0</v>
      </c>
      <c r="X149" s="46">
        <v>0.004545</v>
      </c>
      <c r="Y149" s="46">
        <v>0</v>
      </c>
      <c r="Z149" s="46">
        <v>0</v>
      </c>
      <c r="AA149" s="68">
        <v>149</v>
      </c>
      <c r="AB149" s="68"/>
      <c r="AC149" s="69"/>
      <c r="AD149" s="76" t="s">
        <v>1132</v>
      </c>
      <c r="AE149" s="85" t="s">
        <v>1306</v>
      </c>
      <c r="AF149" s="76">
        <v>190</v>
      </c>
      <c r="AG149" s="76">
        <v>194</v>
      </c>
      <c r="AH149" s="76">
        <v>33337</v>
      </c>
      <c r="AI149" s="76">
        <v>31</v>
      </c>
      <c r="AJ149" s="76"/>
      <c r="AK149" s="76"/>
      <c r="AL149" s="76" t="s">
        <v>1619</v>
      </c>
      <c r="AM149" s="76"/>
      <c r="AN149" s="76"/>
      <c r="AO149" s="78">
        <v>43120.75728009259</v>
      </c>
      <c r="AP149" s="82" t="str">
        <f>HYPERLINK("https://pbs.twimg.com/profile_banners/954778170980528129/1516472253")</f>
        <v>https://pbs.twimg.com/profile_banners/954778170980528129/1516472253</v>
      </c>
      <c r="AQ149" s="76" t="b">
        <v>1</v>
      </c>
      <c r="AR149" s="76" t="b">
        <v>0</v>
      </c>
      <c r="AS149" s="76" t="b">
        <v>0</v>
      </c>
      <c r="AT149" s="76"/>
      <c r="AU149" s="76">
        <v>2</v>
      </c>
      <c r="AV149" s="76"/>
      <c r="AW149" s="76" t="b">
        <v>0</v>
      </c>
      <c r="AX149" s="76" t="s">
        <v>1651</v>
      </c>
      <c r="AY149" s="82" t="str">
        <f>HYPERLINK("https://twitter.com/analogique2018")</f>
        <v>https://twitter.com/analogique2018</v>
      </c>
      <c r="AZ149" s="76" t="s">
        <v>66</v>
      </c>
      <c r="BA149" s="76" t="str">
        <f>REPLACE(INDEX(GroupVertices[Group],MATCH(Vertices[[#This Row],[Vertex]],GroupVertices[Vertex],0)),1,1,"")</f>
        <v>17</v>
      </c>
      <c r="BB149" s="45"/>
      <c r="BC149" s="46"/>
      <c r="BD149" s="45"/>
      <c r="BE149" s="46"/>
      <c r="BF149" s="45"/>
      <c r="BG149" s="46"/>
      <c r="BH149" s="45"/>
      <c r="BI149" s="46"/>
      <c r="BJ149" s="45"/>
      <c r="BK149" s="109" t="s">
        <v>916</v>
      </c>
      <c r="BL149" s="109" t="s">
        <v>916</v>
      </c>
      <c r="BM149" s="109" t="s">
        <v>916</v>
      </c>
      <c r="BN149" s="109" t="s">
        <v>916</v>
      </c>
      <c r="BO149" s="2"/>
    </row>
    <row r="150" spans="1:67" ht="15">
      <c r="A150" s="61" t="s">
        <v>347</v>
      </c>
      <c r="B150" s="62"/>
      <c r="C150" s="62"/>
      <c r="D150" s="63">
        <v>80</v>
      </c>
      <c r="E150" s="65"/>
      <c r="F150" s="100" t="str">
        <f>HYPERLINK("https://pbs.twimg.com/profile_images/1218779685355524096/ZU0vGsik_normal.jpg")</f>
        <v>https://pbs.twimg.com/profile_images/1218779685355524096/ZU0vGsik_normal.jpg</v>
      </c>
      <c r="G150" s="62"/>
      <c r="H150" s="66" t="s">
        <v>347</v>
      </c>
      <c r="I150" s="67"/>
      <c r="J150" s="67"/>
      <c r="K150" s="66" t="s">
        <v>347</v>
      </c>
      <c r="L150" s="70">
        <v>1</v>
      </c>
      <c r="M150" s="71">
        <v>5463.8046875</v>
      </c>
      <c r="N150" s="71">
        <v>2696.05224609375</v>
      </c>
      <c r="O150" s="72"/>
      <c r="P150" s="73"/>
      <c r="Q150" s="73"/>
      <c r="R150" s="86"/>
      <c r="S150" s="45">
        <v>0</v>
      </c>
      <c r="T150" s="45">
        <v>1</v>
      </c>
      <c r="U150" s="46">
        <v>0</v>
      </c>
      <c r="V150" s="46">
        <v>0.009045</v>
      </c>
      <c r="W150" s="46">
        <v>0</v>
      </c>
      <c r="X150" s="46">
        <v>0.004494</v>
      </c>
      <c r="Y150" s="46">
        <v>0</v>
      </c>
      <c r="Z150" s="46">
        <v>0</v>
      </c>
      <c r="AA150" s="68">
        <v>150</v>
      </c>
      <c r="AB150" s="68"/>
      <c r="AC150" s="69"/>
      <c r="AD150" s="76" t="s">
        <v>1133</v>
      </c>
      <c r="AE150" s="85" t="s">
        <v>1307</v>
      </c>
      <c r="AF150" s="76">
        <v>13388</v>
      </c>
      <c r="AG150" s="76">
        <v>13064</v>
      </c>
      <c r="AH150" s="76">
        <v>703139</v>
      </c>
      <c r="AI150" s="76">
        <v>339051</v>
      </c>
      <c r="AJ150" s="76"/>
      <c r="AK150" s="76" t="s">
        <v>1488</v>
      </c>
      <c r="AL150" s="76" t="s">
        <v>1620</v>
      </c>
      <c r="AM150" s="76"/>
      <c r="AN150" s="76"/>
      <c r="AO150" s="78">
        <v>40101.70349537037</v>
      </c>
      <c r="AP150" s="82" t="str">
        <f>HYPERLINK("https://pbs.twimg.com/profile_banners/82659605/1453391355")</f>
        <v>https://pbs.twimg.com/profile_banners/82659605/1453391355</v>
      </c>
      <c r="AQ150" s="76" t="b">
        <v>0</v>
      </c>
      <c r="AR150" s="76" t="b">
        <v>0</v>
      </c>
      <c r="AS150" s="76" t="b">
        <v>1</v>
      </c>
      <c r="AT150" s="76"/>
      <c r="AU150" s="76">
        <v>106</v>
      </c>
      <c r="AV150" s="82" t="str">
        <f>HYPERLINK("https://abs.twimg.com/images/themes/theme8/bg.gif")</f>
        <v>https://abs.twimg.com/images/themes/theme8/bg.gif</v>
      </c>
      <c r="AW150" s="76" t="b">
        <v>0</v>
      </c>
      <c r="AX150" s="76" t="s">
        <v>1651</v>
      </c>
      <c r="AY150" s="82" t="str">
        <f>HYPERLINK("https://twitter.com/ishagshafeeg")</f>
        <v>https://twitter.com/ishagshafeeg</v>
      </c>
      <c r="AZ150" s="76" t="s">
        <v>66</v>
      </c>
      <c r="BA150" s="76" t="str">
        <f>REPLACE(INDEX(GroupVertices[Group],MATCH(Vertices[[#This Row],[Vertex]],GroupVertices[Vertex],0)),1,1,"")</f>
        <v>9</v>
      </c>
      <c r="BB150" s="45"/>
      <c r="BC150" s="46"/>
      <c r="BD150" s="45"/>
      <c r="BE150" s="46"/>
      <c r="BF150" s="45"/>
      <c r="BG150" s="46"/>
      <c r="BH150" s="45"/>
      <c r="BI150" s="46"/>
      <c r="BJ150" s="45"/>
      <c r="BK150" s="109" t="s">
        <v>916</v>
      </c>
      <c r="BL150" s="109" t="s">
        <v>916</v>
      </c>
      <c r="BM150" s="109" t="s">
        <v>916</v>
      </c>
      <c r="BN150" s="109" t="s">
        <v>916</v>
      </c>
      <c r="BO150" s="2"/>
    </row>
    <row r="151" spans="1:67" ht="15">
      <c r="A151" s="61" t="s">
        <v>348</v>
      </c>
      <c r="B151" s="62"/>
      <c r="C151" s="62"/>
      <c r="D151" s="63">
        <v>80</v>
      </c>
      <c r="E151" s="65"/>
      <c r="F151" s="100" t="str">
        <f>HYPERLINK("https://pbs.twimg.com/profile_images/1039502206586834944/uTRvEL1q_normal.jpg")</f>
        <v>https://pbs.twimg.com/profile_images/1039502206586834944/uTRvEL1q_normal.jpg</v>
      </c>
      <c r="G151" s="62"/>
      <c r="H151" s="66" t="s">
        <v>348</v>
      </c>
      <c r="I151" s="67"/>
      <c r="J151" s="67"/>
      <c r="K151" s="66" t="s">
        <v>348</v>
      </c>
      <c r="L151" s="70">
        <v>1</v>
      </c>
      <c r="M151" s="71">
        <v>4224.15576171875</v>
      </c>
      <c r="N151" s="71">
        <v>2727.291748046875</v>
      </c>
      <c r="O151" s="72"/>
      <c r="P151" s="73"/>
      <c r="Q151" s="73"/>
      <c r="R151" s="86"/>
      <c r="S151" s="45">
        <v>1</v>
      </c>
      <c r="T151" s="45">
        <v>1</v>
      </c>
      <c r="U151" s="46">
        <v>0</v>
      </c>
      <c r="V151" s="46">
        <v>0</v>
      </c>
      <c r="W151" s="46">
        <v>0</v>
      </c>
      <c r="X151" s="46">
        <v>0.005</v>
      </c>
      <c r="Y151" s="46">
        <v>0</v>
      </c>
      <c r="Z151" s="46">
        <v>0</v>
      </c>
      <c r="AA151" s="68">
        <v>151</v>
      </c>
      <c r="AB151" s="68"/>
      <c r="AC151" s="69"/>
      <c r="AD151" s="76" t="s">
        <v>1134</v>
      </c>
      <c r="AE151" s="85" t="s">
        <v>1308</v>
      </c>
      <c r="AF151" s="76">
        <v>6088</v>
      </c>
      <c r="AG151" s="76">
        <v>6067</v>
      </c>
      <c r="AH151" s="76">
        <v>14713</v>
      </c>
      <c r="AI151" s="76">
        <v>5791</v>
      </c>
      <c r="AJ151" s="76"/>
      <c r="AK151" s="76" t="s">
        <v>1489</v>
      </c>
      <c r="AL151" s="76" t="s">
        <v>1621</v>
      </c>
      <c r="AM151" s="82" t="str">
        <f>HYPERLINK("https://t.co/eizmRCxg2n")</f>
        <v>https://t.co/eizmRCxg2n</v>
      </c>
      <c r="AN151" s="76"/>
      <c r="AO151" s="78">
        <v>39619.53605324074</v>
      </c>
      <c r="AP151" s="82" t="str">
        <f>HYPERLINK("https://pbs.twimg.com/profile_banners/15179383/1636103539")</f>
        <v>https://pbs.twimg.com/profile_banners/15179383/1636103539</v>
      </c>
      <c r="AQ151" s="76" t="b">
        <v>1</v>
      </c>
      <c r="AR151" s="76" t="b">
        <v>0</v>
      </c>
      <c r="AS151" s="76" t="b">
        <v>1</v>
      </c>
      <c r="AT151" s="76"/>
      <c r="AU151" s="76">
        <v>0</v>
      </c>
      <c r="AV151" s="82" t="str">
        <f>HYPERLINK("https://abs.twimg.com/images/themes/theme1/bg.png")</f>
        <v>https://abs.twimg.com/images/themes/theme1/bg.png</v>
      </c>
      <c r="AW151" s="76" t="b">
        <v>0</v>
      </c>
      <c r="AX151" s="76" t="s">
        <v>1651</v>
      </c>
      <c r="AY151" s="82" t="str">
        <f>HYPERLINK("https://twitter.com/neilcanham")</f>
        <v>https://twitter.com/neilcanham</v>
      </c>
      <c r="AZ151" s="76" t="s">
        <v>66</v>
      </c>
      <c r="BA151" s="76" t="str">
        <f>REPLACE(INDEX(GroupVertices[Group],MATCH(Vertices[[#This Row],[Vertex]],GroupVertices[Vertex],0)),1,1,"")</f>
        <v>57</v>
      </c>
      <c r="BB151" s="45"/>
      <c r="BC151" s="46"/>
      <c r="BD151" s="45"/>
      <c r="BE151" s="46"/>
      <c r="BF151" s="45"/>
      <c r="BG151" s="46"/>
      <c r="BH151" s="45"/>
      <c r="BI151" s="46"/>
      <c r="BJ151" s="45"/>
      <c r="BK151" s="109" t="s">
        <v>916</v>
      </c>
      <c r="BL151" s="109" t="s">
        <v>916</v>
      </c>
      <c r="BM151" s="109" t="s">
        <v>916</v>
      </c>
      <c r="BN151" s="109" t="s">
        <v>916</v>
      </c>
      <c r="BO151" s="2"/>
    </row>
    <row r="152" spans="1:67" ht="15">
      <c r="A152" s="61" t="s">
        <v>350</v>
      </c>
      <c r="B152" s="62"/>
      <c r="C152" s="62"/>
      <c r="D152" s="63">
        <v>80</v>
      </c>
      <c r="E152" s="65"/>
      <c r="F152" s="100" t="str">
        <f>HYPERLINK("https://pbs.twimg.com/profile_images/1609916008197668865/dq_eOEOk_normal.jpg")</f>
        <v>https://pbs.twimg.com/profile_images/1609916008197668865/dq_eOEOk_normal.jpg</v>
      </c>
      <c r="G152" s="62"/>
      <c r="H152" s="66" t="s">
        <v>350</v>
      </c>
      <c r="I152" s="67"/>
      <c r="J152" s="67"/>
      <c r="K152" s="66" t="s">
        <v>350</v>
      </c>
      <c r="L152" s="70">
        <v>1</v>
      </c>
      <c r="M152" s="71">
        <v>4435.3837890625</v>
      </c>
      <c r="N152" s="71">
        <v>2774.91455078125</v>
      </c>
      <c r="O152" s="72"/>
      <c r="P152" s="73"/>
      <c r="Q152" s="73"/>
      <c r="R152" s="86"/>
      <c r="S152" s="45">
        <v>0</v>
      </c>
      <c r="T152" s="45">
        <v>1</v>
      </c>
      <c r="U152" s="46">
        <v>0</v>
      </c>
      <c r="V152" s="46">
        <v>0.009045</v>
      </c>
      <c r="W152" s="46">
        <v>0</v>
      </c>
      <c r="X152" s="46">
        <v>0.004494</v>
      </c>
      <c r="Y152" s="46">
        <v>0</v>
      </c>
      <c r="Z152" s="46">
        <v>0</v>
      </c>
      <c r="AA152" s="68">
        <v>152</v>
      </c>
      <c r="AB152" s="68"/>
      <c r="AC152" s="69"/>
      <c r="AD152" s="76" t="s">
        <v>1135</v>
      </c>
      <c r="AE152" s="85" t="s">
        <v>1309</v>
      </c>
      <c r="AF152" s="76">
        <v>976</v>
      </c>
      <c r="AG152" s="76">
        <v>131235</v>
      </c>
      <c r="AH152" s="76">
        <v>43458</v>
      </c>
      <c r="AI152" s="76">
        <v>5770</v>
      </c>
      <c r="AJ152" s="76"/>
      <c r="AK152" s="76" t="s">
        <v>1490</v>
      </c>
      <c r="AL152" s="76" t="s">
        <v>1622</v>
      </c>
      <c r="AM152" s="82" t="str">
        <f>HYPERLINK("https://t.co/xSbtUkHq34")</f>
        <v>https://t.co/xSbtUkHq34</v>
      </c>
      <c r="AN152" s="76"/>
      <c r="AO152" s="78">
        <v>41364.8096875</v>
      </c>
      <c r="AP152" s="82" t="str">
        <f>HYPERLINK("https://pbs.twimg.com/profile_banners/1318985240/1667935586")</f>
        <v>https://pbs.twimg.com/profile_banners/1318985240/1667935586</v>
      </c>
      <c r="AQ152" s="76" t="b">
        <v>0</v>
      </c>
      <c r="AR152" s="76" t="b">
        <v>0</v>
      </c>
      <c r="AS152" s="76" t="b">
        <v>1</v>
      </c>
      <c r="AT152" s="76"/>
      <c r="AU152" s="76">
        <v>2077</v>
      </c>
      <c r="AV152" s="82" t="str">
        <f>HYPERLINK("https://abs.twimg.com/images/themes/theme1/bg.png")</f>
        <v>https://abs.twimg.com/images/themes/theme1/bg.png</v>
      </c>
      <c r="AW152" s="76" t="b">
        <v>0</v>
      </c>
      <c r="AX152" s="76" t="s">
        <v>1651</v>
      </c>
      <c r="AY152" s="82" t="str">
        <f>HYPERLINK("https://twitter.com/datasciencedojo")</f>
        <v>https://twitter.com/datasciencedojo</v>
      </c>
      <c r="AZ152" s="76" t="s">
        <v>66</v>
      </c>
      <c r="BA152" s="76" t="str">
        <f>REPLACE(INDEX(GroupVertices[Group],MATCH(Vertices[[#This Row],[Vertex]],GroupVertices[Vertex],0)),1,1,"")</f>
        <v>9</v>
      </c>
      <c r="BB152" s="45"/>
      <c r="BC152" s="46"/>
      <c r="BD152" s="45"/>
      <c r="BE152" s="46"/>
      <c r="BF152" s="45"/>
      <c r="BG152" s="46"/>
      <c r="BH152" s="45"/>
      <c r="BI152" s="46"/>
      <c r="BJ152" s="45"/>
      <c r="BK152" s="109" t="s">
        <v>916</v>
      </c>
      <c r="BL152" s="109" t="s">
        <v>916</v>
      </c>
      <c r="BM152" s="109" t="s">
        <v>916</v>
      </c>
      <c r="BN152" s="109" t="s">
        <v>916</v>
      </c>
      <c r="BO152" s="2"/>
    </row>
    <row r="153" spans="1:67" ht="15">
      <c r="A153" s="61" t="s">
        <v>351</v>
      </c>
      <c r="B153" s="62"/>
      <c r="C153" s="62"/>
      <c r="D153" s="63">
        <v>80</v>
      </c>
      <c r="E153" s="65"/>
      <c r="F153" s="100" t="str">
        <f>HYPERLINK("https://pbs.twimg.com/profile_images/1301177347203162112/C0NASV40_normal.jpg")</f>
        <v>https://pbs.twimg.com/profile_images/1301177347203162112/C0NASV40_normal.jpg</v>
      </c>
      <c r="G153" s="62"/>
      <c r="H153" s="66" t="s">
        <v>351</v>
      </c>
      <c r="I153" s="67"/>
      <c r="J153" s="67"/>
      <c r="K153" s="66" t="s">
        <v>351</v>
      </c>
      <c r="L153" s="70">
        <v>1</v>
      </c>
      <c r="M153" s="71">
        <v>4201.72021484375</v>
      </c>
      <c r="N153" s="71">
        <v>2776.1650390625</v>
      </c>
      <c r="O153" s="72"/>
      <c r="P153" s="73"/>
      <c r="Q153" s="73"/>
      <c r="R153" s="86"/>
      <c r="S153" s="45">
        <v>2</v>
      </c>
      <c r="T153" s="45">
        <v>1</v>
      </c>
      <c r="U153" s="46">
        <v>0</v>
      </c>
      <c r="V153" s="46">
        <v>0.005025</v>
      </c>
      <c r="W153" s="46">
        <v>0</v>
      </c>
      <c r="X153" s="46">
        <v>0.005349</v>
      </c>
      <c r="Y153" s="46">
        <v>0</v>
      </c>
      <c r="Z153" s="46">
        <v>0</v>
      </c>
      <c r="AA153" s="68">
        <v>153</v>
      </c>
      <c r="AB153" s="68"/>
      <c r="AC153" s="69"/>
      <c r="AD153" s="76" t="s">
        <v>351</v>
      </c>
      <c r="AE153" s="85" t="s">
        <v>1310</v>
      </c>
      <c r="AF153" s="76">
        <v>230</v>
      </c>
      <c r="AG153" s="76">
        <v>36635</v>
      </c>
      <c r="AH153" s="76">
        <v>1011</v>
      </c>
      <c r="AI153" s="76">
        <v>3066</v>
      </c>
      <c r="AJ153" s="76"/>
      <c r="AK153" s="76" t="s">
        <v>1491</v>
      </c>
      <c r="AL153" s="76" t="s">
        <v>1623</v>
      </c>
      <c r="AM153" s="82" t="str">
        <f>HYPERLINK("https://t.co/4tg9dwDh8S")</f>
        <v>https://t.co/4tg9dwDh8S</v>
      </c>
      <c r="AN153" s="76"/>
      <c r="AO153" s="78">
        <v>39968.76788194444</v>
      </c>
      <c r="AP153" s="82" t="str">
        <f>HYPERLINK("https://pbs.twimg.com/profile_banners/44681392/1552710529")</f>
        <v>https://pbs.twimg.com/profile_banners/44681392/1552710529</v>
      </c>
      <c r="AQ153" s="76" t="b">
        <v>0</v>
      </c>
      <c r="AR153" s="76" t="b">
        <v>0</v>
      </c>
      <c r="AS153" s="76" t="b">
        <v>1</v>
      </c>
      <c r="AT153" s="76"/>
      <c r="AU153" s="76">
        <v>72</v>
      </c>
      <c r="AV153" s="82" t="str">
        <f>HYPERLINK("https://abs.twimg.com/images/themes/theme5/bg.gif")</f>
        <v>https://abs.twimg.com/images/themes/theme5/bg.gif</v>
      </c>
      <c r="AW153" s="76" t="b">
        <v>0</v>
      </c>
      <c r="AX153" s="76" t="s">
        <v>1651</v>
      </c>
      <c r="AY153" s="82" t="str">
        <f>HYPERLINK("https://twitter.com/kooshiar")</f>
        <v>https://twitter.com/kooshiar</v>
      </c>
      <c r="AZ153" s="76" t="s">
        <v>66</v>
      </c>
      <c r="BA153" s="76" t="str">
        <f>REPLACE(INDEX(GroupVertices[Group],MATCH(Vertices[[#This Row],[Vertex]],GroupVertices[Vertex],0)),1,1,"")</f>
        <v>30</v>
      </c>
      <c r="BB153" s="45"/>
      <c r="BC153" s="46"/>
      <c r="BD153" s="45"/>
      <c r="BE153" s="46"/>
      <c r="BF153" s="45"/>
      <c r="BG153" s="46"/>
      <c r="BH153" s="45"/>
      <c r="BI153" s="46"/>
      <c r="BJ153" s="45"/>
      <c r="BK153" s="109" t="s">
        <v>916</v>
      </c>
      <c r="BL153" s="109" t="s">
        <v>916</v>
      </c>
      <c r="BM153" s="109" t="s">
        <v>916</v>
      </c>
      <c r="BN153" s="109" t="s">
        <v>916</v>
      </c>
      <c r="BO153" s="2"/>
    </row>
    <row r="154" spans="1:67" ht="15">
      <c r="A154" s="61" t="s">
        <v>352</v>
      </c>
      <c r="B154" s="62"/>
      <c r="C154" s="62"/>
      <c r="D154" s="63">
        <v>80</v>
      </c>
      <c r="E154" s="65"/>
      <c r="F154" s="100" t="str">
        <f>HYPERLINK("https://pbs.twimg.com/profile_images/1573971098324148227/W_IWmZZG_normal.jpg")</f>
        <v>https://pbs.twimg.com/profile_images/1573971098324148227/W_IWmZZG_normal.jpg</v>
      </c>
      <c r="G154" s="62"/>
      <c r="H154" s="66" t="s">
        <v>352</v>
      </c>
      <c r="I154" s="67"/>
      <c r="J154" s="67"/>
      <c r="K154" s="66" t="s">
        <v>352</v>
      </c>
      <c r="L154" s="70">
        <v>1</v>
      </c>
      <c r="M154" s="71">
        <v>3040.204345703125</v>
      </c>
      <c r="N154" s="71">
        <v>3282.6806640625</v>
      </c>
      <c r="O154" s="72"/>
      <c r="P154" s="73"/>
      <c r="Q154" s="73"/>
      <c r="R154" s="86"/>
      <c r="S154" s="45">
        <v>0</v>
      </c>
      <c r="T154" s="45">
        <v>1</v>
      </c>
      <c r="U154" s="46">
        <v>0</v>
      </c>
      <c r="V154" s="46">
        <v>0.005025</v>
      </c>
      <c r="W154" s="46">
        <v>0</v>
      </c>
      <c r="X154" s="46">
        <v>0.004651</v>
      </c>
      <c r="Y154" s="46">
        <v>0</v>
      </c>
      <c r="Z154" s="46">
        <v>0</v>
      </c>
      <c r="AA154" s="68">
        <v>154</v>
      </c>
      <c r="AB154" s="68"/>
      <c r="AC154" s="69"/>
      <c r="AD154" s="76" t="s">
        <v>1136</v>
      </c>
      <c r="AE154" s="85" t="s">
        <v>1311</v>
      </c>
      <c r="AF154" s="76">
        <v>406</v>
      </c>
      <c r="AG154" s="76">
        <v>354</v>
      </c>
      <c r="AH154" s="76">
        <v>6993</v>
      </c>
      <c r="AI154" s="76">
        <v>13596</v>
      </c>
      <c r="AJ154" s="76"/>
      <c r="AK154" s="76" t="s">
        <v>1492</v>
      </c>
      <c r="AL154" s="76"/>
      <c r="AM154" s="82" t="str">
        <f>HYPERLINK("https://t.co/X9kbVkhIRI")</f>
        <v>https://t.co/X9kbVkhIRI</v>
      </c>
      <c r="AN154" s="76"/>
      <c r="AO154" s="78">
        <v>43450.898518518516</v>
      </c>
      <c r="AP154" s="82" t="str">
        <f>HYPERLINK("https://pbs.twimg.com/profile_banners/1074417346851295232/1625385050")</f>
        <v>https://pbs.twimg.com/profile_banners/1074417346851295232/1625385050</v>
      </c>
      <c r="AQ154" s="76" t="b">
        <v>1</v>
      </c>
      <c r="AR154" s="76" t="b">
        <v>0</v>
      </c>
      <c r="AS154" s="76" t="b">
        <v>1</v>
      </c>
      <c r="AT154" s="76"/>
      <c r="AU154" s="76">
        <v>0</v>
      </c>
      <c r="AV154" s="76"/>
      <c r="AW154" s="76" t="b">
        <v>0</v>
      </c>
      <c r="AX154" s="76" t="s">
        <v>1651</v>
      </c>
      <c r="AY154" s="82" t="str">
        <f>HYPERLINK("https://twitter.com/m5563m")</f>
        <v>https://twitter.com/m5563m</v>
      </c>
      <c r="AZ154" s="76" t="s">
        <v>66</v>
      </c>
      <c r="BA154" s="76" t="str">
        <f>REPLACE(INDEX(GroupVertices[Group],MATCH(Vertices[[#This Row],[Vertex]],GroupVertices[Vertex],0)),1,1,"")</f>
        <v>30</v>
      </c>
      <c r="BB154" s="45"/>
      <c r="BC154" s="46"/>
      <c r="BD154" s="45"/>
      <c r="BE154" s="46"/>
      <c r="BF154" s="45"/>
      <c r="BG154" s="46"/>
      <c r="BH154" s="45"/>
      <c r="BI154" s="46"/>
      <c r="BJ154" s="45"/>
      <c r="BK154" s="109" t="s">
        <v>916</v>
      </c>
      <c r="BL154" s="109" t="s">
        <v>916</v>
      </c>
      <c r="BM154" s="109" t="s">
        <v>916</v>
      </c>
      <c r="BN154" s="109" t="s">
        <v>916</v>
      </c>
      <c r="BO154" s="2"/>
    </row>
    <row r="155" spans="1:67" ht="15">
      <c r="A155" s="61" t="s">
        <v>353</v>
      </c>
      <c r="B155" s="62"/>
      <c r="C155" s="62"/>
      <c r="D155" s="63">
        <v>80</v>
      </c>
      <c r="E155" s="65"/>
      <c r="F155" s="100" t="str">
        <f>HYPERLINK("https://pbs.twimg.com/profile_images/1607832531713376257/5lp_1krD_normal.jpg")</f>
        <v>https://pbs.twimg.com/profile_images/1607832531713376257/5lp_1krD_normal.jpg</v>
      </c>
      <c r="G155" s="62"/>
      <c r="H155" s="66" t="s">
        <v>353</v>
      </c>
      <c r="I155" s="67"/>
      <c r="J155" s="67"/>
      <c r="K155" s="66" t="s">
        <v>353</v>
      </c>
      <c r="L155" s="70">
        <v>1</v>
      </c>
      <c r="M155" s="71">
        <v>3167.719970703125</v>
      </c>
      <c r="N155" s="71">
        <v>3311.159912109375</v>
      </c>
      <c r="O155" s="72"/>
      <c r="P155" s="73"/>
      <c r="Q155" s="73"/>
      <c r="R155" s="86"/>
      <c r="S155" s="45">
        <v>0</v>
      </c>
      <c r="T155" s="45">
        <v>1</v>
      </c>
      <c r="U155" s="46">
        <v>0</v>
      </c>
      <c r="V155" s="46">
        <v>0.005025</v>
      </c>
      <c r="W155" s="46">
        <v>0</v>
      </c>
      <c r="X155" s="46">
        <v>0.005</v>
      </c>
      <c r="Y155" s="46">
        <v>0</v>
      </c>
      <c r="Z155" s="46">
        <v>0</v>
      </c>
      <c r="AA155" s="68">
        <v>155</v>
      </c>
      <c r="AB155" s="68"/>
      <c r="AC155" s="69"/>
      <c r="AD155" s="76" t="s">
        <v>1137</v>
      </c>
      <c r="AE155" s="85" t="s">
        <v>1312</v>
      </c>
      <c r="AF155" s="76">
        <v>195</v>
      </c>
      <c r="AG155" s="76">
        <v>13</v>
      </c>
      <c r="AH155" s="76">
        <v>242</v>
      </c>
      <c r="AI155" s="76">
        <v>520</v>
      </c>
      <c r="AJ155" s="76"/>
      <c r="AK155" s="76" t="s">
        <v>1493</v>
      </c>
      <c r="AL155" s="76"/>
      <c r="AM155" s="76"/>
      <c r="AN155" s="76"/>
      <c r="AO155" s="78">
        <v>44911.7022337963</v>
      </c>
      <c r="AP155" s="82" t="str">
        <f>HYPERLINK("https://pbs.twimg.com/profile_banners/1603794851853647875/1672172306")</f>
        <v>https://pbs.twimg.com/profile_banners/1603794851853647875/1672172306</v>
      </c>
      <c r="AQ155" s="76" t="b">
        <v>1</v>
      </c>
      <c r="AR155" s="76" t="b">
        <v>0</v>
      </c>
      <c r="AS155" s="76" t="b">
        <v>0</v>
      </c>
      <c r="AT155" s="76"/>
      <c r="AU155" s="76">
        <v>0</v>
      </c>
      <c r="AV155" s="76"/>
      <c r="AW155" s="76" t="b">
        <v>0</v>
      </c>
      <c r="AX155" s="76" t="s">
        <v>1651</v>
      </c>
      <c r="AY155" s="82" t="str">
        <f>HYPERLINK("https://twitter.com/study_shows")</f>
        <v>https://twitter.com/study_shows</v>
      </c>
      <c r="AZ155" s="76" t="s">
        <v>66</v>
      </c>
      <c r="BA155" s="76" t="str">
        <f>REPLACE(INDEX(GroupVertices[Group],MATCH(Vertices[[#This Row],[Vertex]],GroupVertices[Vertex],0)),1,1,"")</f>
        <v>29</v>
      </c>
      <c r="BB155" s="45"/>
      <c r="BC155" s="46"/>
      <c r="BD155" s="45"/>
      <c r="BE155" s="46"/>
      <c r="BF155" s="45"/>
      <c r="BG155" s="46"/>
      <c r="BH155" s="45"/>
      <c r="BI155" s="46"/>
      <c r="BJ155" s="45"/>
      <c r="BK155" s="109" t="s">
        <v>916</v>
      </c>
      <c r="BL155" s="109" t="s">
        <v>916</v>
      </c>
      <c r="BM155" s="109" t="s">
        <v>916</v>
      </c>
      <c r="BN155" s="109" t="s">
        <v>916</v>
      </c>
      <c r="BO155" s="2"/>
    </row>
    <row r="156" spans="1:67" ht="15">
      <c r="A156" s="61" t="s">
        <v>429</v>
      </c>
      <c r="B156" s="62"/>
      <c r="C156" s="62"/>
      <c r="D156" s="63">
        <v>80</v>
      </c>
      <c r="E156" s="65"/>
      <c r="F156" s="100" t="str">
        <f>HYPERLINK("https://pbs.twimg.com/profile_images/1615301746145869826/14qzJuNq_normal.jpg")</f>
        <v>https://pbs.twimg.com/profile_images/1615301746145869826/14qzJuNq_normal.jpg</v>
      </c>
      <c r="G156" s="62"/>
      <c r="H156" s="66" t="s">
        <v>429</v>
      </c>
      <c r="I156" s="67"/>
      <c r="J156" s="67"/>
      <c r="K156" s="66" t="s">
        <v>429</v>
      </c>
      <c r="L156" s="70">
        <v>1</v>
      </c>
      <c r="M156" s="71">
        <v>4425.05322265625</v>
      </c>
      <c r="N156" s="71">
        <v>3347.863525390625</v>
      </c>
      <c r="O156" s="72"/>
      <c r="P156" s="73"/>
      <c r="Q156" s="73"/>
      <c r="R156" s="86"/>
      <c r="S156" s="45">
        <v>1</v>
      </c>
      <c r="T156" s="45">
        <v>0</v>
      </c>
      <c r="U156" s="46">
        <v>0</v>
      </c>
      <c r="V156" s="46">
        <v>0.005025</v>
      </c>
      <c r="W156" s="46">
        <v>0</v>
      </c>
      <c r="X156" s="46">
        <v>0.005</v>
      </c>
      <c r="Y156" s="46">
        <v>0</v>
      </c>
      <c r="Z156" s="46">
        <v>0</v>
      </c>
      <c r="AA156" s="68">
        <v>156</v>
      </c>
      <c r="AB156" s="68"/>
      <c r="AC156" s="69"/>
      <c r="AD156" s="76" t="s">
        <v>1138</v>
      </c>
      <c r="AE156" s="85" t="s">
        <v>942</v>
      </c>
      <c r="AF156" s="76">
        <v>294</v>
      </c>
      <c r="AG156" s="76">
        <v>76289</v>
      </c>
      <c r="AH156" s="76">
        <v>5401</v>
      </c>
      <c r="AI156" s="76">
        <v>11360</v>
      </c>
      <c r="AJ156" s="76"/>
      <c r="AK156" s="76" t="s">
        <v>1494</v>
      </c>
      <c r="AL156" s="76"/>
      <c r="AM156" s="82" t="str">
        <f>HYPERLINK("https://t.co/FeYIISZZj8")</f>
        <v>https://t.co/FeYIISZZj8</v>
      </c>
      <c r="AN156" s="76"/>
      <c r="AO156" s="78">
        <v>43961.381875</v>
      </c>
      <c r="AP156" s="82" t="str">
        <f>HYPERLINK("https://pbs.twimg.com/profile_banners/1259410284575416321/1670325206")</f>
        <v>https://pbs.twimg.com/profile_banners/1259410284575416321/1670325206</v>
      </c>
      <c r="AQ156" s="76" t="b">
        <v>1</v>
      </c>
      <c r="AR156" s="76" t="b">
        <v>0</v>
      </c>
      <c r="AS156" s="76" t="b">
        <v>0</v>
      </c>
      <c r="AT156" s="76"/>
      <c r="AU156" s="76">
        <v>128</v>
      </c>
      <c r="AV156" s="76"/>
      <c r="AW156" s="76" t="b">
        <v>0</v>
      </c>
      <c r="AX156" s="76" t="s">
        <v>1651</v>
      </c>
      <c r="AY156" s="82" t="str">
        <f>HYPERLINK("https://twitter.com/realcarlvernon")</f>
        <v>https://twitter.com/realcarlvernon</v>
      </c>
      <c r="AZ156" s="76" t="s">
        <v>65</v>
      </c>
      <c r="BA156" s="76" t="str">
        <f>REPLACE(INDEX(GroupVertices[Group],MATCH(Vertices[[#This Row],[Vertex]],GroupVertices[Vertex],0)),1,1,"")</f>
        <v>29</v>
      </c>
      <c r="BB156" s="45"/>
      <c r="BC156" s="46"/>
      <c r="BD156" s="45"/>
      <c r="BE156" s="46"/>
      <c r="BF156" s="45"/>
      <c r="BG156" s="46"/>
      <c r="BH156" s="45"/>
      <c r="BI156" s="46"/>
      <c r="BJ156" s="45"/>
      <c r="BK156" s="45"/>
      <c r="BL156" s="45"/>
      <c r="BM156" s="45"/>
      <c r="BN156" s="45"/>
      <c r="BO156" s="2"/>
    </row>
    <row r="157" spans="1:67" ht="15">
      <c r="A157" s="61" t="s">
        <v>354</v>
      </c>
      <c r="B157" s="62"/>
      <c r="C157" s="62"/>
      <c r="D157" s="63">
        <v>80</v>
      </c>
      <c r="E157" s="65"/>
      <c r="F157" s="100" t="str">
        <f>HYPERLINK("https://pbs.twimg.com/profile_images/1552984824503320577/CnqFBqqJ_normal.jpg")</f>
        <v>https://pbs.twimg.com/profile_images/1552984824503320577/CnqFBqqJ_normal.jpg</v>
      </c>
      <c r="G157" s="62"/>
      <c r="H157" s="66" t="s">
        <v>354</v>
      </c>
      <c r="I157" s="67"/>
      <c r="J157" s="67"/>
      <c r="K157" s="66" t="s">
        <v>354</v>
      </c>
      <c r="L157" s="70">
        <v>1</v>
      </c>
      <c r="M157" s="71">
        <v>4155.83935546875</v>
      </c>
      <c r="N157" s="71">
        <v>2799.800048828125</v>
      </c>
      <c r="O157" s="72"/>
      <c r="P157" s="73"/>
      <c r="Q157" s="73"/>
      <c r="R157" s="86"/>
      <c r="S157" s="45">
        <v>1</v>
      </c>
      <c r="T157" s="45">
        <v>1</v>
      </c>
      <c r="U157" s="46">
        <v>0</v>
      </c>
      <c r="V157" s="46">
        <v>0</v>
      </c>
      <c r="W157" s="46">
        <v>0</v>
      </c>
      <c r="X157" s="46">
        <v>0.005</v>
      </c>
      <c r="Y157" s="46">
        <v>0</v>
      </c>
      <c r="Z157" s="46">
        <v>0</v>
      </c>
      <c r="AA157" s="68">
        <v>157</v>
      </c>
      <c r="AB157" s="68"/>
      <c r="AC157" s="69"/>
      <c r="AD157" s="76" t="s">
        <v>1139</v>
      </c>
      <c r="AE157" s="85" t="s">
        <v>1313</v>
      </c>
      <c r="AF157" s="76">
        <v>759</v>
      </c>
      <c r="AG157" s="76">
        <v>179</v>
      </c>
      <c r="AH157" s="76">
        <v>14602</v>
      </c>
      <c r="AI157" s="76">
        <v>12035</v>
      </c>
      <c r="AJ157" s="76"/>
      <c r="AK157" s="76" t="s">
        <v>1495</v>
      </c>
      <c r="AL157" s="76"/>
      <c r="AM157" s="76"/>
      <c r="AN157" s="76"/>
      <c r="AO157" s="78">
        <v>43949.35298611111</v>
      </c>
      <c r="AP157" s="82" t="str">
        <f>HYPERLINK("https://pbs.twimg.com/profile_banners/1255050884330872838/1647743253")</f>
        <v>https://pbs.twimg.com/profile_banners/1255050884330872838/1647743253</v>
      </c>
      <c r="AQ157" s="76" t="b">
        <v>1</v>
      </c>
      <c r="AR157" s="76" t="b">
        <v>0</v>
      </c>
      <c r="AS157" s="76" t="b">
        <v>0</v>
      </c>
      <c r="AT157" s="76"/>
      <c r="AU157" s="76">
        <v>0</v>
      </c>
      <c r="AV157" s="76"/>
      <c r="AW157" s="76" t="b">
        <v>0</v>
      </c>
      <c r="AX157" s="76" t="s">
        <v>1651</v>
      </c>
      <c r="AY157" s="82" t="str">
        <f>HYPERLINK("https://twitter.com/redeemthenews")</f>
        <v>https://twitter.com/redeemthenews</v>
      </c>
      <c r="AZ157" s="76" t="s">
        <v>66</v>
      </c>
      <c r="BA157" s="76" t="str">
        <f>REPLACE(INDEX(GroupVertices[Group],MATCH(Vertices[[#This Row],[Vertex]],GroupVertices[Vertex],0)),1,1,"")</f>
        <v>56</v>
      </c>
      <c r="BB157" s="45"/>
      <c r="BC157" s="46"/>
      <c r="BD157" s="45"/>
      <c r="BE157" s="46"/>
      <c r="BF157" s="45"/>
      <c r="BG157" s="46"/>
      <c r="BH157" s="45"/>
      <c r="BI157" s="46"/>
      <c r="BJ157" s="45"/>
      <c r="BK157" s="109" t="s">
        <v>916</v>
      </c>
      <c r="BL157" s="109" t="s">
        <v>916</v>
      </c>
      <c r="BM157" s="109" t="s">
        <v>916</v>
      </c>
      <c r="BN157" s="109" t="s">
        <v>916</v>
      </c>
      <c r="BO157" s="2"/>
    </row>
    <row r="158" spans="1:67" ht="15">
      <c r="A158" s="61" t="s">
        <v>355</v>
      </c>
      <c r="B158" s="62"/>
      <c r="C158" s="62"/>
      <c r="D158" s="63">
        <v>80</v>
      </c>
      <c r="E158" s="65"/>
      <c r="F158" s="100" t="str">
        <f>HYPERLINK("https://pbs.twimg.com/profile_images/1617923989430493186/odlkwvjR_normal.jpg")</f>
        <v>https://pbs.twimg.com/profile_images/1617923989430493186/odlkwvjR_normal.jpg</v>
      </c>
      <c r="G158" s="62"/>
      <c r="H158" s="66" t="s">
        <v>355</v>
      </c>
      <c r="I158" s="67"/>
      <c r="J158" s="67"/>
      <c r="K158" s="66" t="s">
        <v>355</v>
      </c>
      <c r="L158" s="70">
        <v>1</v>
      </c>
      <c r="M158" s="71">
        <v>4110.0859375</v>
      </c>
      <c r="N158" s="71">
        <v>2575.683349609375</v>
      </c>
      <c r="O158" s="72"/>
      <c r="P158" s="73"/>
      <c r="Q158" s="73"/>
      <c r="R158" s="86"/>
      <c r="S158" s="45">
        <v>1</v>
      </c>
      <c r="T158" s="45">
        <v>1</v>
      </c>
      <c r="U158" s="46">
        <v>0</v>
      </c>
      <c r="V158" s="46">
        <v>0</v>
      </c>
      <c r="W158" s="46">
        <v>0</v>
      </c>
      <c r="X158" s="46">
        <v>0.005</v>
      </c>
      <c r="Y158" s="46">
        <v>0</v>
      </c>
      <c r="Z158" s="46">
        <v>0</v>
      </c>
      <c r="AA158" s="68">
        <v>158</v>
      </c>
      <c r="AB158" s="68"/>
      <c r="AC158" s="69"/>
      <c r="AD158" s="76" t="s">
        <v>1140</v>
      </c>
      <c r="AE158" s="85" t="s">
        <v>1314</v>
      </c>
      <c r="AF158" s="76">
        <v>422</v>
      </c>
      <c r="AG158" s="76">
        <v>107</v>
      </c>
      <c r="AH158" s="76">
        <v>627</v>
      </c>
      <c r="AI158" s="76">
        <v>1054</v>
      </c>
      <c r="AJ158" s="76"/>
      <c r="AK158" s="76" t="s">
        <v>1496</v>
      </c>
      <c r="AL158" s="76" t="s">
        <v>1624</v>
      </c>
      <c r="AM158" s="82" t="str">
        <f>HYPERLINK("https://t.co/YTQeMX3vrw")</f>
        <v>https://t.co/YTQeMX3vrw</v>
      </c>
      <c r="AN158" s="76"/>
      <c r="AO158" s="78">
        <v>42213.05033564815</v>
      </c>
      <c r="AP158" s="82" t="str">
        <f>HYPERLINK("https://pbs.twimg.com/profile_banners/3391318216/1506631020")</f>
        <v>https://pbs.twimg.com/profile_banners/3391318216/1506631020</v>
      </c>
      <c r="AQ158" s="76" t="b">
        <v>0</v>
      </c>
      <c r="AR158" s="76" t="b">
        <v>0</v>
      </c>
      <c r="AS158" s="76" t="b">
        <v>0</v>
      </c>
      <c r="AT158" s="76"/>
      <c r="AU158" s="76">
        <v>7</v>
      </c>
      <c r="AV158" s="82" t="str">
        <f>HYPERLINK("https://abs.twimg.com/images/themes/theme1/bg.png")</f>
        <v>https://abs.twimg.com/images/themes/theme1/bg.png</v>
      </c>
      <c r="AW158" s="76" t="b">
        <v>0</v>
      </c>
      <c r="AX158" s="76" t="s">
        <v>1651</v>
      </c>
      <c r="AY158" s="82" t="str">
        <f>HYPERLINK("https://twitter.com/lfsmoura")</f>
        <v>https://twitter.com/lfsmoura</v>
      </c>
      <c r="AZ158" s="76" t="s">
        <v>66</v>
      </c>
      <c r="BA158" s="76" t="str">
        <f>REPLACE(INDEX(GroupVertices[Group],MATCH(Vertices[[#This Row],[Vertex]],GroupVertices[Vertex],0)),1,1,"")</f>
        <v>55</v>
      </c>
      <c r="BB158" s="45"/>
      <c r="BC158" s="46"/>
      <c r="BD158" s="45"/>
      <c r="BE158" s="46"/>
      <c r="BF158" s="45"/>
      <c r="BG158" s="46"/>
      <c r="BH158" s="45"/>
      <c r="BI158" s="46"/>
      <c r="BJ158" s="45"/>
      <c r="BK158" s="109" t="s">
        <v>916</v>
      </c>
      <c r="BL158" s="109" t="s">
        <v>916</v>
      </c>
      <c r="BM158" s="109" t="s">
        <v>916</v>
      </c>
      <c r="BN158" s="109" t="s">
        <v>916</v>
      </c>
      <c r="BO158" s="2"/>
    </row>
    <row r="159" spans="1:67" ht="15">
      <c r="A159" s="61" t="s">
        <v>356</v>
      </c>
      <c r="B159" s="62"/>
      <c r="C159" s="62"/>
      <c r="D159" s="63">
        <v>80</v>
      </c>
      <c r="E159" s="65"/>
      <c r="F159" s="100" t="str">
        <f>HYPERLINK("https://pbs.twimg.com/profile_images/1620949227961458688/xUSz7ND6_normal.jpg")</f>
        <v>https://pbs.twimg.com/profile_images/1620949227961458688/xUSz7ND6_normal.jpg</v>
      </c>
      <c r="G159" s="62"/>
      <c r="H159" s="66" t="s">
        <v>356</v>
      </c>
      <c r="I159" s="67"/>
      <c r="J159" s="67"/>
      <c r="K159" s="66" t="s">
        <v>356</v>
      </c>
      <c r="L159" s="70">
        <v>1</v>
      </c>
      <c r="M159" s="71">
        <v>4091.643310546875</v>
      </c>
      <c r="N159" s="71">
        <v>2697.748779296875</v>
      </c>
      <c r="O159" s="72"/>
      <c r="P159" s="73"/>
      <c r="Q159" s="73"/>
      <c r="R159" s="86"/>
      <c r="S159" s="45">
        <v>1</v>
      </c>
      <c r="T159" s="45">
        <v>1</v>
      </c>
      <c r="U159" s="46">
        <v>0</v>
      </c>
      <c r="V159" s="46">
        <v>0</v>
      </c>
      <c r="W159" s="46">
        <v>0</v>
      </c>
      <c r="X159" s="46">
        <v>0.005</v>
      </c>
      <c r="Y159" s="46">
        <v>0</v>
      </c>
      <c r="Z159" s="46">
        <v>0</v>
      </c>
      <c r="AA159" s="68">
        <v>159</v>
      </c>
      <c r="AB159" s="68"/>
      <c r="AC159" s="69"/>
      <c r="AD159" s="76" t="s">
        <v>1141</v>
      </c>
      <c r="AE159" s="85" t="s">
        <v>1315</v>
      </c>
      <c r="AF159" s="76">
        <v>108</v>
      </c>
      <c r="AG159" s="76">
        <v>22</v>
      </c>
      <c r="AH159" s="76">
        <v>375</v>
      </c>
      <c r="AI159" s="76">
        <v>177</v>
      </c>
      <c r="AJ159" s="76"/>
      <c r="AK159" s="76" t="s">
        <v>1497</v>
      </c>
      <c r="AL159" s="76" t="s">
        <v>1625</v>
      </c>
      <c r="AM159" s="82" t="str">
        <f>HYPERLINK("https://t.co/9he8JYdOLi")</f>
        <v>https://t.co/9he8JYdOLi</v>
      </c>
      <c r="AN159" s="76"/>
      <c r="AO159" s="78">
        <v>44522.62633101852</v>
      </c>
      <c r="AP159" s="82" t="str">
        <f>HYPERLINK("https://pbs.twimg.com/profile_banners/1462798464740438016/1675299436")</f>
        <v>https://pbs.twimg.com/profile_banners/1462798464740438016/1675299436</v>
      </c>
      <c r="AQ159" s="76" t="b">
        <v>1</v>
      </c>
      <c r="AR159" s="76" t="b">
        <v>0</v>
      </c>
      <c r="AS159" s="76" t="b">
        <v>0</v>
      </c>
      <c r="AT159" s="76"/>
      <c r="AU159" s="76">
        <v>0</v>
      </c>
      <c r="AV159" s="76"/>
      <c r="AW159" s="76" t="b">
        <v>0</v>
      </c>
      <c r="AX159" s="76" t="s">
        <v>1651</v>
      </c>
      <c r="AY159" s="82" t="str">
        <f>HYPERLINK("https://twitter.com/theaustindixon")</f>
        <v>https://twitter.com/theaustindixon</v>
      </c>
      <c r="AZ159" s="76" t="s">
        <v>66</v>
      </c>
      <c r="BA159" s="76" t="str">
        <f>REPLACE(INDEX(GroupVertices[Group],MATCH(Vertices[[#This Row],[Vertex]],GroupVertices[Vertex],0)),1,1,"")</f>
        <v>54</v>
      </c>
      <c r="BB159" s="45"/>
      <c r="BC159" s="46"/>
      <c r="BD159" s="45"/>
      <c r="BE159" s="46"/>
      <c r="BF159" s="45"/>
      <c r="BG159" s="46"/>
      <c r="BH159" s="45"/>
      <c r="BI159" s="46"/>
      <c r="BJ159" s="45"/>
      <c r="BK159" s="109" t="s">
        <v>916</v>
      </c>
      <c r="BL159" s="109" t="s">
        <v>916</v>
      </c>
      <c r="BM159" s="109" t="s">
        <v>916</v>
      </c>
      <c r="BN159" s="109" t="s">
        <v>916</v>
      </c>
      <c r="BO159" s="2"/>
    </row>
    <row r="160" spans="1:67" ht="15">
      <c r="A160" s="61" t="s">
        <v>357</v>
      </c>
      <c r="B160" s="62"/>
      <c r="C160" s="62"/>
      <c r="D160" s="63">
        <v>80</v>
      </c>
      <c r="E160" s="65"/>
      <c r="F160" s="100" t="str">
        <f>HYPERLINK("https://pbs.twimg.com/profile_images/1224880232735350784/xSpV1puf_normal.jpg")</f>
        <v>https://pbs.twimg.com/profile_images/1224880232735350784/xSpV1puf_normal.jpg</v>
      </c>
      <c r="G160" s="62"/>
      <c r="H160" s="66" t="s">
        <v>357</v>
      </c>
      <c r="I160" s="67"/>
      <c r="J160" s="67"/>
      <c r="K160" s="66" t="s">
        <v>357</v>
      </c>
      <c r="L160" s="70">
        <v>1</v>
      </c>
      <c r="M160" s="71">
        <v>4164.5966796875</v>
      </c>
      <c r="N160" s="71">
        <v>2721.392822265625</v>
      </c>
      <c r="O160" s="72"/>
      <c r="P160" s="73"/>
      <c r="Q160" s="73"/>
      <c r="R160" s="86"/>
      <c r="S160" s="45">
        <v>1</v>
      </c>
      <c r="T160" s="45">
        <v>1</v>
      </c>
      <c r="U160" s="46">
        <v>0</v>
      </c>
      <c r="V160" s="46">
        <v>0</v>
      </c>
      <c r="W160" s="46">
        <v>0</v>
      </c>
      <c r="X160" s="46">
        <v>0.005</v>
      </c>
      <c r="Y160" s="46">
        <v>0</v>
      </c>
      <c r="Z160" s="46">
        <v>0</v>
      </c>
      <c r="AA160" s="68">
        <v>160</v>
      </c>
      <c r="AB160" s="68"/>
      <c r="AC160" s="69"/>
      <c r="AD160" s="76" t="s">
        <v>1142</v>
      </c>
      <c r="AE160" s="85" t="s">
        <v>1316</v>
      </c>
      <c r="AF160" s="76">
        <v>1119</v>
      </c>
      <c r="AG160" s="76">
        <v>1420</v>
      </c>
      <c r="AH160" s="76">
        <v>3336</v>
      </c>
      <c r="AI160" s="76">
        <v>2008</v>
      </c>
      <c r="AJ160" s="76"/>
      <c r="AK160" s="76" t="s">
        <v>1498</v>
      </c>
      <c r="AL160" s="76" t="s">
        <v>1626</v>
      </c>
      <c r="AM160" s="82" t="str">
        <f>HYPERLINK("https://t.co/GKIMQmZXE1")</f>
        <v>https://t.co/GKIMQmZXE1</v>
      </c>
      <c r="AN160" s="76"/>
      <c r="AO160" s="78">
        <v>41970.164456018516</v>
      </c>
      <c r="AP160" s="82" t="str">
        <f>HYPERLINK("https://pbs.twimg.com/profile_banners/2894153307/1658498845")</f>
        <v>https://pbs.twimg.com/profile_banners/2894153307/1658498845</v>
      </c>
      <c r="AQ160" s="76" t="b">
        <v>1</v>
      </c>
      <c r="AR160" s="76" t="b">
        <v>0</v>
      </c>
      <c r="AS160" s="76" t="b">
        <v>1</v>
      </c>
      <c r="AT160" s="76"/>
      <c r="AU160" s="76">
        <v>27</v>
      </c>
      <c r="AV160" s="82" t="str">
        <f>HYPERLINK("https://abs.twimg.com/images/themes/theme1/bg.png")</f>
        <v>https://abs.twimg.com/images/themes/theme1/bg.png</v>
      </c>
      <c r="AW160" s="76" t="b">
        <v>0</v>
      </c>
      <c r="AX160" s="76" t="s">
        <v>1651</v>
      </c>
      <c r="AY160" s="82" t="str">
        <f>HYPERLINK("https://twitter.com/thesocialinst")</f>
        <v>https://twitter.com/thesocialinst</v>
      </c>
      <c r="AZ160" s="76" t="s">
        <v>66</v>
      </c>
      <c r="BA160" s="76" t="str">
        <f>REPLACE(INDEX(GroupVertices[Group],MATCH(Vertices[[#This Row],[Vertex]],GroupVertices[Vertex],0)),1,1,"")</f>
        <v>53</v>
      </c>
      <c r="BB160" s="45"/>
      <c r="BC160" s="46"/>
      <c r="BD160" s="45"/>
      <c r="BE160" s="46"/>
      <c r="BF160" s="45"/>
      <c r="BG160" s="46"/>
      <c r="BH160" s="45"/>
      <c r="BI160" s="46"/>
      <c r="BJ160" s="45"/>
      <c r="BK160" s="109" t="s">
        <v>916</v>
      </c>
      <c r="BL160" s="109" t="s">
        <v>916</v>
      </c>
      <c r="BM160" s="109" t="s">
        <v>916</v>
      </c>
      <c r="BN160" s="109" t="s">
        <v>916</v>
      </c>
      <c r="BO160" s="2"/>
    </row>
    <row r="161" spans="1:67" ht="15">
      <c r="A161" s="61" t="s">
        <v>358</v>
      </c>
      <c r="B161" s="62"/>
      <c r="C161" s="62"/>
      <c r="D161" s="63">
        <v>205.45454545454544</v>
      </c>
      <c r="E161" s="65"/>
      <c r="F161" s="100" t="str">
        <f>HYPERLINK("https://pbs.twimg.com/profile_images/1486476636199419911/dpTgsA4q_normal.jpg")</f>
        <v>https://pbs.twimg.com/profile_images/1486476636199419911/dpTgsA4q_normal.jpg</v>
      </c>
      <c r="G161" s="62"/>
      <c r="H161" s="66" t="s">
        <v>358</v>
      </c>
      <c r="I161" s="67"/>
      <c r="J161" s="67"/>
      <c r="K161" s="66" t="s">
        <v>358</v>
      </c>
      <c r="L161" s="70">
        <v>173.3793103448276</v>
      </c>
      <c r="M161" s="71">
        <v>5169.2705078125</v>
      </c>
      <c r="N161" s="71">
        <v>3701.3388671875</v>
      </c>
      <c r="O161" s="72"/>
      <c r="P161" s="73"/>
      <c r="Q161" s="73"/>
      <c r="R161" s="86"/>
      <c r="S161" s="45">
        <v>0</v>
      </c>
      <c r="T161" s="45">
        <v>3</v>
      </c>
      <c r="U161" s="46">
        <v>6</v>
      </c>
      <c r="V161" s="46">
        <v>0.015075</v>
      </c>
      <c r="W161" s="46">
        <v>0</v>
      </c>
      <c r="X161" s="46">
        <v>0.006304</v>
      </c>
      <c r="Y161" s="46">
        <v>0</v>
      </c>
      <c r="Z161" s="46">
        <v>0</v>
      </c>
      <c r="AA161" s="68">
        <v>161</v>
      </c>
      <c r="AB161" s="68"/>
      <c r="AC161" s="69"/>
      <c r="AD161" s="76" t="s">
        <v>1143</v>
      </c>
      <c r="AE161" s="85" t="s">
        <v>1317</v>
      </c>
      <c r="AF161" s="76">
        <v>98</v>
      </c>
      <c r="AG161" s="76">
        <v>332</v>
      </c>
      <c r="AH161" s="76">
        <v>10189</v>
      </c>
      <c r="AI161" s="76">
        <v>3279</v>
      </c>
      <c r="AJ161" s="76"/>
      <c r="AK161" s="76" t="s">
        <v>1499</v>
      </c>
      <c r="AL161" s="76"/>
      <c r="AM161" s="76"/>
      <c r="AN161" s="76"/>
      <c r="AO161" s="78">
        <v>44587.965520833335</v>
      </c>
      <c r="AP161" s="82" t="str">
        <f>HYPERLINK("https://pbs.twimg.com/profile_banners/1486476567718989829/1652713845")</f>
        <v>https://pbs.twimg.com/profile_banners/1486476567718989829/1652713845</v>
      </c>
      <c r="AQ161" s="76" t="b">
        <v>1</v>
      </c>
      <c r="AR161" s="76" t="b">
        <v>0</v>
      </c>
      <c r="AS161" s="76" t="b">
        <v>0</v>
      </c>
      <c r="AT161" s="76"/>
      <c r="AU161" s="76">
        <v>6</v>
      </c>
      <c r="AV161" s="76"/>
      <c r="AW161" s="76" t="b">
        <v>0</v>
      </c>
      <c r="AX161" s="76" t="s">
        <v>1651</v>
      </c>
      <c r="AY161" s="82" t="str">
        <f>HYPERLINK("https://twitter.com/brockwarkentin")</f>
        <v>https://twitter.com/brockwarkentin</v>
      </c>
      <c r="AZ161" s="76" t="s">
        <v>66</v>
      </c>
      <c r="BA161" s="76" t="str">
        <f>REPLACE(INDEX(GroupVertices[Group],MATCH(Vertices[[#This Row],[Vertex]],GroupVertices[Vertex],0)),1,1,"")</f>
        <v>8</v>
      </c>
      <c r="BB161" s="45"/>
      <c r="BC161" s="46"/>
      <c r="BD161" s="45"/>
      <c r="BE161" s="46"/>
      <c r="BF161" s="45"/>
      <c r="BG161" s="46"/>
      <c r="BH161" s="45"/>
      <c r="BI161" s="46"/>
      <c r="BJ161" s="45"/>
      <c r="BK161" s="109" t="s">
        <v>916</v>
      </c>
      <c r="BL161" s="109" t="s">
        <v>916</v>
      </c>
      <c r="BM161" s="109" t="s">
        <v>916</v>
      </c>
      <c r="BN161" s="109" t="s">
        <v>916</v>
      </c>
      <c r="BO161" s="2"/>
    </row>
    <row r="162" spans="1:67" ht="15">
      <c r="A162" s="61" t="s">
        <v>430</v>
      </c>
      <c r="B162" s="62"/>
      <c r="C162" s="62"/>
      <c r="D162" s="63">
        <v>80</v>
      </c>
      <c r="E162" s="65"/>
      <c r="F162" s="100" t="str">
        <f>HYPERLINK("https://pbs.twimg.com/profile_images/1499137065132302337/YVryA06u_normal.jpg")</f>
        <v>https://pbs.twimg.com/profile_images/1499137065132302337/YVryA06u_normal.jpg</v>
      </c>
      <c r="G162" s="62"/>
      <c r="H162" s="66" t="s">
        <v>430</v>
      </c>
      <c r="I162" s="67"/>
      <c r="J162" s="67"/>
      <c r="K162" s="66" t="s">
        <v>430</v>
      </c>
      <c r="L162" s="70">
        <v>1</v>
      </c>
      <c r="M162" s="71">
        <v>4426.447265625</v>
      </c>
      <c r="N162" s="71">
        <v>2487.275146484375</v>
      </c>
      <c r="O162" s="72"/>
      <c r="P162" s="73"/>
      <c r="Q162" s="73"/>
      <c r="R162" s="86"/>
      <c r="S162" s="45">
        <v>1</v>
      </c>
      <c r="T162" s="45">
        <v>0</v>
      </c>
      <c r="U162" s="46">
        <v>0</v>
      </c>
      <c r="V162" s="46">
        <v>0.009045</v>
      </c>
      <c r="W162" s="46">
        <v>0</v>
      </c>
      <c r="X162" s="46">
        <v>0.004565</v>
      </c>
      <c r="Y162" s="46">
        <v>0</v>
      </c>
      <c r="Z162" s="46">
        <v>0</v>
      </c>
      <c r="AA162" s="68">
        <v>162</v>
      </c>
      <c r="AB162" s="68"/>
      <c r="AC162" s="69"/>
      <c r="AD162" s="76" t="s">
        <v>1144</v>
      </c>
      <c r="AE162" s="85" t="s">
        <v>1318</v>
      </c>
      <c r="AF162" s="76">
        <v>429</v>
      </c>
      <c r="AG162" s="76">
        <v>4924</v>
      </c>
      <c r="AH162" s="76">
        <v>1747</v>
      </c>
      <c r="AI162" s="76">
        <v>476</v>
      </c>
      <c r="AJ162" s="76"/>
      <c r="AK162" s="76" t="s">
        <v>1500</v>
      </c>
      <c r="AL162" s="76" t="s">
        <v>1606</v>
      </c>
      <c r="AM162" s="82" t="str">
        <f>HYPERLINK("https://t.co/3wZ2XeZWot")</f>
        <v>https://t.co/3wZ2XeZWot</v>
      </c>
      <c r="AN162" s="76"/>
      <c r="AO162" s="78">
        <v>44581.776238425926</v>
      </c>
      <c r="AP162" s="82" t="str">
        <f>HYPERLINK("https://pbs.twimg.com/profile_banners/1484233530221555713/1646257278")</f>
        <v>https://pbs.twimg.com/profile_banners/1484233530221555713/1646257278</v>
      </c>
      <c r="AQ162" s="76" t="b">
        <v>1</v>
      </c>
      <c r="AR162" s="76" t="b">
        <v>0</v>
      </c>
      <c r="AS162" s="76" t="b">
        <v>0</v>
      </c>
      <c r="AT162" s="76"/>
      <c r="AU162" s="76">
        <v>62</v>
      </c>
      <c r="AV162" s="76"/>
      <c r="AW162" s="76" t="b">
        <v>0</v>
      </c>
      <c r="AX162" s="76" t="s">
        <v>1651</v>
      </c>
      <c r="AY162" s="82" t="str">
        <f>HYPERLINK("https://twitter.com/realpeterlinder")</f>
        <v>https://twitter.com/realpeterlinder</v>
      </c>
      <c r="AZ162" s="76" t="s">
        <v>65</v>
      </c>
      <c r="BA162" s="76" t="str">
        <f>REPLACE(INDEX(GroupVertices[Group],MATCH(Vertices[[#This Row],[Vertex]],GroupVertices[Vertex],0)),1,1,"")</f>
        <v>8</v>
      </c>
      <c r="BB162" s="45"/>
      <c r="BC162" s="46"/>
      <c r="BD162" s="45"/>
      <c r="BE162" s="46"/>
      <c r="BF162" s="45"/>
      <c r="BG162" s="46"/>
      <c r="BH162" s="45"/>
      <c r="BI162" s="46"/>
      <c r="BJ162" s="45"/>
      <c r="BK162" s="45"/>
      <c r="BL162" s="45"/>
      <c r="BM162" s="45"/>
      <c r="BN162" s="45"/>
      <c r="BO162" s="2"/>
    </row>
    <row r="163" spans="1:67" ht="15">
      <c r="A163" s="61" t="s">
        <v>431</v>
      </c>
      <c r="B163" s="62"/>
      <c r="C163" s="62"/>
      <c r="D163" s="63">
        <v>80</v>
      </c>
      <c r="E163" s="65"/>
      <c r="F163" s="100" t="str">
        <f>HYPERLINK("https://pbs.twimg.com/profile_images/1598481412667375617/KwohUS7y_normal.jpg")</f>
        <v>https://pbs.twimg.com/profile_images/1598481412667375617/KwohUS7y_normal.jpg</v>
      </c>
      <c r="G163" s="62"/>
      <c r="H163" s="66" t="s">
        <v>431</v>
      </c>
      <c r="I163" s="67"/>
      <c r="J163" s="67"/>
      <c r="K163" s="66" t="s">
        <v>431</v>
      </c>
      <c r="L163" s="70">
        <v>1</v>
      </c>
      <c r="M163" s="71">
        <v>6542.2275390625</v>
      </c>
      <c r="N163" s="71">
        <v>3631.912841796875</v>
      </c>
      <c r="O163" s="72"/>
      <c r="P163" s="73"/>
      <c r="Q163" s="73"/>
      <c r="R163" s="86"/>
      <c r="S163" s="45">
        <v>1</v>
      </c>
      <c r="T163" s="45">
        <v>0</v>
      </c>
      <c r="U163" s="46">
        <v>0</v>
      </c>
      <c r="V163" s="46">
        <v>0.009045</v>
      </c>
      <c r="W163" s="46">
        <v>0</v>
      </c>
      <c r="X163" s="46">
        <v>0.004565</v>
      </c>
      <c r="Y163" s="46">
        <v>0</v>
      </c>
      <c r="Z163" s="46">
        <v>0</v>
      </c>
      <c r="AA163" s="68">
        <v>163</v>
      </c>
      <c r="AB163" s="68"/>
      <c r="AC163" s="69"/>
      <c r="AD163" s="76" t="s">
        <v>1145</v>
      </c>
      <c r="AE163" s="85" t="s">
        <v>1319</v>
      </c>
      <c r="AF163" s="76">
        <v>261</v>
      </c>
      <c r="AG163" s="76">
        <v>2974</v>
      </c>
      <c r="AH163" s="76">
        <v>4291</v>
      </c>
      <c r="AI163" s="76">
        <v>6012</v>
      </c>
      <c r="AJ163" s="76"/>
      <c r="AK163" s="76" t="s">
        <v>1501</v>
      </c>
      <c r="AL163" s="76"/>
      <c r="AM163" s="82" t="str">
        <f>HYPERLINK("https://t.co/2Es6r09aFl")</f>
        <v>https://t.co/2Es6r09aFl</v>
      </c>
      <c r="AN163" s="76"/>
      <c r="AO163" s="78">
        <v>44056.66923611111</v>
      </c>
      <c r="AP163" s="82" t="str">
        <f>HYPERLINK("https://pbs.twimg.com/profile_banners/1293940948192428034/1638291082")</f>
        <v>https://pbs.twimg.com/profile_banners/1293940948192428034/1638291082</v>
      </c>
      <c r="AQ163" s="76" t="b">
        <v>1</v>
      </c>
      <c r="AR163" s="76" t="b">
        <v>0</v>
      </c>
      <c r="AS163" s="76" t="b">
        <v>0</v>
      </c>
      <c r="AT163" s="76"/>
      <c r="AU163" s="76">
        <v>55</v>
      </c>
      <c r="AV163" s="76"/>
      <c r="AW163" s="76" t="b">
        <v>0</v>
      </c>
      <c r="AX163" s="76" t="s">
        <v>1651</v>
      </c>
      <c r="AY163" s="82" t="str">
        <f>HYPERLINK("https://twitter.com/williamlaceyyyc")</f>
        <v>https://twitter.com/williamlaceyyyc</v>
      </c>
      <c r="AZ163" s="76" t="s">
        <v>65</v>
      </c>
      <c r="BA163" s="76" t="str">
        <f>REPLACE(INDEX(GroupVertices[Group],MATCH(Vertices[[#This Row],[Vertex]],GroupVertices[Vertex],0)),1,1,"")</f>
        <v>8</v>
      </c>
      <c r="BB163" s="45"/>
      <c r="BC163" s="46"/>
      <c r="BD163" s="45"/>
      <c r="BE163" s="46"/>
      <c r="BF163" s="45"/>
      <c r="BG163" s="46"/>
      <c r="BH163" s="45"/>
      <c r="BI163" s="46"/>
      <c r="BJ163" s="45"/>
      <c r="BK163" s="45"/>
      <c r="BL163" s="45"/>
      <c r="BM163" s="45"/>
      <c r="BN163" s="45"/>
      <c r="BO163" s="2"/>
    </row>
    <row r="164" spans="1:67" ht="15">
      <c r="A164" s="61" t="s">
        <v>432</v>
      </c>
      <c r="B164" s="62"/>
      <c r="C164" s="62"/>
      <c r="D164" s="63">
        <v>80</v>
      </c>
      <c r="E164" s="65"/>
      <c r="F164" s="100" t="str">
        <f>HYPERLINK("https://pbs.twimg.com/profile_images/1609430025832628227/axTrDvFE_normal.jpg")</f>
        <v>https://pbs.twimg.com/profile_images/1609430025832628227/axTrDvFE_normal.jpg</v>
      </c>
      <c r="G164" s="62"/>
      <c r="H164" s="66" t="s">
        <v>432</v>
      </c>
      <c r="I164" s="67"/>
      <c r="J164" s="67"/>
      <c r="K164" s="66" t="s">
        <v>432</v>
      </c>
      <c r="L164" s="70">
        <v>1</v>
      </c>
      <c r="M164" s="71">
        <v>4539.3642578125</v>
      </c>
      <c r="N164" s="71">
        <v>4983.11767578125</v>
      </c>
      <c r="O164" s="72"/>
      <c r="P164" s="73"/>
      <c r="Q164" s="73"/>
      <c r="R164" s="86"/>
      <c r="S164" s="45">
        <v>1</v>
      </c>
      <c r="T164" s="45">
        <v>0</v>
      </c>
      <c r="U164" s="46">
        <v>0</v>
      </c>
      <c r="V164" s="46">
        <v>0.009045</v>
      </c>
      <c r="W164" s="46">
        <v>0</v>
      </c>
      <c r="X164" s="46">
        <v>0.004565</v>
      </c>
      <c r="Y164" s="46">
        <v>0</v>
      </c>
      <c r="Z164" s="46">
        <v>0</v>
      </c>
      <c r="AA164" s="68">
        <v>164</v>
      </c>
      <c r="AB164" s="68"/>
      <c r="AC164" s="69"/>
      <c r="AD164" s="76" t="s">
        <v>1146</v>
      </c>
      <c r="AE164" s="85" t="s">
        <v>1320</v>
      </c>
      <c r="AF164" s="76">
        <v>92</v>
      </c>
      <c r="AG164" s="76">
        <v>6284</v>
      </c>
      <c r="AH164" s="76">
        <v>116660</v>
      </c>
      <c r="AI164" s="76">
        <v>118988</v>
      </c>
      <c r="AJ164" s="76"/>
      <c r="AK164" s="76" t="s">
        <v>1502</v>
      </c>
      <c r="AL164" s="76" t="s">
        <v>1627</v>
      </c>
      <c r="AM164" s="82" t="str">
        <f>HYPERLINK("https://t.co/N53F1pwFHJ")</f>
        <v>https://t.co/N53F1pwFHJ</v>
      </c>
      <c r="AN164" s="76"/>
      <c r="AO164" s="78">
        <v>42307.91446759259</v>
      </c>
      <c r="AP164" s="82" t="str">
        <f>HYPERLINK("https://pbs.twimg.com/profile_banners/4072978993/1618924133")</f>
        <v>https://pbs.twimg.com/profile_banners/4072978993/1618924133</v>
      </c>
      <c r="AQ164" s="76" t="b">
        <v>0</v>
      </c>
      <c r="AR164" s="76" t="b">
        <v>0</v>
      </c>
      <c r="AS164" s="76" t="b">
        <v>1</v>
      </c>
      <c r="AT164" s="76"/>
      <c r="AU164" s="76">
        <v>95</v>
      </c>
      <c r="AV164" s="82" t="str">
        <f>HYPERLINK("https://abs.twimg.com/images/themes/theme1/bg.png")</f>
        <v>https://abs.twimg.com/images/themes/theme1/bg.png</v>
      </c>
      <c r="AW164" s="76" t="b">
        <v>0</v>
      </c>
      <c r="AX164" s="76" t="s">
        <v>1651</v>
      </c>
      <c r="AY164" s="82" t="str">
        <f>HYPERLINK("https://twitter.com/sadbillackman")</f>
        <v>https://twitter.com/sadbillackman</v>
      </c>
      <c r="AZ164" s="76" t="s">
        <v>65</v>
      </c>
      <c r="BA164" s="76" t="str">
        <f>REPLACE(INDEX(GroupVertices[Group],MATCH(Vertices[[#This Row],[Vertex]],GroupVertices[Vertex],0)),1,1,"")</f>
        <v>8</v>
      </c>
      <c r="BB164" s="45"/>
      <c r="BC164" s="46"/>
      <c r="BD164" s="45"/>
      <c r="BE164" s="46"/>
      <c r="BF164" s="45"/>
      <c r="BG164" s="46"/>
      <c r="BH164" s="45"/>
      <c r="BI164" s="46"/>
      <c r="BJ164" s="45"/>
      <c r="BK164" s="45"/>
      <c r="BL164" s="45"/>
      <c r="BM164" s="45"/>
      <c r="BN164" s="45"/>
      <c r="BO164" s="2"/>
    </row>
    <row r="165" spans="1:67" ht="15">
      <c r="A165" s="61" t="s">
        <v>359</v>
      </c>
      <c r="B165" s="62"/>
      <c r="C165" s="62"/>
      <c r="D165" s="63">
        <v>80</v>
      </c>
      <c r="E165" s="65"/>
      <c r="F165" s="100" t="str">
        <f>HYPERLINK("https://pbs.twimg.com/profile_images/1289234715170529288/RjCDA4Hn_normal.jpg")</f>
        <v>https://pbs.twimg.com/profile_images/1289234715170529288/RjCDA4Hn_normal.jpg</v>
      </c>
      <c r="G165" s="62"/>
      <c r="H165" s="66" t="s">
        <v>359</v>
      </c>
      <c r="I165" s="67"/>
      <c r="J165" s="67"/>
      <c r="K165" s="66" t="s">
        <v>359</v>
      </c>
      <c r="L165" s="70">
        <v>1</v>
      </c>
      <c r="M165" s="71">
        <v>4182.98193359375</v>
      </c>
      <c r="N165" s="71">
        <v>2670.09423828125</v>
      </c>
      <c r="O165" s="72"/>
      <c r="P165" s="73"/>
      <c r="Q165" s="73"/>
      <c r="R165" s="86"/>
      <c r="S165" s="45">
        <v>1</v>
      </c>
      <c r="T165" s="45">
        <v>1</v>
      </c>
      <c r="U165" s="46">
        <v>0</v>
      </c>
      <c r="V165" s="46">
        <v>0</v>
      </c>
      <c r="W165" s="46">
        <v>0</v>
      </c>
      <c r="X165" s="46">
        <v>0.005</v>
      </c>
      <c r="Y165" s="46">
        <v>0</v>
      </c>
      <c r="Z165" s="46">
        <v>0</v>
      </c>
      <c r="AA165" s="68">
        <v>165</v>
      </c>
      <c r="AB165" s="68"/>
      <c r="AC165" s="69"/>
      <c r="AD165" s="76" t="s">
        <v>1147</v>
      </c>
      <c r="AE165" s="85" t="s">
        <v>1321</v>
      </c>
      <c r="AF165" s="76">
        <v>423</v>
      </c>
      <c r="AG165" s="76">
        <v>223</v>
      </c>
      <c r="AH165" s="76">
        <v>1053</v>
      </c>
      <c r="AI165" s="76">
        <v>2231</v>
      </c>
      <c r="AJ165" s="76"/>
      <c r="AK165" s="76" t="s">
        <v>1503</v>
      </c>
      <c r="AL165" s="76" t="s">
        <v>1628</v>
      </c>
      <c r="AM165" s="82" t="str">
        <f>HYPERLINK("https://t.co/5hezjfUwgx")</f>
        <v>https://t.co/5hezjfUwgx</v>
      </c>
      <c r="AN165" s="76"/>
      <c r="AO165" s="78">
        <v>43913.72746527778</v>
      </c>
      <c r="AP165" s="82" t="str">
        <f>HYPERLINK("https://pbs.twimg.com/profile_banners/1242140860105601036/1612922291")</f>
        <v>https://pbs.twimg.com/profile_banners/1242140860105601036/1612922291</v>
      </c>
      <c r="AQ165" s="76" t="b">
        <v>1</v>
      </c>
      <c r="AR165" s="76" t="b">
        <v>0</v>
      </c>
      <c r="AS165" s="76" t="b">
        <v>0</v>
      </c>
      <c r="AT165" s="76"/>
      <c r="AU165" s="76">
        <v>0</v>
      </c>
      <c r="AV165" s="76"/>
      <c r="AW165" s="76" t="b">
        <v>0</v>
      </c>
      <c r="AX165" s="76" t="s">
        <v>1651</v>
      </c>
      <c r="AY165" s="82" t="str">
        <f>HYPERLINK("https://twitter.com/sheanscienceirl")</f>
        <v>https://twitter.com/sheanscienceirl</v>
      </c>
      <c r="AZ165" s="76" t="s">
        <v>66</v>
      </c>
      <c r="BA165" s="76" t="str">
        <f>REPLACE(INDEX(GroupVertices[Group],MATCH(Vertices[[#This Row],[Vertex]],GroupVertices[Vertex],0)),1,1,"")</f>
        <v>52</v>
      </c>
      <c r="BB165" s="45"/>
      <c r="BC165" s="46"/>
      <c r="BD165" s="45"/>
      <c r="BE165" s="46"/>
      <c r="BF165" s="45"/>
      <c r="BG165" s="46"/>
      <c r="BH165" s="45"/>
      <c r="BI165" s="46"/>
      <c r="BJ165" s="45"/>
      <c r="BK165" s="109" t="s">
        <v>916</v>
      </c>
      <c r="BL165" s="109" t="s">
        <v>916</v>
      </c>
      <c r="BM165" s="109" t="s">
        <v>916</v>
      </c>
      <c r="BN165" s="109" t="s">
        <v>916</v>
      </c>
      <c r="BO165" s="2"/>
    </row>
    <row r="166" spans="1:67" ht="15">
      <c r="A166" s="61" t="s">
        <v>360</v>
      </c>
      <c r="B166" s="62"/>
      <c r="C166" s="62"/>
      <c r="D166" s="63">
        <v>80</v>
      </c>
      <c r="E166" s="65"/>
      <c r="F166" s="100" t="str">
        <f>HYPERLINK("https://pbs.twimg.com/profile_images/1606697226939637762/UBpxUesC_normal.jpg")</f>
        <v>https://pbs.twimg.com/profile_images/1606697226939637762/UBpxUesC_normal.jpg</v>
      </c>
      <c r="G166" s="62"/>
      <c r="H166" s="66" t="s">
        <v>360</v>
      </c>
      <c r="I166" s="67"/>
      <c r="J166" s="67"/>
      <c r="K166" s="66" t="s">
        <v>360</v>
      </c>
      <c r="L166" s="70">
        <v>1</v>
      </c>
      <c r="M166" s="71">
        <v>3060.52587890625</v>
      </c>
      <c r="N166" s="71">
        <v>3401.969482421875</v>
      </c>
      <c r="O166" s="72"/>
      <c r="P166" s="73"/>
      <c r="Q166" s="73"/>
      <c r="R166" s="86"/>
      <c r="S166" s="45">
        <v>0</v>
      </c>
      <c r="T166" s="45">
        <v>1</v>
      </c>
      <c r="U166" s="46">
        <v>0</v>
      </c>
      <c r="V166" s="46">
        <v>0.005025</v>
      </c>
      <c r="W166" s="46">
        <v>0</v>
      </c>
      <c r="X166" s="46">
        <v>0.005</v>
      </c>
      <c r="Y166" s="46">
        <v>0</v>
      </c>
      <c r="Z166" s="46">
        <v>0</v>
      </c>
      <c r="AA166" s="68">
        <v>166</v>
      </c>
      <c r="AB166" s="68"/>
      <c r="AC166" s="69"/>
      <c r="AD166" s="76" t="s">
        <v>1148</v>
      </c>
      <c r="AE166" s="85" t="s">
        <v>1322</v>
      </c>
      <c r="AF166" s="76">
        <v>108</v>
      </c>
      <c r="AG166" s="76">
        <v>16</v>
      </c>
      <c r="AH166" s="76">
        <v>1186</v>
      </c>
      <c r="AI166" s="76">
        <v>67</v>
      </c>
      <c r="AJ166" s="76"/>
      <c r="AK166" s="76" t="s">
        <v>1504</v>
      </c>
      <c r="AL166" s="76" t="s">
        <v>1629</v>
      </c>
      <c r="AM166" s="76"/>
      <c r="AN166" s="76"/>
      <c r="AO166" s="78">
        <v>44893.98510416667</v>
      </c>
      <c r="AP166" s="82" t="str">
        <f>HYPERLINK("https://pbs.twimg.com/profile_banners/1597374320149495808/1671585393")</f>
        <v>https://pbs.twimg.com/profile_banners/1597374320149495808/1671585393</v>
      </c>
      <c r="AQ166" s="76" t="b">
        <v>1</v>
      </c>
      <c r="AR166" s="76" t="b">
        <v>0</v>
      </c>
      <c r="AS166" s="76" t="b">
        <v>0</v>
      </c>
      <c r="AT166" s="76"/>
      <c r="AU166" s="76">
        <v>0</v>
      </c>
      <c r="AV166" s="76"/>
      <c r="AW166" s="76" t="b">
        <v>0</v>
      </c>
      <c r="AX166" s="76" t="s">
        <v>1651</v>
      </c>
      <c r="AY166" s="82" t="str">
        <f>HYPERLINK("https://twitter.com/d36623348")</f>
        <v>https://twitter.com/d36623348</v>
      </c>
      <c r="AZ166" s="76" t="s">
        <v>66</v>
      </c>
      <c r="BA166" s="76" t="str">
        <f>REPLACE(INDEX(GroupVertices[Group],MATCH(Vertices[[#This Row],[Vertex]],GroupVertices[Vertex],0)),1,1,"")</f>
        <v>28</v>
      </c>
      <c r="BB166" s="45"/>
      <c r="BC166" s="46"/>
      <c r="BD166" s="45"/>
      <c r="BE166" s="46"/>
      <c r="BF166" s="45"/>
      <c r="BG166" s="46"/>
      <c r="BH166" s="45"/>
      <c r="BI166" s="46"/>
      <c r="BJ166" s="45"/>
      <c r="BK166" s="109" t="s">
        <v>916</v>
      </c>
      <c r="BL166" s="109" t="s">
        <v>916</v>
      </c>
      <c r="BM166" s="109" t="s">
        <v>916</v>
      </c>
      <c r="BN166" s="109" t="s">
        <v>916</v>
      </c>
      <c r="BO166" s="2"/>
    </row>
    <row r="167" spans="1:67" ht="15">
      <c r="A167" s="61" t="s">
        <v>433</v>
      </c>
      <c r="B167" s="62"/>
      <c r="C167" s="62"/>
      <c r="D167" s="63">
        <v>80</v>
      </c>
      <c r="E167" s="65"/>
      <c r="F167" s="100" t="str">
        <f>HYPERLINK("https://pbs.twimg.com/profile_images/1427292844612595720/RC1YSvuT_normal.jpg")</f>
        <v>https://pbs.twimg.com/profile_images/1427292844612595720/RC1YSvuT_normal.jpg</v>
      </c>
      <c r="G167" s="62"/>
      <c r="H167" s="66" t="s">
        <v>433</v>
      </c>
      <c r="I167" s="67"/>
      <c r="J167" s="67"/>
      <c r="K167" s="66" t="s">
        <v>433</v>
      </c>
      <c r="L167" s="70">
        <v>1</v>
      </c>
      <c r="M167" s="71">
        <v>4177.515625</v>
      </c>
      <c r="N167" s="71">
        <v>2795.114013671875</v>
      </c>
      <c r="O167" s="72"/>
      <c r="P167" s="73"/>
      <c r="Q167" s="73"/>
      <c r="R167" s="86"/>
      <c r="S167" s="45">
        <v>1</v>
      </c>
      <c r="T167" s="45">
        <v>0</v>
      </c>
      <c r="U167" s="46">
        <v>0</v>
      </c>
      <c r="V167" s="46">
        <v>0.005025</v>
      </c>
      <c r="W167" s="46">
        <v>0</v>
      </c>
      <c r="X167" s="46">
        <v>0.005</v>
      </c>
      <c r="Y167" s="46">
        <v>0</v>
      </c>
      <c r="Z167" s="46">
        <v>0</v>
      </c>
      <c r="AA167" s="68">
        <v>167</v>
      </c>
      <c r="AB167" s="68"/>
      <c r="AC167" s="69"/>
      <c r="AD167" s="76" t="s">
        <v>1149</v>
      </c>
      <c r="AE167" s="85" t="s">
        <v>1323</v>
      </c>
      <c r="AF167" s="76">
        <v>1192</v>
      </c>
      <c r="AG167" s="76">
        <v>78631819</v>
      </c>
      <c r="AH167" s="76">
        <v>50960</v>
      </c>
      <c r="AI167" s="76">
        <v>6148</v>
      </c>
      <c r="AJ167" s="76"/>
      <c r="AK167" s="76" t="s">
        <v>1505</v>
      </c>
      <c r="AL167" s="76" t="s">
        <v>1630</v>
      </c>
      <c r="AM167" s="82" t="str">
        <f>HYPERLINK("https://t.co/bUisN3Y1A6")</f>
        <v>https://t.co/bUisN3Y1A6</v>
      </c>
      <c r="AN167" s="76"/>
      <c r="AO167" s="78">
        <v>39399.90539351852</v>
      </c>
      <c r="AP167" s="82" t="str">
        <f>HYPERLINK("https://pbs.twimg.com/profile_banners/10228272/1670547873")</f>
        <v>https://pbs.twimg.com/profile_banners/10228272/1670547873</v>
      </c>
      <c r="AQ167" s="76" t="b">
        <v>0</v>
      </c>
      <c r="AR167" s="76" t="b">
        <v>0</v>
      </c>
      <c r="AS167" s="76" t="b">
        <v>0</v>
      </c>
      <c r="AT167" s="76"/>
      <c r="AU167" s="76">
        <v>80145</v>
      </c>
      <c r="AV167" s="82" t="str">
        <f>HYPERLINK("https://abs.twimg.com/images/themes/theme14/bg.gif")</f>
        <v>https://abs.twimg.com/images/themes/theme14/bg.gif</v>
      </c>
      <c r="AW167" s="76" t="b">
        <v>1</v>
      </c>
      <c r="AX167" s="76" t="s">
        <v>1651</v>
      </c>
      <c r="AY167" s="82" t="str">
        <f>HYPERLINK("https://twitter.com/youtube")</f>
        <v>https://twitter.com/youtube</v>
      </c>
      <c r="AZ167" s="76" t="s">
        <v>65</v>
      </c>
      <c r="BA167" s="76" t="str">
        <f>REPLACE(INDEX(GroupVertices[Group],MATCH(Vertices[[#This Row],[Vertex]],GroupVertices[Vertex],0)),1,1,"")</f>
        <v>28</v>
      </c>
      <c r="BB167" s="45"/>
      <c r="BC167" s="46"/>
      <c r="BD167" s="45"/>
      <c r="BE167" s="46"/>
      <c r="BF167" s="45"/>
      <c r="BG167" s="46"/>
      <c r="BH167" s="45"/>
      <c r="BI167" s="46"/>
      <c r="BJ167" s="45"/>
      <c r="BK167" s="45"/>
      <c r="BL167" s="45"/>
      <c r="BM167" s="45"/>
      <c r="BN167" s="45"/>
      <c r="BO167" s="2"/>
    </row>
    <row r="168" spans="1:67" ht="15">
      <c r="A168" s="61" t="s">
        <v>361</v>
      </c>
      <c r="B168" s="62"/>
      <c r="C168" s="62"/>
      <c r="D168" s="63">
        <v>80</v>
      </c>
      <c r="E168" s="65"/>
      <c r="F168" s="100" t="str">
        <f>HYPERLINK("https://pbs.twimg.com/profile_images/1597286059859185670/fogJpkfg_normal.jpg")</f>
        <v>https://pbs.twimg.com/profile_images/1597286059859185670/fogJpkfg_normal.jpg</v>
      </c>
      <c r="G168" s="62"/>
      <c r="H168" s="66" t="s">
        <v>361</v>
      </c>
      <c r="I168" s="67"/>
      <c r="J168" s="67"/>
      <c r="K168" s="66" t="s">
        <v>361</v>
      </c>
      <c r="L168" s="70">
        <v>1</v>
      </c>
      <c r="M168" s="71">
        <v>4151.23828125</v>
      </c>
      <c r="N168" s="71">
        <v>2921.462646484375</v>
      </c>
      <c r="O168" s="72"/>
      <c r="P168" s="73"/>
      <c r="Q168" s="73"/>
      <c r="R168" s="86"/>
      <c r="S168" s="45">
        <v>2</v>
      </c>
      <c r="T168" s="45">
        <v>1</v>
      </c>
      <c r="U168" s="46">
        <v>0</v>
      </c>
      <c r="V168" s="46">
        <v>0.005025</v>
      </c>
      <c r="W168" s="46">
        <v>0</v>
      </c>
      <c r="X168" s="46">
        <v>0.005349</v>
      </c>
      <c r="Y168" s="46">
        <v>0</v>
      </c>
      <c r="Z168" s="46">
        <v>0</v>
      </c>
      <c r="AA168" s="68">
        <v>168</v>
      </c>
      <c r="AB168" s="68"/>
      <c r="AC168" s="69"/>
      <c r="AD168" s="76" t="s">
        <v>1150</v>
      </c>
      <c r="AE168" s="85" t="s">
        <v>1324</v>
      </c>
      <c r="AF168" s="76">
        <v>3090</v>
      </c>
      <c r="AG168" s="76">
        <v>8223</v>
      </c>
      <c r="AH168" s="76">
        <v>16793</v>
      </c>
      <c r="AI168" s="76">
        <v>24766</v>
      </c>
      <c r="AJ168" s="76"/>
      <c r="AK168" s="76" t="s">
        <v>1506</v>
      </c>
      <c r="AL168" s="76" t="s">
        <v>1631</v>
      </c>
      <c r="AM168" s="82" t="str">
        <f>HYPERLINK("https://t.co/pEv5XMLyCs")</f>
        <v>https://t.co/pEv5XMLyCs</v>
      </c>
      <c r="AN168" s="76"/>
      <c r="AO168" s="78">
        <v>41505.00578703704</v>
      </c>
      <c r="AP168" s="82" t="str">
        <f>HYPERLINK("https://pbs.twimg.com/profile_banners/1681946539/1620868492")</f>
        <v>https://pbs.twimg.com/profile_banners/1681946539/1620868492</v>
      </c>
      <c r="AQ168" s="76" t="b">
        <v>0</v>
      </c>
      <c r="AR168" s="76" t="b">
        <v>0</v>
      </c>
      <c r="AS168" s="76" t="b">
        <v>0</v>
      </c>
      <c r="AT168" s="76"/>
      <c r="AU168" s="76">
        <v>72</v>
      </c>
      <c r="AV168" s="82" t="str">
        <f>HYPERLINK("https://abs.twimg.com/images/themes/theme1/bg.png")</f>
        <v>https://abs.twimg.com/images/themes/theme1/bg.png</v>
      </c>
      <c r="AW168" s="76" t="b">
        <v>0</v>
      </c>
      <c r="AX168" s="76" t="s">
        <v>1651</v>
      </c>
      <c r="AY168" s="82" t="str">
        <f>HYPERLINK("https://twitter.com/menrywy")</f>
        <v>https://twitter.com/menrywy</v>
      </c>
      <c r="AZ168" s="76" t="s">
        <v>66</v>
      </c>
      <c r="BA168" s="76" t="str">
        <f>REPLACE(INDEX(GroupVertices[Group],MATCH(Vertices[[#This Row],[Vertex]],GroupVertices[Vertex],0)),1,1,"")</f>
        <v>27</v>
      </c>
      <c r="BB168" s="45"/>
      <c r="BC168" s="46"/>
      <c r="BD168" s="45"/>
      <c r="BE168" s="46"/>
      <c r="BF168" s="45"/>
      <c r="BG168" s="46"/>
      <c r="BH168" s="45"/>
      <c r="BI168" s="46"/>
      <c r="BJ168" s="45"/>
      <c r="BK168" s="109" t="s">
        <v>916</v>
      </c>
      <c r="BL168" s="109" t="s">
        <v>916</v>
      </c>
      <c r="BM168" s="109" t="s">
        <v>916</v>
      </c>
      <c r="BN168" s="109" t="s">
        <v>916</v>
      </c>
      <c r="BO168" s="2"/>
    </row>
    <row r="169" spans="1:67" ht="15">
      <c r="A169" s="61" t="s">
        <v>362</v>
      </c>
      <c r="B169" s="62"/>
      <c r="C169" s="62"/>
      <c r="D169" s="63">
        <v>80</v>
      </c>
      <c r="E169" s="65"/>
      <c r="F169" s="100" t="str">
        <f>HYPERLINK("https://pbs.twimg.com/profile_images/962401332438106114/huAtQVJ__normal.jpg")</f>
        <v>https://pbs.twimg.com/profile_images/962401332438106114/huAtQVJ__normal.jpg</v>
      </c>
      <c r="G169" s="62"/>
      <c r="H169" s="66" t="s">
        <v>362</v>
      </c>
      <c r="I169" s="67"/>
      <c r="J169" s="67"/>
      <c r="K169" s="66" t="s">
        <v>362</v>
      </c>
      <c r="L169" s="70">
        <v>1</v>
      </c>
      <c r="M169" s="71">
        <v>2897.00390625</v>
      </c>
      <c r="N169" s="71">
        <v>2821.877197265625</v>
      </c>
      <c r="O169" s="72"/>
      <c r="P169" s="73"/>
      <c r="Q169" s="73"/>
      <c r="R169" s="86"/>
      <c r="S169" s="45">
        <v>0</v>
      </c>
      <c r="T169" s="45">
        <v>1</v>
      </c>
      <c r="U169" s="46">
        <v>0</v>
      </c>
      <c r="V169" s="46">
        <v>0.005025</v>
      </c>
      <c r="W169" s="46">
        <v>0</v>
      </c>
      <c r="X169" s="46">
        <v>0.004651</v>
      </c>
      <c r="Y169" s="46">
        <v>0</v>
      </c>
      <c r="Z169" s="46">
        <v>0</v>
      </c>
      <c r="AA169" s="68">
        <v>169</v>
      </c>
      <c r="AB169" s="68"/>
      <c r="AC169" s="69"/>
      <c r="AD169" s="76" t="s">
        <v>1151</v>
      </c>
      <c r="AE169" s="85" t="s">
        <v>1325</v>
      </c>
      <c r="AF169" s="76">
        <v>246</v>
      </c>
      <c r="AG169" s="76">
        <v>839</v>
      </c>
      <c r="AH169" s="76">
        <v>89977</v>
      </c>
      <c r="AI169" s="76">
        <v>151023</v>
      </c>
      <c r="AJ169" s="76"/>
      <c r="AK169" s="76"/>
      <c r="AL169" s="76"/>
      <c r="AM169" s="76"/>
      <c r="AN169" s="76"/>
      <c r="AO169" s="78">
        <v>39913.87630787037</v>
      </c>
      <c r="AP169" s="82" t="str">
        <f>HYPERLINK("https://pbs.twimg.com/profile_banners/30312069/1509340101")</f>
        <v>https://pbs.twimg.com/profile_banners/30312069/1509340101</v>
      </c>
      <c r="AQ169" s="76" t="b">
        <v>0</v>
      </c>
      <c r="AR169" s="76" t="b">
        <v>0</v>
      </c>
      <c r="AS169" s="76" t="b">
        <v>0</v>
      </c>
      <c r="AT169" s="76"/>
      <c r="AU169" s="76">
        <v>18</v>
      </c>
      <c r="AV169" s="82" t="str">
        <f>HYPERLINK("https://abs.twimg.com/images/themes/theme19/bg.gif")</f>
        <v>https://abs.twimg.com/images/themes/theme19/bg.gif</v>
      </c>
      <c r="AW169" s="76" t="b">
        <v>0</v>
      </c>
      <c r="AX169" s="76" t="s">
        <v>1651</v>
      </c>
      <c r="AY169" s="82" t="str">
        <f>HYPERLINK("https://twitter.com/pishypotty")</f>
        <v>https://twitter.com/pishypotty</v>
      </c>
      <c r="AZ169" s="76" t="s">
        <v>66</v>
      </c>
      <c r="BA169" s="76" t="str">
        <f>REPLACE(INDEX(GroupVertices[Group],MATCH(Vertices[[#This Row],[Vertex]],GroupVertices[Vertex],0)),1,1,"")</f>
        <v>27</v>
      </c>
      <c r="BB169" s="45"/>
      <c r="BC169" s="46"/>
      <c r="BD169" s="45"/>
      <c r="BE169" s="46"/>
      <c r="BF169" s="45"/>
      <c r="BG169" s="46"/>
      <c r="BH169" s="45"/>
      <c r="BI169" s="46"/>
      <c r="BJ169" s="45"/>
      <c r="BK169" s="109" t="s">
        <v>916</v>
      </c>
      <c r="BL169" s="109" t="s">
        <v>916</v>
      </c>
      <c r="BM169" s="109" t="s">
        <v>916</v>
      </c>
      <c r="BN169" s="109" t="s">
        <v>916</v>
      </c>
      <c r="BO169" s="2"/>
    </row>
    <row r="170" spans="1:67" ht="15">
      <c r="A170" s="61" t="s">
        <v>363</v>
      </c>
      <c r="B170" s="62"/>
      <c r="C170" s="62"/>
      <c r="D170" s="63">
        <v>80</v>
      </c>
      <c r="E170" s="65"/>
      <c r="F170" s="100" t="str">
        <f>HYPERLINK("https://pbs.twimg.com/profile_images/1589257086281650176/1PpG0Yim_normal.jpg")</f>
        <v>https://pbs.twimg.com/profile_images/1589257086281650176/1PpG0Yim_normal.jpg</v>
      </c>
      <c r="G170" s="62"/>
      <c r="H170" s="66" t="s">
        <v>363</v>
      </c>
      <c r="I170" s="67"/>
      <c r="J170" s="67"/>
      <c r="K170" s="66" t="s">
        <v>363</v>
      </c>
      <c r="L170" s="70">
        <v>1</v>
      </c>
      <c r="M170" s="71">
        <v>4259.6875</v>
      </c>
      <c r="N170" s="71">
        <v>2694.7783203125</v>
      </c>
      <c r="O170" s="72"/>
      <c r="P170" s="73"/>
      <c r="Q170" s="73"/>
      <c r="R170" s="86"/>
      <c r="S170" s="45">
        <v>1</v>
      </c>
      <c r="T170" s="45">
        <v>1</v>
      </c>
      <c r="U170" s="46">
        <v>0</v>
      </c>
      <c r="V170" s="46">
        <v>0</v>
      </c>
      <c r="W170" s="46">
        <v>0</v>
      </c>
      <c r="X170" s="46">
        <v>0.005</v>
      </c>
      <c r="Y170" s="46">
        <v>0</v>
      </c>
      <c r="Z170" s="46">
        <v>0</v>
      </c>
      <c r="AA170" s="68">
        <v>170</v>
      </c>
      <c r="AB170" s="68"/>
      <c r="AC170" s="69"/>
      <c r="AD170" s="76" t="s">
        <v>1152</v>
      </c>
      <c r="AE170" s="85" t="s">
        <v>1326</v>
      </c>
      <c r="AF170" s="76">
        <v>103</v>
      </c>
      <c r="AG170" s="76">
        <v>11</v>
      </c>
      <c r="AH170" s="76">
        <v>270</v>
      </c>
      <c r="AI170" s="76">
        <v>689</v>
      </c>
      <c r="AJ170" s="76"/>
      <c r="AK170" s="76" t="s">
        <v>1507</v>
      </c>
      <c r="AL170" s="76" t="s">
        <v>1632</v>
      </c>
      <c r="AM170" s="76"/>
      <c r="AN170" s="76"/>
      <c r="AO170" s="78">
        <v>44862.96030092592</v>
      </c>
      <c r="AP170" s="82" t="str">
        <f>HYPERLINK("https://pbs.twimg.com/profile_banners/1586131327551770629/1667135054")</f>
        <v>https://pbs.twimg.com/profile_banners/1586131327551770629/1667135054</v>
      </c>
      <c r="AQ170" s="76" t="b">
        <v>1</v>
      </c>
      <c r="AR170" s="76" t="b">
        <v>0</v>
      </c>
      <c r="AS170" s="76" t="b">
        <v>0</v>
      </c>
      <c r="AT170" s="76"/>
      <c r="AU170" s="76">
        <v>0</v>
      </c>
      <c r="AV170" s="76"/>
      <c r="AW170" s="76" t="b">
        <v>0</v>
      </c>
      <c r="AX170" s="76" t="s">
        <v>1651</v>
      </c>
      <c r="AY170" s="82" t="str">
        <f>HYPERLINK("https://twitter.com/hozernumber1")</f>
        <v>https://twitter.com/hozernumber1</v>
      </c>
      <c r="AZ170" s="76" t="s">
        <v>66</v>
      </c>
      <c r="BA170" s="76" t="str">
        <f>REPLACE(INDEX(GroupVertices[Group],MATCH(Vertices[[#This Row],[Vertex]],GroupVertices[Vertex],0)),1,1,"")</f>
        <v>51</v>
      </c>
      <c r="BB170" s="45"/>
      <c r="BC170" s="46"/>
      <c r="BD170" s="45"/>
      <c r="BE170" s="46"/>
      <c r="BF170" s="45"/>
      <c r="BG170" s="46"/>
      <c r="BH170" s="45"/>
      <c r="BI170" s="46"/>
      <c r="BJ170" s="45"/>
      <c r="BK170" s="109" t="s">
        <v>916</v>
      </c>
      <c r="BL170" s="109" t="s">
        <v>916</v>
      </c>
      <c r="BM170" s="109" t="s">
        <v>916</v>
      </c>
      <c r="BN170" s="109" t="s">
        <v>916</v>
      </c>
      <c r="BO170" s="2"/>
    </row>
    <row r="171" spans="1:67" ht="15">
      <c r="A171" s="61" t="s">
        <v>364</v>
      </c>
      <c r="B171" s="62"/>
      <c r="C171" s="62"/>
      <c r="D171" s="63">
        <v>80</v>
      </c>
      <c r="E171" s="65"/>
      <c r="F171" s="100" t="str">
        <f>HYPERLINK("https://pbs.twimg.com/profile_images/1128404820761632768/Fo88NQf5_normal.jpg")</f>
        <v>https://pbs.twimg.com/profile_images/1128404820761632768/Fo88NQf5_normal.jpg</v>
      </c>
      <c r="G171" s="62"/>
      <c r="H171" s="66" t="s">
        <v>364</v>
      </c>
      <c r="I171" s="67"/>
      <c r="J171" s="67"/>
      <c r="K171" s="66" t="s">
        <v>364</v>
      </c>
      <c r="L171" s="70">
        <v>1</v>
      </c>
      <c r="M171" s="71">
        <v>3050.02197265625</v>
      </c>
      <c r="N171" s="71">
        <v>3009.5478515625</v>
      </c>
      <c r="O171" s="72"/>
      <c r="P171" s="73"/>
      <c r="Q171" s="73"/>
      <c r="R171" s="86"/>
      <c r="S171" s="45">
        <v>0</v>
      </c>
      <c r="T171" s="45">
        <v>1</v>
      </c>
      <c r="U171" s="46">
        <v>0</v>
      </c>
      <c r="V171" s="46">
        <v>0.005025</v>
      </c>
      <c r="W171" s="46">
        <v>0</v>
      </c>
      <c r="X171" s="46">
        <v>0.005</v>
      </c>
      <c r="Y171" s="46">
        <v>0</v>
      </c>
      <c r="Z171" s="46">
        <v>0</v>
      </c>
      <c r="AA171" s="68">
        <v>171</v>
      </c>
      <c r="AB171" s="68"/>
      <c r="AC171" s="69"/>
      <c r="AD171" s="76" t="s">
        <v>1153</v>
      </c>
      <c r="AE171" s="85" t="s">
        <v>1327</v>
      </c>
      <c r="AF171" s="76">
        <v>384</v>
      </c>
      <c r="AG171" s="76">
        <v>207</v>
      </c>
      <c r="AH171" s="76">
        <v>1633</v>
      </c>
      <c r="AI171" s="76">
        <v>414</v>
      </c>
      <c r="AJ171" s="76"/>
      <c r="AK171" s="76" t="s">
        <v>1508</v>
      </c>
      <c r="AL171" s="76" t="s">
        <v>1633</v>
      </c>
      <c r="AM171" s="76"/>
      <c r="AN171" s="76"/>
      <c r="AO171" s="78">
        <v>40697.633472222224</v>
      </c>
      <c r="AP171" s="82" t="str">
        <f>HYPERLINK("https://pbs.twimg.com/profile_banners/310322490/1630939688")</f>
        <v>https://pbs.twimg.com/profile_banners/310322490/1630939688</v>
      </c>
      <c r="AQ171" s="76" t="b">
        <v>0</v>
      </c>
      <c r="AR171" s="76" t="b">
        <v>0</v>
      </c>
      <c r="AS171" s="76" t="b">
        <v>1</v>
      </c>
      <c r="AT171" s="76"/>
      <c r="AU171" s="76">
        <v>12</v>
      </c>
      <c r="AV171" s="82" t="str">
        <f>HYPERLINK("https://abs.twimg.com/images/themes/theme14/bg.gif")</f>
        <v>https://abs.twimg.com/images/themes/theme14/bg.gif</v>
      </c>
      <c r="AW171" s="76" t="b">
        <v>0</v>
      </c>
      <c r="AX171" s="76" t="s">
        <v>1651</v>
      </c>
      <c r="AY171" s="82" t="str">
        <f>HYPERLINK("https://twitter.com/tomostapchuk")</f>
        <v>https://twitter.com/tomostapchuk</v>
      </c>
      <c r="AZ171" s="76" t="s">
        <v>66</v>
      </c>
      <c r="BA171" s="76" t="str">
        <f>REPLACE(INDEX(GroupVertices[Group],MATCH(Vertices[[#This Row],[Vertex]],GroupVertices[Vertex],0)),1,1,"")</f>
        <v>26</v>
      </c>
      <c r="BB171" s="45"/>
      <c r="BC171" s="46"/>
      <c r="BD171" s="45"/>
      <c r="BE171" s="46"/>
      <c r="BF171" s="45"/>
      <c r="BG171" s="46"/>
      <c r="BH171" s="45"/>
      <c r="BI171" s="46"/>
      <c r="BJ171" s="45"/>
      <c r="BK171" s="109" t="s">
        <v>916</v>
      </c>
      <c r="BL171" s="109" t="s">
        <v>916</v>
      </c>
      <c r="BM171" s="109" t="s">
        <v>916</v>
      </c>
      <c r="BN171" s="109" t="s">
        <v>916</v>
      </c>
      <c r="BO171" s="2"/>
    </row>
    <row r="172" spans="1:67" ht="15">
      <c r="A172" s="61" t="s">
        <v>434</v>
      </c>
      <c r="B172" s="62"/>
      <c r="C172" s="62"/>
      <c r="D172" s="63">
        <v>80</v>
      </c>
      <c r="E172" s="65"/>
      <c r="F172" s="100" t="str">
        <f>HYPERLINK("https://pbs.twimg.com/profile_images/1131822673967964160/4pps79Wj_normal.jpg")</f>
        <v>https://pbs.twimg.com/profile_images/1131822673967964160/4pps79Wj_normal.jpg</v>
      </c>
      <c r="G172" s="62"/>
      <c r="H172" s="66" t="s">
        <v>434</v>
      </c>
      <c r="I172" s="67"/>
      <c r="J172" s="67"/>
      <c r="K172" s="66" t="s">
        <v>434</v>
      </c>
      <c r="L172" s="70">
        <v>1</v>
      </c>
      <c r="M172" s="71">
        <v>4274.49609375</v>
      </c>
      <c r="N172" s="71">
        <v>2707.64501953125</v>
      </c>
      <c r="O172" s="72"/>
      <c r="P172" s="73"/>
      <c r="Q172" s="73"/>
      <c r="R172" s="86"/>
      <c r="S172" s="45">
        <v>1</v>
      </c>
      <c r="T172" s="45">
        <v>0</v>
      </c>
      <c r="U172" s="46">
        <v>0</v>
      </c>
      <c r="V172" s="46">
        <v>0.005025</v>
      </c>
      <c r="W172" s="46">
        <v>0</v>
      </c>
      <c r="X172" s="46">
        <v>0.005</v>
      </c>
      <c r="Y172" s="46">
        <v>0</v>
      </c>
      <c r="Z172" s="46">
        <v>0</v>
      </c>
      <c r="AA172" s="68">
        <v>172</v>
      </c>
      <c r="AB172" s="68"/>
      <c r="AC172" s="69"/>
      <c r="AD172" s="76" t="s">
        <v>1154</v>
      </c>
      <c r="AE172" s="85" t="s">
        <v>943</v>
      </c>
      <c r="AF172" s="76">
        <v>67</v>
      </c>
      <c r="AG172" s="76">
        <v>263</v>
      </c>
      <c r="AH172" s="76">
        <v>196</v>
      </c>
      <c r="AI172" s="76">
        <v>181</v>
      </c>
      <c r="AJ172" s="76"/>
      <c r="AK172" s="76"/>
      <c r="AL172" s="76"/>
      <c r="AM172" s="76"/>
      <c r="AN172" s="76"/>
      <c r="AO172" s="78">
        <v>43609.30452546296</v>
      </c>
      <c r="AP172" s="76"/>
      <c r="AQ172" s="76" t="b">
        <v>1</v>
      </c>
      <c r="AR172" s="76" t="b">
        <v>0</v>
      </c>
      <c r="AS172" s="76" t="b">
        <v>0</v>
      </c>
      <c r="AT172" s="76"/>
      <c r="AU172" s="76">
        <v>12</v>
      </c>
      <c r="AV172" s="76"/>
      <c r="AW172" s="76" t="b">
        <v>0</v>
      </c>
      <c r="AX172" s="76" t="s">
        <v>1651</v>
      </c>
      <c r="AY172" s="82" t="str">
        <f>HYPERLINK("https://twitter.com/dj_gerics")</f>
        <v>https://twitter.com/dj_gerics</v>
      </c>
      <c r="AZ172" s="76" t="s">
        <v>65</v>
      </c>
      <c r="BA172" s="76" t="str">
        <f>REPLACE(INDEX(GroupVertices[Group],MATCH(Vertices[[#This Row],[Vertex]],GroupVertices[Vertex],0)),1,1,"")</f>
        <v>26</v>
      </c>
      <c r="BB172" s="45"/>
      <c r="BC172" s="46"/>
      <c r="BD172" s="45"/>
      <c r="BE172" s="46"/>
      <c r="BF172" s="45"/>
      <c r="BG172" s="46"/>
      <c r="BH172" s="45"/>
      <c r="BI172" s="46"/>
      <c r="BJ172" s="45"/>
      <c r="BK172" s="45"/>
      <c r="BL172" s="45"/>
      <c r="BM172" s="45"/>
      <c r="BN172" s="45"/>
      <c r="BO172" s="2"/>
    </row>
    <row r="173" spans="1:67" ht="15">
      <c r="A173" s="61" t="s">
        <v>365</v>
      </c>
      <c r="B173" s="62"/>
      <c r="C173" s="62"/>
      <c r="D173" s="63">
        <v>80</v>
      </c>
      <c r="E173" s="65"/>
      <c r="F173" s="100" t="str">
        <f>HYPERLINK("https://pbs.twimg.com/profile_images/1750390122/slide_fox_normal.jpg")</f>
        <v>https://pbs.twimg.com/profile_images/1750390122/slide_fox_normal.jpg</v>
      </c>
      <c r="G173" s="62"/>
      <c r="H173" s="66" t="s">
        <v>365</v>
      </c>
      <c r="I173" s="67"/>
      <c r="J173" s="67"/>
      <c r="K173" s="66" t="s">
        <v>365</v>
      </c>
      <c r="L173" s="70">
        <v>1</v>
      </c>
      <c r="M173" s="71">
        <v>4116.66845703125</v>
      </c>
      <c r="N173" s="71">
        <v>2713.522216796875</v>
      </c>
      <c r="O173" s="72"/>
      <c r="P173" s="73"/>
      <c r="Q173" s="73"/>
      <c r="R173" s="86"/>
      <c r="S173" s="45">
        <v>1</v>
      </c>
      <c r="T173" s="45">
        <v>1</v>
      </c>
      <c r="U173" s="46">
        <v>0</v>
      </c>
      <c r="V173" s="46">
        <v>0</v>
      </c>
      <c r="W173" s="46">
        <v>0</v>
      </c>
      <c r="X173" s="46">
        <v>0.005</v>
      </c>
      <c r="Y173" s="46">
        <v>0</v>
      </c>
      <c r="Z173" s="46">
        <v>0</v>
      </c>
      <c r="AA173" s="68">
        <v>173</v>
      </c>
      <c r="AB173" s="68"/>
      <c r="AC173" s="69"/>
      <c r="AD173" s="76" t="s">
        <v>1155</v>
      </c>
      <c r="AE173" s="85" t="s">
        <v>1328</v>
      </c>
      <c r="AF173" s="76">
        <v>107</v>
      </c>
      <c r="AG173" s="76">
        <v>34</v>
      </c>
      <c r="AH173" s="76">
        <v>1391</v>
      </c>
      <c r="AI173" s="76">
        <v>2129</v>
      </c>
      <c r="AJ173" s="76"/>
      <c r="AK173" s="76" t="s">
        <v>1509</v>
      </c>
      <c r="AL173" s="76" t="s">
        <v>1634</v>
      </c>
      <c r="AM173" s="76"/>
      <c r="AN173" s="76"/>
      <c r="AO173" s="78">
        <v>40920.74287037037</v>
      </c>
      <c r="AP173" s="76"/>
      <c r="AQ173" s="76" t="b">
        <v>1</v>
      </c>
      <c r="AR173" s="76" t="b">
        <v>0</v>
      </c>
      <c r="AS173" s="76" t="b">
        <v>0</v>
      </c>
      <c r="AT173" s="76"/>
      <c r="AU173" s="76">
        <v>1</v>
      </c>
      <c r="AV173" s="82" t="str">
        <f>HYPERLINK("https://abs.twimg.com/images/themes/theme1/bg.png")</f>
        <v>https://abs.twimg.com/images/themes/theme1/bg.png</v>
      </c>
      <c r="AW173" s="76" t="b">
        <v>0</v>
      </c>
      <c r="AX173" s="76" t="s">
        <v>1651</v>
      </c>
      <c r="AY173" s="82" t="str">
        <f>HYPERLINK("https://twitter.com/andjohnson4all")</f>
        <v>https://twitter.com/andjohnson4all</v>
      </c>
      <c r="AZ173" s="76" t="s">
        <v>66</v>
      </c>
      <c r="BA173" s="76" t="str">
        <f>REPLACE(INDEX(GroupVertices[Group],MATCH(Vertices[[#This Row],[Vertex]],GroupVertices[Vertex],0)),1,1,"")</f>
        <v>50</v>
      </c>
      <c r="BB173" s="45"/>
      <c r="BC173" s="46"/>
      <c r="BD173" s="45"/>
      <c r="BE173" s="46"/>
      <c r="BF173" s="45"/>
      <c r="BG173" s="46"/>
      <c r="BH173" s="45"/>
      <c r="BI173" s="46"/>
      <c r="BJ173" s="45"/>
      <c r="BK173" s="109" t="s">
        <v>916</v>
      </c>
      <c r="BL173" s="109" t="s">
        <v>916</v>
      </c>
      <c r="BM173" s="109" t="s">
        <v>916</v>
      </c>
      <c r="BN173" s="109" t="s">
        <v>916</v>
      </c>
      <c r="BO173" s="2"/>
    </row>
    <row r="174" spans="1:67" ht="15">
      <c r="A174" s="61" t="s">
        <v>366</v>
      </c>
      <c r="B174" s="62"/>
      <c r="C174" s="62"/>
      <c r="D174" s="63">
        <v>80</v>
      </c>
      <c r="E174" s="65"/>
      <c r="F174" s="100" t="str">
        <f>HYPERLINK("https://pbs.twimg.com/profile_images/1357461884757110784/gR5Iiewj_normal.jpg")</f>
        <v>https://pbs.twimg.com/profile_images/1357461884757110784/gR5Iiewj_normal.jpg</v>
      </c>
      <c r="G174" s="62"/>
      <c r="H174" s="66" t="s">
        <v>366</v>
      </c>
      <c r="I174" s="67"/>
      <c r="J174" s="67"/>
      <c r="K174" s="66" t="s">
        <v>366</v>
      </c>
      <c r="L174" s="70">
        <v>1</v>
      </c>
      <c r="M174" s="71">
        <v>3322.2861328125</v>
      </c>
      <c r="N174" s="71">
        <v>3659.448486328125</v>
      </c>
      <c r="O174" s="72"/>
      <c r="P174" s="73"/>
      <c r="Q174" s="73"/>
      <c r="R174" s="86"/>
      <c r="S174" s="45">
        <v>0</v>
      </c>
      <c r="T174" s="45">
        <v>1</v>
      </c>
      <c r="U174" s="46">
        <v>0</v>
      </c>
      <c r="V174" s="46">
        <v>0.0067</v>
      </c>
      <c r="W174" s="46">
        <v>0</v>
      </c>
      <c r="X174" s="46">
        <v>0.004545</v>
      </c>
      <c r="Y174" s="46">
        <v>0</v>
      </c>
      <c r="Z174" s="46">
        <v>0</v>
      </c>
      <c r="AA174" s="68">
        <v>174</v>
      </c>
      <c r="AB174" s="68"/>
      <c r="AC174" s="69"/>
      <c r="AD174" s="76" t="s">
        <v>1156</v>
      </c>
      <c r="AE174" s="85" t="s">
        <v>1329</v>
      </c>
      <c r="AF174" s="76">
        <v>400</v>
      </c>
      <c r="AG174" s="76">
        <v>225</v>
      </c>
      <c r="AH174" s="76">
        <v>11327</v>
      </c>
      <c r="AI174" s="76">
        <v>75024</v>
      </c>
      <c r="AJ174" s="76"/>
      <c r="AK174" s="76"/>
      <c r="AL174" s="76" t="s">
        <v>1635</v>
      </c>
      <c r="AM174" s="76"/>
      <c r="AN174" s="76"/>
      <c r="AO174" s="78">
        <v>44231.9521875</v>
      </c>
      <c r="AP174" s="82" t="str">
        <f>HYPERLINK("https://pbs.twimg.com/profile_banners/1357461407382478848/1612930165")</f>
        <v>https://pbs.twimg.com/profile_banners/1357461407382478848/1612930165</v>
      </c>
      <c r="AQ174" s="76" t="b">
        <v>1</v>
      </c>
      <c r="AR174" s="76" t="b">
        <v>0</v>
      </c>
      <c r="AS174" s="76" t="b">
        <v>0</v>
      </c>
      <c r="AT174" s="76"/>
      <c r="AU174" s="76">
        <v>0</v>
      </c>
      <c r="AV174" s="76"/>
      <c r="AW174" s="76" t="b">
        <v>0</v>
      </c>
      <c r="AX174" s="76" t="s">
        <v>1651</v>
      </c>
      <c r="AY174" s="82" t="str">
        <f>HYPERLINK("https://twitter.com/geetaofa")</f>
        <v>https://twitter.com/geetaofa</v>
      </c>
      <c r="AZ174" s="76" t="s">
        <v>66</v>
      </c>
      <c r="BA174" s="76" t="str">
        <f>REPLACE(INDEX(GroupVertices[Group],MATCH(Vertices[[#This Row],[Vertex]],GroupVertices[Vertex],0)),1,1,"")</f>
        <v>16</v>
      </c>
      <c r="BB174" s="45"/>
      <c r="BC174" s="46"/>
      <c r="BD174" s="45"/>
      <c r="BE174" s="46"/>
      <c r="BF174" s="45"/>
      <c r="BG174" s="46"/>
      <c r="BH174" s="45"/>
      <c r="BI174" s="46"/>
      <c r="BJ174" s="45"/>
      <c r="BK174" s="109" t="s">
        <v>916</v>
      </c>
      <c r="BL174" s="109" t="s">
        <v>916</v>
      </c>
      <c r="BM174" s="109" t="s">
        <v>916</v>
      </c>
      <c r="BN174" s="109" t="s">
        <v>916</v>
      </c>
      <c r="BO174" s="2"/>
    </row>
    <row r="175" spans="1:67" ht="15">
      <c r="A175" s="61" t="s">
        <v>369</v>
      </c>
      <c r="B175" s="62"/>
      <c r="C175" s="62"/>
      <c r="D175" s="63">
        <v>121.81818181818181</v>
      </c>
      <c r="E175" s="65"/>
      <c r="F175" s="100" t="str">
        <f>HYPERLINK("https://pbs.twimg.com/profile_images/1624700926383775745/DBTqhpUz_normal.jpg")</f>
        <v>https://pbs.twimg.com/profile_images/1624700926383775745/DBTqhpUz_normal.jpg</v>
      </c>
      <c r="G175" s="62"/>
      <c r="H175" s="66" t="s">
        <v>369</v>
      </c>
      <c r="I175" s="67"/>
      <c r="J175" s="67"/>
      <c r="K175" s="66" t="s">
        <v>369</v>
      </c>
      <c r="L175" s="70">
        <v>58.45977011494253</v>
      </c>
      <c r="M175" s="71">
        <v>4553.2998046875</v>
      </c>
      <c r="N175" s="71">
        <v>3379.096435546875</v>
      </c>
      <c r="O175" s="72"/>
      <c r="P175" s="73"/>
      <c r="Q175" s="73"/>
      <c r="R175" s="86"/>
      <c r="S175" s="45">
        <v>3</v>
      </c>
      <c r="T175" s="45">
        <v>1</v>
      </c>
      <c r="U175" s="46">
        <v>2</v>
      </c>
      <c r="V175" s="46">
        <v>0.01005</v>
      </c>
      <c r="W175" s="46">
        <v>0</v>
      </c>
      <c r="X175" s="46">
        <v>0.005909</v>
      </c>
      <c r="Y175" s="46">
        <v>0</v>
      </c>
      <c r="Z175" s="46">
        <v>0</v>
      </c>
      <c r="AA175" s="68">
        <v>175</v>
      </c>
      <c r="AB175" s="68"/>
      <c r="AC175" s="69"/>
      <c r="AD175" s="76" t="s">
        <v>1157</v>
      </c>
      <c r="AE175" s="85" t="s">
        <v>1330</v>
      </c>
      <c r="AF175" s="76">
        <v>1448</v>
      </c>
      <c r="AG175" s="76">
        <v>6171</v>
      </c>
      <c r="AH175" s="76">
        <v>37899</v>
      </c>
      <c r="AI175" s="76">
        <v>65304</v>
      </c>
      <c r="AJ175" s="76"/>
      <c r="AK175" s="76" t="s">
        <v>1510</v>
      </c>
      <c r="AL175" s="76" t="s">
        <v>1635</v>
      </c>
      <c r="AM175" s="82" t="str">
        <f>HYPERLINK("https://t.co/coV7FLMMGx")</f>
        <v>https://t.co/coV7FLMMGx</v>
      </c>
      <c r="AN175" s="76"/>
      <c r="AO175" s="78">
        <v>43199.48247685185</v>
      </c>
      <c r="AP175" s="82" t="str">
        <f>HYPERLINK("https://pbs.twimg.com/profile_banners/983307226902216705/1674716302")</f>
        <v>https://pbs.twimg.com/profile_banners/983307226902216705/1674716302</v>
      </c>
      <c r="AQ175" s="76" t="b">
        <v>0</v>
      </c>
      <c r="AR175" s="76" t="b">
        <v>0</v>
      </c>
      <c r="AS175" s="76" t="b">
        <v>1</v>
      </c>
      <c r="AT175" s="76"/>
      <c r="AU175" s="76">
        <v>8</v>
      </c>
      <c r="AV175" s="82" t="str">
        <f>HYPERLINK("https://abs.twimg.com/images/themes/theme1/bg.png")</f>
        <v>https://abs.twimg.com/images/themes/theme1/bg.png</v>
      </c>
      <c r="AW175" s="76" t="b">
        <v>0</v>
      </c>
      <c r="AX175" s="76" t="s">
        <v>1651</v>
      </c>
      <c r="AY175" s="82" t="str">
        <f>HYPERLINK("https://twitter.com/pseudofijian")</f>
        <v>https://twitter.com/pseudofijian</v>
      </c>
      <c r="AZ175" s="76" t="s">
        <v>66</v>
      </c>
      <c r="BA175" s="76" t="str">
        <f>REPLACE(INDEX(GroupVertices[Group],MATCH(Vertices[[#This Row],[Vertex]],GroupVertices[Vertex],0)),1,1,"")</f>
        <v>16</v>
      </c>
      <c r="BB175" s="45"/>
      <c r="BC175" s="46"/>
      <c r="BD175" s="45"/>
      <c r="BE175" s="46"/>
      <c r="BF175" s="45"/>
      <c r="BG175" s="46"/>
      <c r="BH175" s="45"/>
      <c r="BI175" s="46"/>
      <c r="BJ175" s="45"/>
      <c r="BK175" s="109" t="s">
        <v>916</v>
      </c>
      <c r="BL175" s="109" t="s">
        <v>916</v>
      </c>
      <c r="BM175" s="109" t="s">
        <v>916</v>
      </c>
      <c r="BN175" s="109" t="s">
        <v>916</v>
      </c>
      <c r="BO175" s="2"/>
    </row>
    <row r="176" spans="1:67" ht="15">
      <c r="A176" s="61" t="s">
        <v>367</v>
      </c>
      <c r="B176" s="62"/>
      <c r="C176" s="62"/>
      <c r="D176" s="63">
        <v>80</v>
      </c>
      <c r="E176" s="65"/>
      <c r="F176" s="100" t="str">
        <f>HYPERLINK("https://pbs.twimg.com/profile_images/1469082133222285314/bcU4KW_x_normal.jpg")</f>
        <v>https://pbs.twimg.com/profile_images/1469082133222285314/bcU4KW_x_normal.jpg</v>
      </c>
      <c r="G176" s="62"/>
      <c r="H176" s="66" t="s">
        <v>367</v>
      </c>
      <c r="I176" s="67"/>
      <c r="J176" s="67"/>
      <c r="K176" s="66" t="s">
        <v>367</v>
      </c>
      <c r="L176" s="70">
        <v>1</v>
      </c>
      <c r="M176" s="71">
        <v>5086.99951171875</v>
      </c>
      <c r="N176" s="71">
        <v>3655.68798828125</v>
      </c>
      <c r="O176" s="72"/>
      <c r="P176" s="73"/>
      <c r="Q176" s="73"/>
      <c r="R176" s="86"/>
      <c r="S176" s="45">
        <v>0</v>
      </c>
      <c r="T176" s="45">
        <v>1</v>
      </c>
      <c r="U176" s="46">
        <v>0</v>
      </c>
      <c r="V176" s="46">
        <v>0.005025</v>
      </c>
      <c r="W176" s="46">
        <v>0</v>
      </c>
      <c r="X176" s="46">
        <v>0.005</v>
      </c>
      <c r="Y176" s="46">
        <v>0</v>
      </c>
      <c r="Z176" s="46">
        <v>0</v>
      </c>
      <c r="AA176" s="68">
        <v>176</v>
      </c>
      <c r="AB176" s="68"/>
      <c r="AC176" s="69"/>
      <c r="AD176" s="76" t="s">
        <v>1158</v>
      </c>
      <c r="AE176" s="85" t="s">
        <v>1331</v>
      </c>
      <c r="AF176" s="76">
        <v>1368</v>
      </c>
      <c r="AG176" s="76">
        <v>5797</v>
      </c>
      <c r="AH176" s="76">
        <v>75587</v>
      </c>
      <c r="AI176" s="76">
        <v>53884</v>
      </c>
      <c r="AJ176" s="76"/>
      <c r="AK176" s="76" t="s">
        <v>1511</v>
      </c>
      <c r="AL176" s="76" t="s">
        <v>1636</v>
      </c>
      <c r="AM176" s="82" t="str">
        <f>HYPERLINK("https://t.co/pDeRtSBmws")</f>
        <v>https://t.co/pDeRtSBmws</v>
      </c>
      <c r="AN176" s="76"/>
      <c r="AO176" s="78">
        <v>40636.74388888889</v>
      </c>
      <c r="AP176" s="82" t="str">
        <f>HYPERLINK("https://pbs.twimg.com/profile_banners/276597679/1402082722")</f>
        <v>https://pbs.twimg.com/profile_banners/276597679/1402082722</v>
      </c>
      <c r="AQ176" s="76" t="b">
        <v>0</v>
      </c>
      <c r="AR176" s="76" t="b">
        <v>0</v>
      </c>
      <c r="AS176" s="76" t="b">
        <v>0</v>
      </c>
      <c r="AT176" s="76"/>
      <c r="AU176" s="76">
        <v>146</v>
      </c>
      <c r="AV176" s="82" t="str">
        <f>HYPERLINK("https://abs.twimg.com/images/themes/theme1/bg.png")</f>
        <v>https://abs.twimg.com/images/themes/theme1/bg.png</v>
      </c>
      <c r="AW176" s="76" t="b">
        <v>1</v>
      </c>
      <c r="AX176" s="76" t="s">
        <v>1651</v>
      </c>
      <c r="AY176" s="82" t="str">
        <f>HYPERLINK("https://twitter.com/mpoessel")</f>
        <v>https://twitter.com/mpoessel</v>
      </c>
      <c r="AZ176" s="76" t="s">
        <v>66</v>
      </c>
      <c r="BA176" s="76" t="str">
        <f>REPLACE(INDEX(GroupVertices[Group],MATCH(Vertices[[#This Row],[Vertex]],GroupVertices[Vertex],0)),1,1,"")</f>
        <v>25</v>
      </c>
      <c r="BB176" s="45"/>
      <c r="BC176" s="46"/>
      <c r="BD176" s="45"/>
      <c r="BE176" s="46"/>
      <c r="BF176" s="45"/>
      <c r="BG176" s="46"/>
      <c r="BH176" s="45"/>
      <c r="BI176" s="46"/>
      <c r="BJ176" s="45"/>
      <c r="BK176" s="109" t="s">
        <v>916</v>
      </c>
      <c r="BL176" s="109" t="s">
        <v>916</v>
      </c>
      <c r="BM176" s="109" t="s">
        <v>916</v>
      </c>
      <c r="BN176" s="109" t="s">
        <v>916</v>
      </c>
      <c r="BO176" s="2"/>
    </row>
    <row r="177" spans="1:67" ht="15">
      <c r="A177" s="61" t="s">
        <v>435</v>
      </c>
      <c r="B177" s="62"/>
      <c r="C177" s="62"/>
      <c r="D177" s="63">
        <v>80</v>
      </c>
      <c r="E177" s="65"/>
      <c r="F177" s="100" t="str">
        <f>HYPERLINK("https://pbs.twimg.com/profile_images/1476214708457906182/pgfE99jF_normal.jpg")</f>
        <v>https://pbs.twimg.com/profile_images/1476214708457906182/pgfE99jF_normal.jpg</v>
      </c>
      <c r="G177" s="62"/>
      <c r="H177" s="66" t="s">
        <v>435</v>
      </c>
      <c r="I177" s="67"/>
      <c r="J177" s="67"/>
      <c r="K177" s="66" t="s">
        <v>435</v>
      </c>
      <c r="L177" s="70">
        <v>1</v>
      </c>
      <c r="M177" s="71">
        <v>4504.84716796875</v>
      </c>
      <c r="N177" s="71">
        <v>2485.663330078125</v>
      </c>
      <c r="O177" s="72"/>
      <c r="P177" s="73"/>
      <c r="Q177" s="73"/>
      <c r="R177" s="86"/>
      <c r="S177" s="45">
        <v>1</v>
      </c>
      <c r="T177" s="45">
        <v>0</v>
      </c>
      <c r="U177" s="46">
        <v>0</v>
      </c>
      <c r="V177" s="46">
        <v>0.005025</v>
      </c>
      <c r="W177" s="46">
        <v>0</v>
      </c>
      <c r="X177" s="46">
        <v>0.005</v>
      </c>
      <c r="Y177" s="46">
        <v>0</v>
      </c>
      <c r="Z177" s="46">
        <v>0</v>
      </c>
      <c r="AA177" s="68">
        <v>177</v>
      </c>
      <c r="AB177" s="68"/>
      <c r="AC177" s="69"/>
      <c r="AD177" s="76" t="s">
        <v>1159</v>
      </c>
      <c r="AE177" s="85" t="s">
        <v>944</v>
      </c>
      <c r="AF177" s="76">
        <v>386</v>
      </c>
      <c r="AG177" s="76">
        <v>193</v>
      </c>
      <c r="AH177" s="76">
        <v>15380</v>
      </c>
      <c r="AI177" s="76">
        <v>2956</v>
      </c>
      <c r="AJ177" s="76"/>
      <c r="AK177" s="76" t="s">
        <v>1512</v>
      </c>
      <c r="AL177" s="76"/>
      <c r="AM177" s="76"/>
      <c r="AN177" s="76"/>
      <c r="AO177" s="78">
        <v>41023.8996412037</v>
      </c>
      <c r="AP177" s="76"/>
      <c r="AQ177" s="76" t="b">
        <v>1</v>
      </c>
      <c r="AR177" s="76" t="b">
        <v>0</v>
      </c>
      <c r="AS177" s="76" t="b">
        <v>0</v>
      </c>
      <c r="AT177" s="76"/>
      <c r="AU177" s="76">
        <v>10</v>
      </c>
      <c r="AV177" s="82" t="str">
        <f>HYPERLINK("https://abs.twimg.com/images/themes/theme1/bg.png")</f>
        <v>https://abs.twimg.com/images/themes/theme1/bg.png</v>
      </c>
      <c r="AW177" s="76" t="b">
        <v>0</v>
      </c>
      <c r="AX177" s="76" t="s">
        <v>1651</v>
      </c>
      <c r="AY177" s="82" t="str">
        <f>HYPERLINK("https://twitter.com/schneider_ef")</f>
        <v>https://twitter.com/schneider_ef</v>
      </c>
      <c r="AZ177" s="76" t="s">
        <v>65</v>
      </c>
      <c r="BA177" s="76" t="str">
        <f>REPLACE(INDEX(GroupVertices[Group],MATCH(Vertices[[#This Row],[Vertex]],GroupVertices[Vertex],0)),1,1,"")</f>
        <v>25</v>
      </c>
      <c r="BB177" s="45"/>
      <c r="BC177" s="46"/>
      <c r="BD177" s="45"/>
      <c r="BE177" s="46"/>
      <c r="BF177" s="45"/>
      <c r="BG177" s="46"/>
      <c r="BH177" s="45"/>
      <c r="BI177" s="46"/>
      <c r="BJ177" s="45"/>
      <c r="BK177" s="45"/>
      <c r="BL177" s="45"/>
      <c r="BM177" s="45"/>
      <c r="BN177" s="45"/>
      <c r="BO177" s="2"/>
    </row>
    <row r="178" spans="1:67" ht="15">
      <c r="A178" s="61" t="s">
        <v>368</v>
      </c>
      <c r="B178" s="62"/>
      <c r="C178" s="62"/>
      <c r="D178" s="63">
        <v>80</v>
      </c>
      <c r="E178" s="65"/>
      <c r="F178" s="100" t="str">
        <f>HYPERLINK("https://abs.twimg.com/sticky/default_profile_images/default_profile_normal.png")</f>
        <v>https://abs.twimg.com/sticky/default_profile_images/default_profile_normal.png</v>
      </c>
      <c r="G178" s="62"/>
      <c r="H178" s="66" t="s">
        <v>368</v>
      </c>
      <c r="I178" s="67"/>
      <c r="J178" s="67"/>
      <c r="K178" s="66" t="s">
        <v>368</v>
      </c>
      <c r="L178" s="70">
        <v>1</v>
      </c>
      <c r="M178" s="71">
        <v>3498.025146484375</v>
      </c>
      <c r="N178" s="71">
        <v>3788.45703125</v>
      </c>
      <c r="O178" s="72"/>
      <c r="P178" s="73"/>
      <c r="Q178" s="73"/>
      <c r="R178" s="86"/>
      <c r="S178" s="45">
        <v>0</v>
      </c>
      <c r="T178" s="45">
        <v>1</v>
      </c>
      <c r="U178" s="46">
        <v>0</v>
      </c>
      <c r="V178" s="46">
        <v>0.005025</v>
      </c>
      <c r="W178" s="46">
        <v>0</v>
      </c>
      <c r="X178" s="46">
        <v>0.005</v>
      </c>
      <c r="Y178" s="46">
        <v>0</v>
      </c>
      <c r="Z178" s="46">
        <v>0</v>
      </c>
      <c r="AA178" s="68">
        <v>178</v>
      </c>
      <c r="AB178" s="68"/>
      <c r="AC178" s="69"/>
      <c r="AD178" s="76" t="s">
        <v>1160</v>
      </c>
      <c r="AE178" s="85" t="s">
        <v>1332</v>
      </c>
      <c r="AF178" s="76">
        <v>27</v>
      </c>
      <c r="AG178" s="76">
        <v>2</v>
      </c>
      <c r="AH178" s="76">
        <v>111</v>
      </c>
      <c r="AI178" s="76">
        <v>611</v>
      </c>
      <c r="AJ178" s="76"/>
      <c r="AK178" s="76"/>
      <c r="AL178" s="76"/>
      <c r="AM178" s="76"/>
      <c r="AN178" s="76"/>
      <c r="AO178" s="78">
        <v>44686.56652777778</v>
      </c>
      <c r="AP178" s="76"/>
      <c r="AQ178" s="76" t="b">
        <v>1</v>
      </c>
      <c r="AR178" s="76" t="b">
        <v>1</v>
      </c>
      <c r="AS178" s="76" t="b">
        <v>0</v>
      </c>
      <c r="AT178" s="76"/>
      <c r="AU178" s="76">
        <v>0</v>
      </c>
      <c r="AV178" s="76"/>
      <c r="AW178" s="76" t="b">
        <v>0</v>
      </c>
      <c r="AX178" s="76" t="s">
        <v>1651</v>
      </c>
      <c r="AY178" s="82" t="str">
        <f>HYPERLINK("https://twitter.com/bluecopybook")</f>
        <v>https://twitter.com/bluecopybook</v>
      </c>
      <c r="AZ178" s="76" t="s">
        <v>66</v>
      </c>
      <c r="BA178" s="76" t="str">
        <f>REPLACE(INDEX(GroupVertices[Group],MATCH(Vertices[[#This Row],[Vertex]],GroupVertices[Vertex],0)),1,1,"")</f>
        <v>24</v>
      </c>
      <c r="BB178" s="45"/>
      <c r="BC178" s="46"/>
      <c r="BD178" s="45"/>
      <c r="BE178" s="46"/>
      <c r="BF178" s="45"/>
      <c r="BG178" s="46"/>
      <c r="BH178" s="45"/>
      <c r="BI178" s="46"/>
      <c r="BJ178" s="45"/>
      <c r="BK178" s="109" t="s">
        <v>916</v>
      </c>
      <c r="BL178" s="109" t="s">
        <v>916</v>
      </c>
      <c r="BM178" s="109" t="s">
        <v>916</v>
      </c>
      <c r="BN178" s="109" t="s">
        <v>916</v>
      </c>
      <c r="BO178" s="2"/>
    </row>
    <row r="179" spans="1:67" ht="15">
      <c r="A179" s="61" t="s">
        <v>436</v>
      </c>
      <c r="B179" s="62"/>
      <c r="C179" s="62"/>
      <c r="D179" s="63">
        <v>80</v>
      </c>
      <c r="E179" s="65"/>
      <c r="F179" s="100" t="str">
        <f>HYPERLINK("https://pbs.twimg.com/profile_images/898153945721339904/OFVCkPfR_normal.jpg")</f>
        <v>https://pbs.twimg.com/profile_images/898153945721339904/OFVCkPfR_normal.jpg</v>
      </c>
      <c r="G179" s="62"/>
      <c r="H179" s="66" t="s">
        <v>436</v>
      </c>
      <c r="I179" s="67"/>
      <c r="J179" s="67"/>
      <c r="K179" s="66" t="s">
        <v>436</v>
      </c>
      <c r="L179" s="70">
        <v>1</v>
      </c>
      <c r="M179" s="71">
        <v>4138.05419921875</v>
      </c>
      <c r="N179" s="71">
        <v>2652.206298828125</v>
      </c>
      <c r="O179" s="72"/>
      <c r="P179" s="73"/>
      <c r="Q179" s="73"/>
      <c r="R179" s="86"/>
      <c r="S179" s="45">
        <v>1</v>
      </c>
      <c r="T179" s="45">
        <v>0</v>
      </c>
      <c r="U179" s="46">
        <v>0</v>
      </c>
      <c r="V179" s="46">
        <v>0.005025</v>
      </c>
      <c r="W179" s="46">
        <v>0</v>
      </c>
      <c r="X179" s="46">
        <v>0.005</v>
      </c>
      <c r="Y179" s="46">
        <v>0</v>
      </c>
      <c r="Z179" s="46">
        <v>0</v>
      </c>
      <c r="AA179" s="68">
        <v>179</v>
      </c>
      <c r="AB179" s="68"/>
      <c r="AC179" s="69"/>
      <c r="AD179" s="76" t="s">
        <v>1161</v>
      </c>
      <c r="AE179" s="85" t="s">
        <v>945</v>
      </c>
      <c r="AF179" s="76">
        <v>1153</v>
      </c>
      <c r="AG179" s="76">
        <v>1179400</v>
      </c>
      <c r="AH179" s="76">
        <v>2157</v>
      </c>
      <c r="AI179" s="76">
        <v>41393</v>
      </c>
      <c r="AJ179" s="76"/>
      <c r="AK179" s="76" t="s">
        <v>1513</v>
      </c>
      <c r="AL179" s="76" t="s">
        <v>1637</v>
      </c>
      <c r="AM179" s="82" t="str">
        <f>HYPERLINK("https://t.co/O31NBmUmyw")</f>
        <v>https://t.co/O31NBmUmyw</v>
      </c>
      <c r="AN179" s="76"/>
      <c r="AO179" s="78">
        <v>39640.6428125</v>
      </c>
      <c r="AP179" s="82" t="str">
        <f>HYPERLINK("https://pbs.twimg.com/profile_banners/15392486/1639358972")</f>
        <v>https://pbs.twimg.com/profile_banners/15392486/1639358972</v>
      </c>
      <c r="AQ179" s="76" t="b">
        <v>0</v>
      </c>
      <c r="AR179" s="76" t="b">
        <v>0</v>
      </c>
      <c r="AS179" s="76" t="b">
        <v>0</v>
      </c>
      <c r="AT179" s="76"/>
      <c r="AU179" s="76">
        <v>6089</v>
      </c>
      <c r="AV179" s="82" t="str">
        <f>HYPERLINK("https://abs.twimg.com/images/themes/theme10/bg.gif")</f>
        <v>https://abs.twimg.com/images/themes/theme10/bg.gif</v>
      </c>
      <c r="AW179" s="76" t="b">
        <v>0</v>
      </c>
      <c r="AX179" s="76" t="s">
        <v>1651</v>
      </c>
      <c r="AY179" s="82" t="str">
        <f>HYPERLINK("https://twitter.com/disclosetv")</f>
        <v>https://twitter.com/disclosetv</v>
      </c>
      <c r="AZ179" s="76" t="s">
        <v>65</v>
      </c>
      <c r="BA179" s="76" t="str">
        <f>REPLACE(INDEX(GroupVertices[Group],MATCH(Vertices[[#This Row],[Vertex]],GroupVertices[Vertex],0)),1,1,"")</f>
        <v>24</v>
      </c>
      <c r="BB179" s="45"/>
      <c r="BC179" s="46"/>
      <c r="BD179" s="45"/>
      <c r="BE179" s="46"/>
      <c r="BF179" s="45"/>
      <c r="BG179" s="46"/>
      <c r="BH179" s="45"/>
      <c r="BI179" s="46"/>
      <c r="BJ179" s="45"/>
      <c r="BK179" s="45"/>
      <c r="BL179" s="45"/>
      <c r="BM179" s="45"/>
      <c r="BN179" s="45"/>
      <c r="BO179" s="2"/>
    </row>
    <row r="180" spans="1:67" ht="15">
      <c r="A180" s="61" t="s">
        <v>370</v>
      </c>
      <c r="B180" s="62"/>
      <c r="C180" s="62"/>
      <c r="D180" s="63">
        <v>80</v>
      </c>
      <c r="E180" s="65"/>
      <c r="F180" s="100" t="str">
        <f>HYPERLINK("https://pbs.twimg.com/profile_images/617251775385505792/5yOmkuzz_normal.jpg")</f>
        <v>https://pbs.twimg.com/profile_images/617251775385505792/5yOmkuzz_normal.jpg</v>
      </c>
      <c r="G180" s="62"/>
      <c r="H180" s="66" t="s">
        <v>370</v>
      </c>
      <c r="I180" s="67"/>
      <c r="J180" s="67"/>
      <c r="K180" s="66" t="s">
        <v>370</v>
      </c>
      <c r="L180" s="70">
        <v>1</v>
      </c>
      <c r="M180" s="71">
        <v>5809.60888671875</v>
      </c>
      <c r="N180" s="71">
        <v>3283.135986328125</v>
      </c>
      <c r="O180" s="72"/>
      <c r="P180" s="73"/>
      <c r="Q180" s="73"/>
      <c r="R180" s="86"/>
      <c r="S180" s="45">
        <v>0</v>
      </c>
      <c r="T180" s="45">
        <v>1</v>
      </c>
      <c r="U180" s="46">
        <v>0</v>
      </c>
      <c r="V180" s="46">
        <v>0.0067</v>
      </c>
      <c r="W180" s="46">
        <v>0</v>
      </c>
      <c r="X180" s="46">
        <v>0.004545</v>
      </c>
      <c r="Y180" s="46">
        <v>0</v>
      </c>
      <c r="Z180" s="46">
        <v>0</v>
      </c>
      <c r="AA180" s="68">
        <v>180</v>
      </c>
      <c r="AB180" s="68"/>
      <c r="AC180" s="69"/>
      <c r="AD180" s="76" t="s">
        <v>1162</v>
      </c>
      <c r="AE180" s="85" t="s">
        <v>1333</v>
      </c>
      <c r="AF180" s="76">
        <v>77</v>
      </c>
      <c r="AG180" s="76">
        <v>17</v>
      </c>
      <c r="AH180" s="76">
        <v>85</v>
      </c>
      <c r="AI180" s="76">
        <v>67</v>
      </c>
      <c r="AJ180" s="76"/>
      <c r="AK180" s="76"/>
      <c r="AL180" s="76"/>
      <c r="AM180" s="76"/>
      <c r="AN180" s="76"/>
      <c r="AO180" s="78">
        <v>42189.35545138889</v>
      </c>
      <c r="AP180" s="76"/>
      <c r="AQ180" s="76" t="b">
        <v>1</v>
      </c>
      <c r="AR180" s="76" t="b">
        <v>0</v>
      </c>
      <c r="AS180" s="76" t="b">
        <v>0</v>
      </c>
      <c r="AT180" s="76"/>
      <c r="AU180" s="76">
        <v>0</v>
      </c>
      <c r="AV180" s="82" t="str">
        <f>HYPERLINK("https://abs.twimg.com/images/themes/theme1/bg.png")</f>
        <v>https://abs.twimg.com/images/themes/theme1/bg.png</v>
      </c>
      <c r="AW180" s="76" t="b">
        <v>0</v>
      </c>
      <c r="AX180" s="76" t="s">
        <v>1651</v>
      </c>
      <c r="AY180" s="82" t="str">
        <f>HYPERLINK("https://twitter.com/aoneesharun")</f>
        <v>https://twitter.com/aoneesharun</v>
      </c>
      <c r="AZ180" s="76" t="s">
        <v>66</v>
      </c>
      <c r="BA180" s="76" t="str">
        <f>REPLACE(INDEX(GroupVertices[Group],MATCH(Vertices[[#This Row],[Vertex]],GroupVertices[Vertex],0)),1,1,"")</f>
        <v>16</v>
      </c>
      <c r="BB180" s="45"/>
      <c r="BC180" s="46"/>
      <c r="BD180" s="45"/>
      <c r="BE180" s="46"/>
      <c r="BF180" s="45"/>
      <c r="BG180" s="46"/>
      <c r="BH180" s="45"/>
      <c r="BI180" s="46"/>
      <c r="BJ180" s="45"/>
      <c r="BK180" s="109" t="s">
        <v>916</v>
      </c>
      <c r="BL180" s="109" t="s">
        <v>916</v>
      </c>
      <c r="BM180" s="109" t="s">
        <v>916</v>
      </c>
      <c r="BN180" s="109" t="s">
        <v>916</v>
      </c>
      <c r="BO180" s="2"/>
    </row>
    <row r="181" spans="1:67" ht="15">
      <c r="A181" s="61" t="s">
        <v>371</v>
      </c>
      <c r="B181" s="62"/>
      <c r="C181" s="62"/>
      <c r="D181" s="63">
        <v>80</v>
      </c>
      <c r="E181" s="65"/>
      <c r="F181" s="100" t="str">
        <f>HYPERLINK("https://pbs.twimg.com/profile_images/1603716483217231877/o1LDPNiV_normal.jpg")</f>
        <v>https://pbs.twimg.com/profile_images/1603716483217231877/o1LDPNiV_normal.jpg</v>
      </c>
      <c r="G181" s="62"/>
      <c r="H181" s="66" t="s">
        <v>371</v>
      </c>
      <c r="I181" s="67"/>
      <c r="J181" s="67"/>
      <c r="K181" s="66" t="s">
        <v>371</v>
      </c>
      <c r="L181" s="70">
        <v>1</v>
      </c>
      <c r="M181" s="71">
        <v>4033.412353515625</v>
      </c>
      <c r="N181" s="71">
        <v>2840.159423828125</v>
      </c>
      <c r="O181" s="72"/>
      <c r="P181" s="73"/>
      <c r="Q181" s="73"/>
      <c r="R181" s="86"/>
      <c r="S181" s="45">
        <v>0</v>
      </c>
      <c r="T181" s="45">
        <v>1</v>
      </c>
      <c r="U181" s="46">
        <v>0</v>
      </c>
      <c r="V181" s="46">
        <v>0.005025</v>
      </c>
      <c r="W181" s="46">
        <v>0</v>
      </c>
      <c r="X181" s="46">
        <v>0.005</v>
      </c>
      <c r="Y181" s="46">
        <v>0</v>
      </c>
      <c r="Z181" s="46">
        <v>0</v>
      </c>
      <c r="AA181" s="68">
        <v>181</v>
      </c>
      <c r="AB181" s="68"/>
      <c r="AC181" s="69"/>
      <c r="AD181" s="76" t="s">
        <v>1163</v>
      </c>
      <c r="AE181" s="85" t="s">
        <v>1334</v>
      </c>
      <c r="AF181" s="76">
        <v>58</v>
      </c>
      <c r="AG181" s="76">
        <v>50</v>
      </c>
      <c r="AH181" s="76">
        <v>776</v>
      </c>
      <c r="AI181" s="76">
        <v>296</v>
      </c>
      <c r="AJ181" s="76"/>
      <c r="AK181" s="76" t="s">
        <v>1514</v>
      </c>
      <c r="AL181" s="76" t="s">
        <v>1638</v>
      </c>
      <c r="AM181" s="76"/>
      <c r="AN181" s="76"/>
      <c r="AO181" s="78">
        <v>44877.330925925926</v>
      </c>
      <c r="AP181" s="82" t="str">
        <f>HYPERLINK("https://pbs.twimg.com/profile_banners/1591339077445767169/1672048656")</f>
        <v>https://pbs.twimg.com/profile_banners/1591339077445767169/1672048656</v>
      </c>
      <c r="AQ181" s="76" t="b">
        <v>1</v>
      </c>
      <c r="AR181" s="76" t="b">
        <v>0</v>
      </c>
      <c r="AS181" s="76" t="b">
        <v>0</v>
      </c>
      <c r="AT181" s="76"/>
      <c r="AU181" s="76">
        <v>0</v>
      </c>
      <c r="AV181" s="76"/>
      <c r="AW181" s="76" t="b">
        <v>0</v>
      </c>
      <c r="AX181" s="76" t="s">
        <v>1651</v>
      </c>
      <c r="AY181" s="82" t="str">
        <f>HYPERLINK("https://twitter.com/abraxasulysses")</f>
        <v>https://twitter.com/abraxasulysses</v>
      </c>
      <c r="AZ181" s="76" t="s">
        <v>66</v>
      </c>
      <c r="BA181" s="76" t="str">
        <f>REPLACE(INDEX(GroupVertices[Group],MATCH(Vertices[[#This Row],[Vertex]],GroupVertices[Vertex],0)),1,1,"")</f>
        <v>23</v>
      </c>
      <c r="BB181" s="45"/>
      <c r="BC181" s="46"/>
      <c r="BD181" s="45"/>
      <c r="BE181" s="46"/>
      <c r="BF181" s="45"/>
      <c r="BG181" s="46"/>
      <c r="BH181" s="45"/>
      <c r="BI181" s="46"/>
      <c r="BJ181" s="45"/>
      <c r="BK181" s="109" t="s">
        <v>916</v>
      </c>
      <c r="BL181" s="109" t="s">
        <v>916</v>
      </c>
      <c r="BM181" s="109" t="s">
        <v>916</v>
      </c>
      <c r="BN181" s="109" t="s">
        <v>916</v>
      </c>
      <c r="BO181" s="2"/>
    </row>
    <row r="182" spans="1:67" ht="15">
      <c r="A182" s="61" t="s">
        <v>437</v>
      </c>
      <c r="B182" s="62"/>
      <c r="C182" s="62"/>
      <c r="D182" s="63">
        <v>80</v>
      </c>
      <c r="E182" s="65"/>
      <c r="F182" s="100" t="str">
        <f>HYPERLINK("https://pbs.twimg.com/profile_images/1492271795201880065/0OztYME1_normal.png")</f>
        <v>https://pbs.twimg.com/profile_images/1492271795201880065/0OztYME1_normal.png</v>
      </c>
      <c r="G182" s="62"/>
      <c r="H182" s="66" t="s">
        <v>437</v>
      </c>
      <c r="I182" s="67"/>
      <c r="J182" s="67"/>
      <c r="K182" s="66" t="s">
        <v>437</v>
      </c>
      <c r="L182" s="70">
        <v>1</v>
      </c>
      <c r="M182" s="71">
        <v>4881.97802734375</v>
      </c>
      <c r="N182" s="71">
        <v>3814.44921875</v>
      </c>
      <c r="O182" s="72"/>
      <c r="P182" s="73"/>
      <c r="Q182" s="73"/>
      <c r="R182" s="86"/>
      <c r="S182" s="45">
        <v>1</v>
      </c>
      <c r="T182" s="45">
        <v>0</v>
      </c>
      <c r="U182" s="46">
        <v>0</v>
      </c>
      <c r="V182" s="46">
        <v>0.005025</v>
      </c>
      <c r="W182" s="46">
        <v>0</v>
      </c>
      <c r="X182" s="46">
        <v>0.005</v>
      </c>
      <c r="Y182" s="46">
        <v>0</v>
      </c>
      <c r="Z182" s="46">
        <v>0</v>
      </c>
      <c r="AA182" s="68">
        <v>182</v>
      </c>
      <c r="AB182" s="68"/>
      <c r="AC182" s="69"/>
      <c r="AD182" s="76" t="s">
        <v>1164</v>
      </c>
      <c r="AE182" s="85" t="s">
        <v>946</v>
      </c>
      <c r="AF182" s="76">
        <v>8407</v>
      </c>
      <c r="AG182" s="76">
        <v>368853</v>
      </c>
      <c r="AH182" s="76">
        <v>9514</v>
      </c>
      <c r="AI182" s="76">
        <v>117459</v>
      </c>
      <c r="AJ182" s="76"/>
      <c r="AK182" s="76" t="s">
        <v>1515</v>
      </c>
      <c r="AL182" s="76"/>
      <c r="AM182" s="82" t="str">
        <f>HYPERLINK("https://t.co/4Uft4qmS1T")</f>
        <v>https://t.co/4Uft4qmS1T</v>
      </c>
      <c r="AN182" s="76"/>
      <c r="AO182" s="78">
        <v>44126.61278935185</v>
      </c>
      <c r="AP182" s="82" t="str">
        <f>HYPERLINK("https://pbs.twimg.com/profile_banners/1319287761048723458/1669804980")</f>
        <v>https://pbs.twimg.com/profile_banners/1319287761048723458/1669804980</v>
      </c>
      <c r="AQ182" s="76" t="b">
        <v>1</v>
      </c>
      <c r="AR182" s="76" t="b">
        <v>0</v>
      </c>
      <c r="AS182" s="76" t="b">
        <v>0</v>
      </c>
      <c r="AT182" s="76"/>
      <c r="AU182" s="76">
        <v>1453</v>
      </c>
      <c r="AV182" s="76"/>
      <c r="AW182" s="76" t="b">
        <v>1</v>
      </c>
      <c r="AX182" s="76" t="s">
        <v>1651</v>
      </c>
      <c r="AY182" s="82" t="str">
        <f>HYPERLINK("https://twitter.com/marionawfal")</f>
        <v>https://twitter.com/marionawfal</v>
      </c>
      <c r="AZ182" s="76" t="s">
        <v>65</v>
      </c>
      <c r="BA182" s="76" t="str">
        <f>REPLACE(INDEX(GroupVertices[Group],MATCH(Vertices[[#This Row],[Vertex]],GroupVertices[Vertex],0)),1,1,"")</f>
        <v>23</v>
      </c>
      <c r="BB182" s="45"/>
      <c r="BC182" s="46"/>
      <c r="BD182" s="45"/>
      <c r="BE182" s="46"/>
      <c r="BF182" s="45"/>
      <c r="BG182" s="46"/>
      <c r="BH182" s="45"/>
      <c r="BI182" s="46"/>
      <c r="BJ182" s="45"/>
      <c r="BK182" s="45"/>
      <c r="BL182" s="45"/>
      <c r="BM182" s="45"/>
      <c r="BN182" s="45"/>
      <c r="BO182" s="2"/>
    </row>
    <row r="183" spans="1:67" ht="15">
      <c r="A183" s="61" t="s">
        <v>372</v>
      </c>
      <c r="B183" s="62"/>
      <c r="C183" s="62"/>
      <c r="D183" s="63">
        <v>121.81818181818181</v>
      </c>
      <c r="E183" s="65"/>
      <c r="F183" s="100" t="str">
        <f>HYPERLINK("https://pbs.twimg.com/profile_images/1610478885711249408/L1eGoilG_normal.jpg")</f>
        <v>https://pbs.twimg.com/profile_images/1610478885711249408/L1eGoilG_normal.jpg</v>
      </c>
      <c r="G183" s="62"/>
      <c r="H183" s="66" t="s">
        <v>372</v>
      </c>
      <c r="I183" s="67"/>
      <c r="J183" s="67"/>
      <c r="K183" s="66" t="s">
        <v>372</v>
      </c>
      <c r="L183" s="70">
        <v>58.45977011494253</v>
      </c>
      <c r="M183" s="71">
        <v>4020.40283203125</v>
      </c>
      <c r="N183" s="71">
        <v>2159.17431640625</v>
      </c>
      <c r="O183" s="72"/>
      <c r="P183" s="73"/>
      <c r="Q183" s="73"/>
      <c r="R183" s="86"/>
      <c r="S183" s="45">
        <v>0</v>
      </c>
      <c r="T183" s="45">
        <v>2</v>
      </c>
      <c r="U183" s="46">
        <v>2</v>
      </c>
      <c r="V183" s="46">
        <v>0.01005</v>
      </c>
      <c r="W183" s="46">
        <v>0</v>
      </c>
      <c r="X183" s="46">
        <v>0.005652</v>
      </c>
      <c r="Y183" s="46">
        <v>0</v>
      </c>
      <c r="Z183" s="46">
        <v>0</v>
      </c>
      <c r="AA183" s="68">
        <v>183</v>
      </c>
      <c r="AB183" s="68"/>
      <c r="AC183" s="69"/>
      <c r="AD183" s="76" t="s">
        <v>1165</v>
      </c>
      <c r="AE183" s="85" t="s">
        <v>1335</v>
      </c>
      <c r="AF183" s="76">
        <v>59</v>
      </c>
      <c r="AG183" s="76">
        <v>10</v>
      </c>
      <c r="AH183" s="76">
        <v>159</v>
      </c>
      <c r="AI183" s="76">
        <v>543</v>
      </c>
      <c r="AJ183" s="76"/>
      <c r="AK183" s="76" t="s">
        <v>1516</v>
      </c>
      <c r="AL183" s="76" t="s">
        <v>1639</v>
      </c>
      <c r="AM183" s="76"/>
      <c r="AN183" s="76"/>
      <c r="AO183" s="78">
        <v>44876.73835648148</v>
      </c>
      <c r="AP183" s="82" t="str">
        <f>HYPERLINK("https://pbs.twimg.com/profile_banners/1591124306792153098/1672803063")</f>
        <v>https://pbs.twimg.com/profile_banners/1591124306792153098/1672803063</v>
      </c>
      <c r="AQ183" s="76" t="b">
        <v>1</v>
      </c>
      <c r="AR183" s="76" t="b">
        <v>0</v>
      </c>
      <c r="AS183" s="76" t="b">
        <v>0</v>
      </c>
      <c r="AT183" s="76"/>
      <c r="AU183" s="76">
        <v>1</v>
      </c>
      <c r="AV183" s="76"/>
      <c r="AW183" s="76" t="b">
        <v>0</v>
      </c>
      <c r="AX183" s="76" t="s">
        <v>1651</v>
      </c>
      <c r="AY183" s="82" t="str">
        <f>HYPERLINK("https://twitter.com/baha_tyler")</f>
        <v>https://twitter.com/baha_tyler</v>
      </c>
      <c r="AZ183" s="76" t="s">
        <v>66</v>
      </c>
      <c r="BA183" s="76" t="str">
        <f>REPLACE(INDEX(GroupVertices[Group],MATCH(Vertices[[#This Row],[Vertex]],GroupVertices[Vertex],0)),1,1,"")</f>
        <v>15</v>
      </c>
      <c r="BB183" s="45"/>
      <c r="BC183" s="46"/>
      <c r="BD183" s="45"/>
      <c r="BE183" s="46"/>
      <c r="BF183" s="45"/>
      <c r="BG183" s="46"/>
      <c r="BH183" s="45"/>
      <c r="BI183" s="46"/>
      <c r="BJ183" s="45"/>
      <c r="BK183" s="109" t="s">
        <v>916</v>
      </c>
      <c r="BL183" s="109" t="s">
        <v>916</v>
      </c>
      <c r="BM183" s="109" t="s">
        <v>916</v>
      </c>
      <c r="BN183" s="109" t="s">
        <v>916</v>
      </c>
      <c r="BO183" s="2"/>
    </row>
    <row r="184" spans="1:67" ht="15">
      <c r="A184" s="61" t="s">
        <v>438</v>
      </c>
      <c r="B184" s="62"/>
      <c r="C184" s="62"/>
      <c r="D184" s="63">
        <v>80</v>
      </c>
      <c r="E184" s="65"/>
      <c r="F184" s="100" t="str">
        <f>HYPERLINK("https://pbs.twimg.com/profile_images/1164936441803055104/SmjZIUqc_normal.jpg")</f>
        <v>https://pbs.twimg.com/profile_images/1164936441803055104/SmjZIUqc_normal.jpg</v>
      </c>
      <c r="G184" s="62"/>
      <c r="H184" s="66" t="s">
        <v>438</v>
      </c>
      <c r="I184" s="67"/>
      <c r="J184" s="67"/>
      <c r="K184" s="66" t="s">
        <v>438</v>
      </c>
      <c r="L184" s="70">
        <v>1</v>
      </c>
      <c r="M184" s="71">
        <v>4834.39306640625</v>
      </c>
      <c r="N184" s="71">
        <v>1152.283935546875</v>
      </c>
      <c r="O184" s="72"/>
      <c r="P184" s="73"/>
      <c r="Q184" s="73"/>
      <c r="R184" s="86"/>
      <c r="S184" s="45">
        <v>1</v>
      </c>
      <c r="T184" s="45">
        <v>0</v>
      </c>
      <c r="U184" s="46">
        <v>0</v>
      </c>
      <c r="V184" s="46">
        <v>0.0067</v>
      </c>
      <c r="W184" s="46">
        <v>0</v>
      </c>
      <c r="X184" s="46">
        <v>0.004674</v>
      </c>
      <c r="Y184" s="46">
        <v>0</v>
      </c>
      <c r="Z184" s="46">
        <v>0</v>
      </c>
      <c r="AA184" s="68">
        <v>184</v>
      </c>
      <c r="AB184" s="68"/>
      <c r="AC184" s="69"/>
      <c r="AD184" s="76" t="s">
        <v>1166</v>
      </c>
      <c r="AE184" s="85" t="s">
        <v>1336</v>
      </c>
      <c r="AF184" s="76">
        <v>9195</v>
      </c>
      <c r="AG184" s="76">
        <v>8643</v>
      </c>
      <c r="AH184" s="76">
        <v>124353</v>
      </c>
      <c r="AI184" s="76">
        <v>134789</v>
      </c>
      <c r="AJ184" s="76"/>
      <c r="AK184" s="76" t="s">
        <v>1517</v>
      </c>
      <c r="AL184" s="76"/>
      <c r="AM184" s="76"/>
      <c r="AN184" s="76"/>
      <c r="AO184" s="78">
        <v>42110.19826388889</v>
      </c>
      <c r="AP184" s="82" t="str">
        <f>HYPERLINK("https://pbs.twimg.com/profile_banners/3158594594/1566577465")</f>
        <v>https://pbs.twimg.com/profile_banners/3158594594/1566577465</v>
      </c>
      <c r="AQ184" s="76" t="b">
        <v>1</v>
      </c>
      <c r="AR184" s="76" t="b">
        <v>0</v>
      </c>
      <c r="AS184" s="76" t="b">
        <v>0</v>
      </c>
      <c r="AT184" s="76"/>
      <c r="AU184" s="76">
        <v>8</v>
      </c>
      <c r="AV184" s="82" t="str">
        <f>HYPERLINK("https://abs.twimg.com/images/themes/theme1/bg.png")</f>
        <v>https://abs.twimg.com/images/themes/theme1/bg.png</v>
      </c>
      <c r="AW184" s="76" t="b">
        <v>0</v>
      </c>
      <c r="AX184" s="76" t="s">
        <v>1651</v>
      </c>
      <c r="AY184" s="82" t="str">
        <f>HYPERLINK("https://twitter.com/txtrumpgal1964")</f>
        <v>https://twitter.com/txtrumpgal1964</v>
      </c>
      <c r="AZ184" s="76" t="s">
        <v>65</v>
      </c>
      <c r="BA184" s="76" t="str">
        <f>REPLACE(INDEX(GroupVertices[Group],MATCH(Vertices[[#This Row],[Vertex]],GroupVertices[Vertex],0)),1,1,"")</f>
        <v>15</v>
      </c>
      <c r="BB184" s="45"/>
      <c r="BC184" s="46"/>
      <c r="BD184" s="45"/>
      <c r="BE184" s="46"/>
      <c r="BF184" s="45"/>
      <c r="BG184" s="46"/>
      <c r="BH184" s="45"/>
      <c r="BI184" s="46"/>
      <c r="BJ184" s="45"/>
      <c r="BK184" s="45"/>
      <c r="BL184" s="45"/>
      <c r="BM184" s="45"/>
      <c r="BN184" s="45"/>
      <c r="BO184" s="2"/>
    </row>
    <row r="185" spans="1:67" ht="15">
      <c r="A185" s="61" t="s">
        <v>439</v>
      </c>
      <c r="B185" s="62"/>
      <c r="C185" s="62"/>
      <c r="D185" s="63">
        <v>80</v>
      </c>
      <c r="E185" s="65"/>
      <c r="F185" s="100" t="str">
        <f>HYPERLINK("https://pbs.twimg.com/profile_images/1519751971393048577/obTMEpcB_normal.jpg")</f>
        <v>https://pbs.twimg.com/profile_images/1519751971393048577/obTMEpcB_normal.jpg</v>
      </c>
      <c r="G185" s="62"/>
      <c r="H185" s="66" t="s">
        <v>439</v>
      </c>
      <c r="I185" s="67"/>
      <c r="J185" s="67"/>
      <c r="K185" s="66" t="s">
        <v>439</v>
      </c>
      <c r="L185" s="70">
        <v>1</v>
      </c>
      <c r="M185" s="71">
        <v>3139.630615234375</v>
      </c>
      <c r="N185" s="71">
        <v>3102.145263671875</v>
      </c>
      <c r="O185" s="72"/>
      <c r="P185" s="73"/>
      <c r="Q185" s="73"/>
      <c r="R185" s="86"/>
      <c r="S185" s="45">
        <v>1</v>
      </c>
      <c r="T185" s="45">
        <v>0</v>
      </c>
      <c r="U185" s="46">
        <v>0</v>
      </c>
      <c r="V185" s="46">
        <v>0.0067</v>
      </c>
      <c r="W185" s="46">
        <v>0</v>
      </c>
      <c r="X185" s="46">
        <v>0.004674</v>
      </c>
      <c r="Y185" s="46">
        <v>0</v>
      </c>
      <c r="Z185" s="46">
        <v>0</v>
      </c>
      <c r="AA185" s="68">
        <v>185</v>
      </c>
      <c r="AB185" s="68"/>
      <c r="AC185" s="69"/>
      <c r="AD185" s="76" t="s">
        <v>1167</v>
      </c>
      <c r="AE185" s="85" t="s">
        <v>947</v>
      </c>
      <c r="AF185" s="76">
        <v>10224</v>
      </c>
      <c r="AG185" s="76">
        <v>18537</v>
      </c>
      <c r="AH185" s="76">
        <v>12507</v>
      </c>
      <c r="AI185" s="76">
        <v>30359</v>
      </c>
      <c r="AJ185" s="76"/>
      <c r="AK185" s="76" t="s">
        <v>1518</v>
      </c>
      <c r="AL185" s="76" t="s">
        <v>1640</v>
      </c>
      <c r="AM185" s="76"/>
      <c r="AN185" s="76"/>
      <c r="AO185" s="78">
        <v>44610.19290509259</v>
      </c>
      <c r="AP185" s="82" t="str">
        <f>HYPERLINK("https://pbs.twimg.com/profile_banners/1494531504700997633/1673074670")</f>
        <v>https://pbs.twimg.com/profile_banners/1494531504700997633/1673074670</v>
      </c>
      <c r="AQ185" s="76" t="b">
        <v>1</v>
      </c>
      <c r="AR185" s="76" t="b">
        <v>0</v>
      </c>
      <c r="AS185" s="76" t="b">
        <v>0</v>
      </c>
      <c r="AT185" s="76"/>
      <c r="AU185" s="76">
        <v>62</v>
      </c>
      <c r="AV185" s="76"/>
      <c r="AW185" s="76" t="b">
        <v>0</v>
      </c>
      <c r="AX185" s="76" t="s">
        <v>1651</v>
      </c>
      <c r="AY185" s="82" t="str">
        <f>HYPERLINK("https://twitter.com/fisherlady111")</f>
        <v>https://twitter.com/fisherlady111</v>
      </c>
      <c r="AZ185" s="76" t="s">
        <v>65</v>
      </c>
      <c r="BA185" s="76" t="str">
        <f>REPLACE(INDEX(GroupVertices[Group],MATCH(Vertices[[#This Row],[Vertex]],GroupVertices[Vertex],0)),1,1,"")</f>
        <v>15</v>
      </c>
      <c r="BB185" s="45"/>
      <c r="BC185" s="46"/>
      <c r="BD185" s="45"/>
      <c r="BE185" s="46"/>
      <c r="BF185" s="45"/>
      <c r="BG185" s="46"/>
      <c r="BH185" s="45"/>
      <c r="BI185" s="46"/>
      <c r="BJ185" s="45"/>
      <c r="BK185" s="45"/>
      <c r="BL185" s="45"/>
      <c r="BM185" s="45"/>
      <c r="BN185" s="45"/>
      <c r="BO185" s="2"/>
    </row>
    <row r="186" spans="1:67" ht="15">
      <c r="A186" s="61" t="s">
        <v>373</v>
      </c>
      <c r="B186" s="62"/>
      <c r="C186" s="62"/>
      <c r="D186" s="63">
        <v>80</v>
      </c>
      <c r="E186" s="65"/>
      <c r="F186" s="100" t="str">
        <f>HYPERLINK("https://pbs.twimg.com/profile_images/1298390669766008832/lIfDJ0sB_normal.jpg")</f>
        <v>https://pbs.twimg.com/profile_images/1298390669766008832/lIfDJ0sB_normal.jpg</v>
      </c>
      <c r="G186" s="62"/>
      <c r="H186" s="66" t="s">
        <v>373</v>
      </c>
      <c r="I186" s="67"/>
      <c r="J186" s="67"/>
      <c r="K186" s="66" t="s">
        <v>373</v>
      </c>
      <c r="L186" s="70">
        <v>1</v>
      </c>
      <c r="M186" s="71">
        <v>4140.564453125</v>
      </c>
      <c r="N186" s="71">
        <v>2697.960205078125</v>
      </c>
      <c r="O186" s="72"/>
      <c r="P186" s="73"/>
      <c r="Q186" s="73"/>
      <c r="R186" s="86"/>
      <c r="S186" s="45">
        <v>1</v>
      </c>
      <c r="T186" s="45">
        <v>1</v>
      </c>
      <c r="U186" s="46">
        <v>0</v>
      </c>
      <c r="V186" s="46">
        <v>0</v>
      </c>
      <c r="W186" s="46">
        <v>0</v>
      </c>
      <c r="X186" s="46">
        <v>0.005</v>
      </c>
      <c r="Y186" s="46">
        <v>0</v>
      </c>
      <c r="Z186" s="46">
        <v>0</v>
      </c>
      <c r="AA186" s="68">
        <v>186</v>
      </c>
      <c r="AB186" s="68"/>
      <c r="AC186" s="69"/>
      <c r="AD186" s="76" t="s">
        <v>1168</v>
      </c>
      <c r="AE186" s="85" t="s">
        <v>1337</v>
      </c>
      <c r="AF186" s="76">
        <v>1528</v>
      </c>
      <c r="AG186" s="76">
        <v>1767</v>
      </c>
      <c r="AH186" s="76">
        <v>30478</v>
      </c>
      <c r="AI186" s="76">
        <v>3739</v>
      </c>
      <c r="AJ186" s="76"/>
      <c r="AK186" s="76" t="s">
        <v>1519</v>
      </c>
      <c r="AL186" s="76" t="s">
        <v>1641</v>
      </c>
      <c r="AM186" s="82" t="str">
        <f>HYPERLINK("https://t.co/mG3f1XP1Ss")</f>
        <v>https://t.co/mG3f1XP1Ss</v>
      </c>
      <c r="AN186" s="76"/>
      <c r="AO186" s="78">
        <v>40131.182118055556</v>
      </c>
      <c r="AP186" s="82" t="str">
        <f>HYPERLINK("https://pbs.twimg.com/profile_banners/89869087/1604787614")</f>
        <v>https://pbs.twimg.com/profile_banners/89869087/1604787614</v>
      </c>
      <c r="AQ186" s="76" t="b">
        <v>0</v>
      </c>
      <c r="AR186" s="76" t="b">
        <v>0</v>
      </c>
      <c r="AS186" s="76" t="b">
        <v>1</v>
      </c>
      <c r="AT186" s="76"/>
      <c r="AU186" s="76">
        <v>71</v>
      </c>
      <c r="AV186" s="82" t="str">
        <f>HYPERLINK("https://abs.twimg.com/images/themes/theme5/bg.gif")</f>
        <v>https://abs.twimg.com/images/themes/theme5/bg.gif</v>
      </c>
      <c r="AW186" s="76" t="b">
        <v>0</v>
      </c>
      <c r="AX186" s="76" t="s">
        <v>1651</v>
      </c>
      <c r="AY186" s="82" t="str">
        <f>HYPERLINK("https://twitter.com/alexdunnin")</f>
        <v>https://twitter.com/alexdunnin</v>
      </c>
      <c r="AZ186" s="76" t="s">
        <v>66</v>
      </c>
      <c r="BA186" s="76" t="str">
        <f>REPLACE(INDEX(GroupVertices[Group],MATCH(Vertices[[#This Row],[Vertex]],GroupVertices[Vertex],0)),1,1,"")</f>
        <v>49</v>
      </c>
      <c r="BB186" s="45"/>
      <c r="BC186" s="46"/>
      <c r="BD186" s="45"/>
      <c r="BE186" s="46"/>
      <c r="BF186" s="45"/>
      <c r="BG186" s="46"/>
      <c r="BH186" s="45"/>
      <c r="BI186" s="46"/>
      <c r="BJ186" s="45"/>
      <c r="BK186" s="109" t="s">
        <v>916</v>
      </c>
      <c r="BL186" s="109" t="s">
        <v>916</v>
      </c>
      <c r="BM186" s="109" t="s">
        <v>916</v>
      </c>
      <c r="BN186" s="109" t="s">
        <v>916</v>
      </c>
      <c r="BO186" s="2"/>
    </row>
    <row r="187" spans="1:67" ht="15">
      <c r="A187" s="61" t="s">
        <v>374</v>
      </c>
      <c r="B187" s="62"/>
      <c r="C187" s="62"/>
      <c r="D187" s="63">
        <v>80</v>
      </c>
      <c r="E187" s="65"/>
      <c r="F187" s="100" t="str">
        <f>HYPERLINK("https://pbs.twimg.com/profile_images/1020546654452305920/ftVa3IPi_normal.jpg")</f>
        <v>https://pbs.twimg.com/profile_images/1020546654452305920/ftVa3IPi_normal.jpg</v>
      </c>
      <c r="G187" s="62"/>
      <c r="H187" s="66" t="s">
        <v>374</v>
      </c>
      <c r="I187" s="67"/>
      <c r="J187" s="67"/>
      <c r="K187" s="66" t="s">
        <v>374</v>
      </c>
      <c r="L187" s="70">
        <v>1</v>
      </c>
      <c r="M187" s="71">
        <v>8672.23828125</v>
      </c>
      <c r="N187" s="71">
        <v>4005.49609375</v>
      </c>
      <c r="O187" s="72"/>
      <c r="P187" s="73"/>
      <c r="Q187" s="73"/>
      <c r="R187" s="86"/>
      <c r="S187" s="45">
        <v>0</v>
      </c>
      <c r="T187" s="45">
        <v>1</v>
      </c>
      <c r="U187" s="46">
        <v>0</v>
      </c>
      <c r="V187" s="46">
        <v>0.025809</v>
      </c>
      <c r="W187" s="46">
        <v>3E-05</v>
      </c>
      <c r="X187" s="46">
        <v>0.004548</v>
      </c>
      <c r="Y187" s="46">
        <v>0</v>
      </c>
      <c r="Z187" s="46">
        <v>0</v>
      </c>
      <c r="AA187" s="68">
        <v>187</v>
      </c>
      <c r="AB187" s="68"/>
      <c r="AC187" s="69"/>
      <c r="AD187" s="76" t="s">
        <v>1169</v>
      </c>
      <c r="AE187" s="85" t="s">
        <v>1338</v>
      </c>
      <c r="AF187" s="76">
        <v>605</v>
      </c>
      <c r="AG187" s="76">
        <v>487</v>
      </c>
      <c r="AH187" s="76">
        <v>1518</v>
      </c>
      <c r="AI187" s="76">
        <v>3871</v>
      </c>
      <c r="AJ187" s="76"/>
      <c r="AK187" s="76" t="s">
        <v>1520</v>
      </c>
      <c r="AL187" s="76" t="s">
        <v>1642</v>
      </c>
      <c r="AM187" s="82" t="str">
        <f>HYPERLINK("https://t.co/jZoyhD45ug")</f>
        <v>https://t.co/jZoyhD45ug</v>
      </c>
      <c r="AN187" s="76"/>
      <c r="AO187" s="78">
        <v>39990.32914351852</v>
      </c>
      <c r="AP187" s="82" t="str">
        <f>HYPERLINK("https://pbs.twimg.com/profile_banners/50968811/1632516608")</f>
        <v>https://pbs.twimg.com/profile_banners/50968811/1632516608</v>
      </c>
      <c r="AQ187" s="76" t="b">
        <v>0</v>
      </c>
      <c r="AR187" s="76" t="b">
        <v>0</v>
      </c>
      <c r="AS187" s="76" t="b">
        <v>1</v>
      </c>
      <c r="AT187" s="76"/>
      <c r="AU187" s="76">
        <v>4</v>
      </c>
      <c r="AV187" s="82" t="str">
        <f>HYPERLINK("https://abs.twimg.com/images/themes/theme4/bg.gif")</f>
        <v>https://abs.twimg.com/images/themes/theme4/bg.gif</v>
      </c>
      <c r="AW187" s="76" t="b">
        <v>0</v>
      </c>
      <c r="AX187" s="76" t="s">
        <v>1651</v>
      </c>
      <c r="AY187" s="82" t="str">
        <f>HYPERLINK("https://twitter.com/tangeuk")</f>
        <v>https://twitter.com/tangeuk</v>
      </c>
      <c r="AZ187" s="76" t="s">
        <v>66</v>
      </c>
      <c r="BA187" s="76" t="str">
        <f>REPLACE(INDEX(GroupVertices[Group],MATCH(Vertices[[#This Row],[Vertex]],GroupVertices[Vertex],0)),1,1,"")</f>
        <v>7</v>
      </c>
      <c r="BB187" s="45"/>
      <c r="BC187" s="46"/>
      <c r="BD187" s="45"/>
      <c r="BE187" s="46"/>
      <c r="BF187" s="45"/>
      <c r="BG187" s="46"/>
      <c r="BH187" s="45"/>
      <c r="BI187" s="46"/>
      <c r="BJ187" s="45"/>
      <c r="BK187" s="109" t="s">
        <v>916</v>
      </c>
      <c r="BL187" s="109" t="s">
        <v>916</v>
      </c>
      <c r="BM187" s="109" t="s">
        <v>916</v>
      </c>
      <c r="BN187" s="109" t="s">
        <v>916</v>
      </c>
      <c r="BO187" s="2"/>
    </row>
    <row r="188" spans="1:67" ht="15">
      <c r="A188" s="61" t="s">
        <v>375</v>
      </c>
      <c r="B188" s="62"/>
      <c r="C188" s="62"/>
      <c r="D188" s="63">
        <v>80</v>
      </c>
      <c r="E188" s="65"/>
      <c r="F188" s="100" t="str">
        <f>HYPERLINK("https://pbs.twimg.com/profile_images/1336824938544517120/0p3LLrYe_normal.jpg")</f>
        <v>https://pbs.twimg.com/profile_images/1336824938544517120/0p3LLrYe_normal.jpg</v>
      </c>
      <c r="G188" s="62"/>
      <c r="H188" s="66" t="s">
        <v>375</v>
      </c>
      <c r="I188" s="67"/>
      <c r="J188" s="67"/>
      <c r="K188" s="66" t="s">
        <v>375</v>
      </c>
      <c r="L188" s="70">
        <v>1</v>
      </c>
      <c r="M188" s="71">
        <v>4044.0478515625</v>
      </c>
      <c r="N188" s="71">
        <v>2574.953125</v>
      </c>
      <c r="O188" s="72"/>
      <c r="P188" s="73"/>
      <c r="Q188" s="73"/>
      <c r="R188" s="86"/>
      <c r="S188" s="45">
        <v>2</v>
      </c>
      <c r="T188" s="45">
        <v>1</v>
      </c>
      <c r="U188" s="46">
        <v>0</v>
      </c>
      <c r="V188" s="46">
        <v>0.005025</v>
      </c>
      <c r="W188" s="46">
        <v>0</v>
      </c>
      <c r="X188" s="46">
        <v>0.005349</v>
      </c>
      <c r="Y188" s="46">
        <v>0</v>
      </c>
      <c r="Z188" s="46">
        <v>0</v>
      </c>
      <c r="AA188" s="68">
        <v>188</v>
      </c>
      <c r="AB188" s="68"/>
      <c r="AC188" s="69"/>
      <c r="AD188" s="76" t="s">
        <v>1170</v>
      </c>
      <c r="AE188" s="85" t="s">
        <v>1339</v>
      </c>
      <c r="AF188" s="76">
        <v>3347</v>
      </c>
      <c r="AG188" s="76">
        <v>1365</v>
      </c>
      <c r="AH188" s="76">
        <v>45967</v>
      </c>
      <c r="AI188" s="76">
        <v>71821</v>
      </c>
      <c r="AJ188" s="76"/>
      <c r="AK188" s="76" t="s">
        <v>1521</v>
      </c>
      <c r="AL188" s="76"/>
      <c r="AM188" s="76"/>
      <c r="AN188" s="76"/>
      <c r="AO188" s="78">
        <v>41788.56292824074</v>
      </c>
      <c r="AP188" s="82" t="str">
        <f>HYPERLINK("https://pbs.twimg.com/profile_banners/2532678205/1607558919")</f>
        <v>https://pbs.twimg.com/profile_banners/2532678205/1607558919</v>
      </c>
      <c r="AQ188" s="76" t="b">
        <v>1</v>
      </c>
      <c r="AR188" s="76" t="b">
        <v>0</v>
      </c>
      <c r="AS188" s="76" t="b">
        <v>0</v>
      </c>
      <c r="AT188" s="76"/>
      <c r="AU188" s="76">
        <v>7</v>
      </c>
      <c r="AV188" s="82" t="str">
        <f>HYPERLINK("https://abs.twimg.com/images/themes/theme1/bg.png")</f>
        <v>https://abs.twimg.com/images/themes/theme1/bg.png</v>
      </c>
      <c r="AW188" s="76" t="b">
        <v>0</v>
      </c>
      <c r="AX188" s="76" t="s">
        <v>1651</v>
      </c>
      <c r="AY188" s="82" t="str">
        <f>HYPERLINK("https://twitter.com/fernandolongooz")</f>
        <v>https://twitter.com/fernandolongooz</v>
      </c>
      <c r="AZ188" s="76" t="s">
        <v>66</v>
      </c>
      <c r="BA188" s="76" t="str">
        <f>REPLACE(INDEX(GroupVertices[Group],MATCH(Vertices[[#This Row],[Vertex]],GroupVertices[Vertex],0)),1,1,"")</f>
        <v>22</v>
      </c>
      <c r="BB188" s="45"/>
      <c r="BC188" s="46"/>
      <c r="BD188" s="45"/>
      <c r="BE188" s="46"/>
      <c r="BF188" s="45"/>
      <c r="BG188" s="46"/>
      <c r="BH188" s="45"/>
      <c r="BI188" s="46"/>
      <c r="BJ188" s="45"/>
      <c r="BK188" s="109" t="s">
        <v>916</v>
      </c>
      <c r="BL188" s="109" t="s">
        <v>916</v>
      </c>
      <c r="BM188" s="109" t="s">
        <v>916</v>
      </c>
      <c r="BN188" s="109" t="s">
        <v>916</v>
      </c>
      <c r="BO188" s="2"/>
    </row>
    <row r="189" spans="1:67" ht="15">
      <c r="A189" s="61" t="s">
        <v>376</v>
      </c>
      <c r="B189" s="62"/>
      <c r="C189" s="62"/>
      <c r="D189" s="63">
        <v>80</v>
      </c>
      <c r="E189" s="65"/>
      <c r="F189" s="100" t="str">
        <f>HYPERLINK("https://pbs.twimg.com/profile_images/1506985850462040066/7hF9ZxSk_normal.jpg")</f>
        <v>https://pbs.twimg.com/profile_images/1506985850462040066/7hF9ZxSk_normal.jpg</v>
      </c>
      <c r="G189" s="62"/>
      <c r="H189" s="66" t="s">
        <v>376</v>
      </c>
      <c r="I189" s="67"/>
      <c r="J189" s="67"/>
      <c r="K189" s="66" t="s">
        <v>376</v>
      </c>
      <c r="L189" s="70">
        <v>1</v>
      </c>
      <c r="M189" s="71">
        <v>5299.96533203125</v>
      </c>
      <c r="N189" s="71">
        <v>2647.525146484375</v>
      </c>
      <c r="O189" s="72"/>
      <c r="P189" s="73"/>
      <c r="Q189" s="73"/>
      <c r="R189" s="86"/>
      <c r="S189" s="45">
        <v>0</v>
      </c>
      <c r="T189" s="45">
        <v>1</v>
      </c>
      <c r="U189" s="46">
        <v>0</v>
      </c>
      <c r="V189" s="46">
        <v>0.005025</v>
      </c>
      <c r="W189" s="46">
        <v>0</v>
      </c>
      <c r="X189" s="46">
        <v>0.004651</v>
      </c>
      <c r="Y189" s="46">
        <v>0</v>
      </c>
      <c r="Z189" s="46">
        <v>0</v>
      </c>
      <c r="AA189" s="68">
        <v>189</v>
      </c>
      <c r="AB189" s="68"/>
      <c r="AC189" s="69"/>
      <c r="AD189" s="76" t="s">
        <v>1171</v>
      </c>
      <c r="AE189" s="85" t="s">
        <v>1340</v>
      </c>
      <c r="AF189" s="76">
        <v>5030</v>
      </c>
      <c r="AG189" s="76">
        <v>4706</v>
      </c>
      <c r="AH189" s="76">
        <v>132206</v>
      </c>
      <c r="AI189" s="76">
        <v>18834</v>
      </c>
      <c r="AJ189" s="76"/>
      <c r="AK189" s="76" t="s">
        <v>1522</v>
      </c>
      <c r="AL189" s="76"/>
      <c r="AM189" s="76"/>
      <c r="AN189" s="76"/>
      <c r="AO189" s="78">
        <v>40304.014444444445</v>
      </c>
      <c r="AP189" s="82" t="str">
        <f>HYPERLINK("https://pbs.twimg.com/profile_banners/140618811/1494163501")</f>
        <v>https://pbs.twimg.com/profile_banners/140618811/1494163501</v>
      </c>
      <c r="AQ189" s="76" t="b">
        <v>1</v>
      </c>
      <c r="AR189" s="76" t="b">
        <v>0</v>
      </c>
      <c r="AS189" s="76" t="b">
        <v>1</v>
      </c>
      <c r="AT189" s="76"/>
      <c r="AU189" s="76">
        <v>222</v>
      </c>
      <c r="AV189" s="82" t="str">
        <f>HYPERLINK("https://abs.twimg.com/images/themes/theme1/bg.png")</f>
        <v>https://abs.twimg.com/images/themes/theme1/bg.png</v>
      </c>
      <c r="AW189" s="76" t="b">
        <v>0</v>
      </c>
      <c r="AX189" s="76" t="s">
        <v>1651</v>
      </c>
      <c r="AY189" s="82" t="str">
        <f>HYPERLINK("https://twitter.com/richardkimphd")</f>
        <v>https://twitter.com/richardkimphd</v>
      </c>
      <c r="AZ189" s="76" t="s">
        <v>66</v>
      </c>
      <c r="BA189" s="76" t="str">
        <f>REPLACE(INDEX(GroupVertices[Group],MATCH(Vertices[[#This Row],[Vertex]],GroupVertices[Vertex],0)),1,1,"")</f>
        <v>22</v>
      </c>
      <c r="BB189" s="45"/>
      <c r="BC189" s="46"/>
      <c r="BD189" s="45"/>
      <c r="BE189" s="46"/>
      <c r="BF189" s="45"/>
      <c r="BG189" s="46"/>
      <c r="BH189" s="45"/>
      <c r="BI189" s="46"/>
      <c r="BJ189" s="45"/>
      <c r="BK189" s="109" t="s">
        <v>916</v>
      </c>
      <c r="BL189" s="109" t="s">
        <v>916</v>
      </c>
      <c r="BM189" s="109" t="s">
        <v>916</v>
      </c>
      <c r="BN189" s="109" t="s">
        <v>916</v>
      </c>
      <c r="BO189" s="2"/>
    </row>
    <row r="190" spans="1:67" ht="15">
      <c r="A190" s="61" t="s">
        <v>377</v>
      </c>
      <c r="B190" s="62"/>
      <c r="C190" s="62"/>
      <c r="D190" s="63">
        <v>80</v>
      </c>
      <c r="E190" s="65"/>
      <c r="F190" s="100" t="str">
        <f>HYPERLINK("https://pbs.twimg.com/profile_images/1370780253480747011/PA73uCnQ_normal.jpg")</f>
        <v>https://pbs.twimg.com/profile_images/1370780253480747011/PA73uCnQ_normal.jpg</v>
      </c>
      <c r="G190" s="62"/>
      <c r="H190" s="66" t="s">
        <v>377</v>
      </c>
      <c r="I190" s="67"/>
      <c r="J190" s="67"/>
      <c r="K190" s="66" t="s">
        <v>377</v>
      </c>
      <c r="L190" s="70">
        <v>1</v>
      </c>
      <c r="M190" s="71">
        <v>4204.2431640625</v>
      </c>
      <c r="N190" s="71">
        <v>2771.830078125</v>
      </c>
      <c r="O190" s="72"/>
      <c r="P190" s="73"/>
      <c r="Q190" s="73"/>
      <c r="R190" s="86"/>
      <c r="S190" s="45">
        <v>1</v>
      </c>
      <c r="T190" s="45">
        <v>1</v>
      </c>
      <c r="U190" s="46">
        <v>0</v>
      </c>
      <c r="V190" s="46">
        <v>0</v>
      </c>
      <c r="W190" s="46">
        <v>0</v>
      </c>
      <c r="X190" s="46">
        <v>0.005</v>
      </c>
      <c r="Y190" s="46">
        <v>0</v>
      </c>
      <c r="Z190" s="46">
        <v>0</v>
      </c>
      <c r="AA190" s="68">
        <v>190</v>
      </c>
      <c r="AB190" s="68"/>
      <c r="AC190" s="69"/>
      <c r="AD190" s="76" t="s">
        <v>1172</v>
      </c>
      <c r="AE190" s="85" t="s">
        <v>1341</v>
      </c>
      <c r="AF190" s="76">
        <v>243</v>
      </c>
      <c r="AG190" s="76">
        <v>58</v>
      </c>
      <c r="AH190" s="76">
        <v>521</v>
      </c>
      <c r="AI190" s="76">
        <v>496</v>
      </c>
      <c r="AJ190" s="76"/>
      <c r="AK190" s="76" t="s">
        <v>1523</v>
      </c>
      <c r="AL190" s="76" t="s">
        <v>1643</v>
      </c>
      <c r="AM190" s="76"/>
      <c r="AN190" s="76"/>
      <c r="AO190" s="78">
        <v>44245.79336805556</v>
      </c>
      <c r="AP190" s="82" t="str">
        <f>HYPERLINK("https://pbs.twimg.com/profile_banners/1362477559192186880/1649099843")</f>
        <v>https://pbs.twimg.com/profile_banners/1362477559192186880/1649099843</v>
      </c>
      <c r="AQ190" s="76" t="b">
        <v>1</v>
      </c>
      <c r="AR190" s="76" t="b">
        <v>0</v>
      </c>
      <c r="AS190" s="76" t="b">
        <v>0</v>
      </c>
      <c r="AT190" s="76"/>
      <c r="AU190" s="76">
        <v>2</v>
      </c>
      <c r="AV190" s="76"/>
      <c r="AW190" s="76" t="b">
        <v>0</v>
      </c>
      <c r="AX190" s="76" t="s">
        <v>1651</v>
      </c>
      <c r="AY190" s="82" t="str">
        <f>HYPERLINK("https://twitter.com/chris_stone_pe")</f>
        <v>https://twitter.com/chris_stone_pe</v>
      </c>
      <c r="AZ190" s="76" t="s">
        <v>66</v>
      </c>
      <c r="BA190" s="76" t="str">
        <f>REPLACE(INDEX(GroupVertices[Group],MATCH(Vertices[[#This Row],[Vertex]],GroupVertices[Vertex],0)),1,1,"")</f>
        <v>48</v>
      </c>
      <c r="BB190" s="45"/>
      <c r="BC190" s="46"/>
      <c r="BD190" s="45"/>
      <c r="BE190" s="46"/>
      <c r="BF190" s="45"/>
      <c r="BG190" s="46"/>
      <c r="BH190" s="45"/>
      <c r="BI190" s="46"/>
      <c r="BJ190" s="45"/>
      <c r="BK190" s="109" t="s">
        <v>916</v>
      </c>
      <c r="BL190" s="109" t="s">
        <v>916</v>
      </c>
      <c r="BM190" s="109" t="s">
        <v>916</v>
      </c>
      <c r="BN190" s="109" t="s">
        <v>916</v>
      </c>
      <c r="BO190" s="2"/>
    </row>
    <row r="191" spans="1:67" ht="15">
      <c r="A191" s="61" t="s">
        <v>378</v>
      </c>
      <c r="B191" s="62"/>
      <c r="C191" s="62"/>
      <c r="D191" s="63">
        <v>121.81818181818181</v>
      </c>
      <c r="E191" s="65"/>
      <c r="F191" s="100" t="str">
        <f>HYPERLINK("https://pbs.twimg.com/profile_images/1224556529938059266/yKI2buWV_normal.jpg")</f>
        <v>https://pbs.twimg.com/profile_images/1224556529938059266/yKI2buWV_normal.jpg</v>
      </c>
      <c r="G191" s="62"/>
      <c r="H191" s="66" t="s">
        <v>378</v>
      </c>
      <c r="I191" s="67"/>
      <c r="J191" s="67"/>
      <c r="K191" s="66" t="s">
        <v>378</v>
      </c>
      <c r="L191" s="70">
        <v>58.45977011494253</v>
      </c>
      <c r="M191" s="71">
        <v>4865.89697265625</v>
      </c>
      <c r="N191" s="71">
        <v>4121.74560546875</v>
      </c>
      <c r="O191" s="72"/>
      <c r="P191" s="73"/>
      <c r="Q191" s="73"/>
      <c r="R191" s="86"/>
      <c r="S191" s="45">
        <v>0</v>
      </c>
      <c r="T191" s="45">
        <v>2</v>
      </c>
      <c r="U191" s="46">
        <v>2</v>
      </c>
      <c r="V191" s="46">
        <v>0.01005</v>
      </c>
      <c r="W191" s="46">
        <v>0</v>
      </c>
      <c r="X191" s="46">
        <v>0.005652</v>
      </c>
      <c r="Y191" s="46">
        <v>0</v>
      </c>
      <c r="Z191" s="46">
        <v>0</v>
      </c>
      <c r="AA191" s="68">
        <v>191</v>
      </c>
      <c r="AB191" s="68"/>
      <c r="AC191" s="69"/>
      <c r="AD191" s="76" t="s">
        <v>1173</v>
      </c>
      <c r="AE191" s="85" t="s">
        <v>1342</v>
      </c>
      <c r="AF191" s="76">
        <v>2265</v>
      </c>
      <c r="AG191" s="76">
        <v>1138</v>
      </c>
      <c r="AH191" s="76">
        <v>5498</v>
      </c>
      <c r="AI191" s="76">
        <v>35964</v>
      </c>
      <c r="AJ191" s="76"/>
      <c r="AK191" s="76" t="s">
        <v>1524</v>
      </c>
      <c r="AL191" s="76" t="s">
        <v>1644</v>
      </c>
      <c r="AM191" s="76"/>
      <c r="AN191" s="76"/>
      <c r="AO191" s="78">
        <v>43380.69556712963</v>
      </c>
      <c r="AP191" s="82" t="str">
        <f>HYPERLINK("https://pbs.twimg.com/profile_banners/1048976649977561088/1662646713")</f>
        <v>https://pbs.twimg.com/profile_banners/1048976649977561088/1662646713</v>
      </c>
      <c r="AQ191" s="76" t="b">
        <v>0</v>
      </c>
      <c r="AR191" s="76" t="b">
        <v>0</v>
      </c>
      <c r="AS191" s="76" t="b">
        <v>0</v>
      </c>
      <c r="AT191" s="76"/>
      <c r="AU191" s="76">
        <v>0</v>
      </c>
      <c r="AV191" s="82" t="str">
        <f>HYPERLINK("https://abs.twimg.com/images/themes/theme1/bg.png")</f>
        <v>https://abs.twimg.com/images/themes/theme1/bg.png</v>
      </c>
      <c r="AW191" s="76" t="b">
        <v>0</v>
      </c>
      <c r="AX191" s="76" t="s">
        <v>1651</v>
      </c>
      <c r="AY191" s="82" t="str">
        <f>HYPERLINK("https://twitter.com/mpatriot107")</f>
        <v>https://twitter.com/mpatriot107</v>
      </c>
      <c r="AZ191" s="76" t="s">
        <v>66</v>
      </c>
      <c r="BA191" s="76" t="str">
        <f>REPLACE(INDEX(GroupVertices[Group],MATCH(Vertices[[#This Row],[Vertex]],GroupVertices[Vertex],0)),1,1,"")</f>
        <v>14</v>
      </c>
      <c r="BB191" s="45"/>
      <c r="BC191" s="46"/>
      <c r="BD191" s="45"/>
      <c r="BE191" s="46"/>
      <c r="BF191" s="45"/>
      <c r="BG191" s="46"/>
      <c r="BH191" s="45"/>
      <c r="BI191" s="46"/>
      <c r="BJ191" s="45"/>
      <c r="BK191" s="109" t="s">
        <v>916</v>
      </c>
      <c r="BL191" s="109" t="s">
        <v>916</v>
      </c>
      <c r="BM191" s="109" t="s">
        <v>916</v>
      </c>
      <c r="BN191" s="109" t="s">
        <v>916</v>
      </c>
      <c r="BO191" s="2"/>
    </row>
    <row r="192" spans="1:67" ht="15">
      <c r="A192" s="61" t="s">
        <v>440</v>
      </c>
      <c r="B192" s="62"/>
      <c r="C192" s="62"/>
      <c r="D192" s="63">
        <v>80</v>
      </c>
      <c r="E192" s="65"/>
      <c r="F192" s="100" t="str">
        <f>HYPERLINK("https://pbs.twimg.com/profile_images/1602336749664862210/6NzMkFPg_normal.jpg")</f>
        <v>https://pbs.twimg.com/profile_images/1602336749664862210/6NzMkFPg_normal.jpg</v>
      </c>
      <c r="G192" s="62"/>
      <c r="H192" s="66" t="s">
        <v>440</v>
      </c>
      <c r="I192" s="67"/>
      <c r="J192" s="67"/>
      <c r="K192" s="66" t="s">
        <v>440</v>
      </c>
      <c r="L192" s="70">
        <v>1</v>
      </c>
      <c r="M192" s="71">
        <v>5119.61181640625</v>
      </c>
      <c r="N192" s="71">
        <v>5414.96826171875</v>
      </c>
      <c r="O192" s="72"/>
      <c r="P192" s="73"/>
      <c r="Q192" s="73"/>
      <c r="R192" s="86"/>
      <c r="S192" s="45">
        <v>1</v>
      </c>
      <c r="T192" s="45">
        <v>0</v>
      </c>
      <c r="U192" s="46">
        <v>0</v>
      </c>
      <c r="V192" s="46">
        <v>0.0067</v>
      </c>
      <c r="W192" s="46">
        <v>0</v>
      </c>
      <c r="X192" s="46">
        <v>0.004674</v>
      </c>
      <c r="Y192" s="46">
        <v>0</v>
      </c>
      <c r="Z192" s="46">
        <v>0</v>
      </c>
      <c r="AA192" s="68">
        <v>192</v>
      </c>
      <c r="AB192" s="68"/>
      <c r="AC192" s="69"/>
      <c r="AD192" s="76" t="s">
        <v>1174</v>
      </c>
      <c r="AE192" s="85" t="s">
        <v>1343</v>
      </c>
      <c r="AF192" s="76">
        <v>247</v>
      </c>
      <c r="AG192" s="76">
        <v>38</v>
      </c>
      <c r="AH192" s="76">
        <v>784</v>
      </c>
      <c r="AI192" s="76">
        <v>457</v>
      </c>
      <c r="AJ192" s="76"/>
      <c r="AK192" s="76" t="s">
        <v>1525</v>
      </c>
      <c r="AL192" s="76" t="s">
        <v>1645</v>
      </c>
      <c r="AM192" s="82" t="str">
        <f>HYPERLINK("https://t.co/Y9X8DtSno2")</f>
        <v>https://t.co/Y9X8DtSno2</v>
      </c>
      <c r="AN192" s="76"/>
      <c r="AO192" s="78">
        <v>44864.12311342593</v>
      </c>
      <c r="AP192" s="82" t="str">
        <f>HYPERLINK("https://pbs.twimg.com/profile_banners/1586552731845595137/1667237658")</f>
        <v>https://pbs.twimg.com/profile_banners/1586552731845595137/1667237658</v>
      </c>
      <c r="AQ192" s="76" t="b">
        <v>1</v>
      </c>
      <c r="AR192" s="76" t="b">
        <v>0</v>
      </c>
      <c r="AS192" s="76" t="b">
        <v>0</v>
      </c>
      <c r="AT192" s="76"/>
      <c r="AU192" s="76">
        <v>0</v>
      </c>
      <c r="AV192" s="76"/>
      <c r="AW192" s="76" t="b">
        <v>0</v>
      </c>
      <c r="AX192" s="76" t="s">
        <v>1651</v>
      </c>
      <c r="AY192" s="82" t="str">
        <f>HYPERLINK("https://twitter.com/mateodelamosca")</f>
        <v>https://twitter.com/mateodelamosca</v>
      </c>
      <c r="AZ192" s="76" t="s">
        <v>65</v>
      </c>
      <c r="BA192" s="76" t="str">
        <f>REPLACE(INDEX(GroupVertices[Group],MATCH(Vertices[[#This Row],[Vertex]],GroupVertices[Vertex],0)),1,1,"")</f>
        <v>14</v>
      </c>
      <c r="BB192" s="45"/>
      <c r="BC192" s="46"/>
      <c r="BD192" s="45"/>
      <c r="BE192" s="46"/>
      <c r="BF192" s="45"/>
      <c r="BG192" s="46"/>
      <c r="BH192" s="45"/>
      <c r="BI192" s="46"/>
      <c r="BJ192" s="45"/>
      <c r="BK192" s="45"/>
      <c r="BL192" s="45"/>
      <c r="BM192" s="45"/>
      <c r="BN192" s="45"/>
      <c r="BO192" s="2"/>
    </row>
    <row r="193" spans="1:67" ht="15">
      <c r="A193" s="61" t="s">
        <v>441</v>
      </c>
      <c r="B193" s="62"/>
      <c r="C193" s="62"/>
      <c r="D193" s="63">
        <v>80</v>
      </c>
      <c r="E193" s="65"/>
      <c r="F193" s="100" t="str">
        <f>HYPERLINK("https://pbs.twimg.com/profile_images/1483572454979031040/HZgTqHjX_normal.jpg")</f>
        <v>https://pbs.twimg.com/profile_images/1483572454979031040/HZgTqHjX_normal.jpg</v>
      </c>
      <c r="G193" s="62"/>
      <c r="H193" s="66" t="s">
        <v>441</v>
      </c>
      <c r="I193" s="67"/>
      <c r="J193" s="67"/>
      <c r="K193" s="66" t="s">
        <v>441</v>
      </c>
      <c r="L193" s="70">
        <v>1</v>
      </c>
      <c r="M193" s="71">
        <v>4532.13818359375</v>
      </c>
      <c r="N193" s="71">
        <v>2848.70263671875</v>
      </c>
      <c r="O193" s="72"/>
      <c r="P193" s="73"/>
      <c r="Q193" s="73"/>
      <c r="R193" s="86"/>
      <c r="S193" s="45">
        <v>1</v>
      </c>
      <c r="T193" s="45">
        <v>0</v>
      </c>
      <c r="U193" s="46">
        <v>0</v>
      </c>
      <c r="V193" s="46">
        <v>0.0067</v>
      </c>
      <c r="W193" s="46">
        <v>0</v>
      </c>
      <c r="X193" s="46">
        <v>0.004674</v>
      </c>
      <c r="Y193" s="46">
        <v>0</v>
      </c>
      <c r="Z193" s="46">
        <v>0</v>
      </c>
      <c r="AA193" s="68">
        <v>193</v>
      </c>
      <c r="AB193" s="68"/>
      <c r="AC193" s="69"/>
      <c r="AD193" s="76" t="s">
        <v>1175</v>
      </c>
      <c r="AE193" s="85" t="s">
        <v>948</v>
      </c>
      <c r="AF193" s="76">
        <v>25932</v>
      </c>
      <c r="AG193" s="76">
        <v>673470</v>
      </c>
      <c r="AH193" s="76">
        <v>43924</v>
      </c>
      <c r="AI193" s="76">
        <v>106540</v>
      </c>
      <c r="AJ193" s="76"/>
      <c r="AK193" s="76" t="s">
        <v>1526</v>
      </c>
      <c r="AL193" s="76" t="s">
        <v>1646</v>
      </c>
      <c r="AM193" s="82" t="str">
        <f>HYPERLINK("https://t.co/BYgX1pPNek")</f>
        <v>https://t.co/BYgX1pPNek</v>
      </c>
      <c r="AN193" s="76"/>
      <c r="AO193" s="78">
        <v>38934.98017361111</v>
      </c>
      <c r="AP193" s="82" t="str">
        <f>HYPERLINK("https://pbs.twimg.com/profile_banners/3840/1642546186")</f>
        <v>https://pbs.twimg.com/profile_banners/3840/1642546186</v>
      </c>
      <c r="AQ193" s="76" t="b">
        <v>0</v>
      </c>
      <c r="AR193" s="76" t="b">
        <v>0</v>
      </c>
      <c r="AS193" s="76" t="b">
        <v>0</v>
      </c>
      <c r="AT193" s="76"/>
      <c r="AU193" s="76">
        <v>15187</v>
      </c>
      <c r="AV193" s="82" t="str">
        <f>HYPERLINK("https://abs.twimg.com/images/themes/theme1/bg.png")</f>
        <v>https://abs.twimg.com/images/themes/theme1/bg.png</v>
      </c>
      <c r="AW193" s="76" t="b">
        <v>1</v>
      </c>
      <c r="AX193" s="76" t="s">
        <v>1651</v>
      </c>
      <c r="AY193" s="82" t="str">
        <f>HYPERLINK("https://twitter.com/jason")</f>
        <v>https://twitter.com/jason</v>
      </c>
      <c r="AZ193" s="76" t="s">
        <v>65</v>
      </c>
      <c r="BA193" s="76" t="str">
        <f>REPLACE(INDEX(GroupVertices[Group],MATCH(Vertices[[#This Row],[Vertex]],GroupVertices[Vertex],0)),1,1,"")</f>
        <v>14</v>
      </c>
      <c r="BB193" s="45"/>
      <c r="BC193" s="46"/>
      <c r="BD193" s="45"/>
      <c r="BE193" s="46"/>
      <c r="BF193" s="45"/>
      <c r="BG193" s="46"/>
      <c r="BH193" s="45"/>
      <c r="BI193" s="46"/>
      <c r="BJ193" s="45"/>
      <c r="BK193" s="45"/>
      <c r="BL193" s="45"/>
      <c r="BM193" s="45"/>
      <c r="BN193" s="45"/>
      <c r="BO193" s="2"/>
    </row>
    <row r="194" spans="1:67" ht="15">
      <c r="A194" s="61" t="s">
        <v>379</v>
      </c>
      <c r="B194" s="62"/>
      <c r="C194" s="62"/>
      <c r="D194" s="63">
        <v>1000</v>
      </c>
      <c r="E194" s="65"/>
      <c r="F194" s="100" t="str">
        <f>HYPERLINK("https://pbs.twimg.com/profile_images/1557883250068099077/WBPsw852_normal.png")</f>
        <v>https://pbs.twimg.com/profile_images/1557883250068099077/WBPsw852_normal.png</v>
      </c>
      <c r="G194" s="62"/>
      <c r="H194" s="66" t="s">
        <v>379</v>
      </c>
      <c r="I194" s="67"/>
      <c r="J194" s="67"/>
      <c r="K194" s="66" t="s">
        <v>379</v>
      </c>
      <c r="L194" s="70">
        <v>2471.770114942529</v>
      </c>
      <c r="M194" s="71">
        <v>4658.40673828125</v>
      </c>
      <c r="N194" s="71">
        <v>8377.8349609375</v>
      </c>
      <c r="O194" s="72"/>
      <c r="P194" s="73"/>
      <c r="Q194" s="73"/>
      <c r="R194" s="86"/>
      <c r="S194" s="45">
        <v>0</v>
      </c>
      <c r="T194" s="45">
        <v>3</v>
      </c>
      <c r="U194" s="46">
        <v>86</v>
      </c>
      <c r="V194" s="46">
        <v>0.040897</v>
      </c>
      <c r="W194" s="46">
        <v>0.000614</v>
      </c>
      <c r="X194" s="46">
        <v>0.005727</v>
      </c>
      <c r="Y194" s="46">
        <v>0</v>
      </c>
      <c r="Z194" s="46">
        <v>0</v>
      </c>
      <c r="AA194" s="68">
        <v>194</v>
      </c>
      <c r="AB194" s="68"/>
      <c r="AC194" s="69"/>
      <c r="AD194" s="76" t="s">
        <v>1176</v>
      </c>
      <c r="AE194" s="85" t="s">
        <v>1344</v>
      </c>
      <c r="AF194" s="76">
        <v>14</v>
      </c>
      <c r="AG194" s="76">
        <v>1</v>
      </c>
      <c r="AH194" s="76">
        <v>169</v>
      </c>
      <c r="AI194" s="76">
        <v>385</v>
      </c>
      <c r="AJ194" s="76"/>
      <c r="AK194" s="76"/>
      <c r="AL194" s="76"/>
      <c r="AM194" s="76"/>
      <c r="AN194" s="76"/>
      <c r="AO194" s="78">
        <v>44785.010243055556</v>
      </c>
      <c r="AP194" s="76"/>
      <c r="AQ194" s="76" t="b">
        <v>1</v>
      </c>
      <c r="AR194" s="76" t="b">
        <v>0</v>
      </c>
      <c r="AS194" s="76" t="b">
        <v>0</v>
      </c>
      <c r="AT194" s="76"/>
      <c r="AU194" s="76">
        <v>1</v>
      </c>
      <c r="AV194" s="76"/>
      <c r="AW194" s="76" t="b">
        <v>0</v>
      </c>
      <c r="AX194" s="76" t="s">
        <v>1651</v>
      </c>
      <c r="AY194" s="82" t="str">
        <f>HYPERLINK("https://twitter.com/legendseeker66")</f>
        <v>https://twitter.com/legendseeker66</v>
      </c>
      <c r="AZ194" s="76" t="s">
        <v>66</v>
      </c>
      <c r="BA194" s="76" t="str">
        <f>REPLACE(INDEX(GroupVertices[Group],MATCH(Vertices[[#This Row],[Vertex]],GroupVertices[Vertex],0)),1,1,"")</f>
        <v>2</v>
      </c>
      <c r="BB194" s="45"/>
      <c r="BC194" s="46"/>
      <c r="BD194" s="45"/>
      <c r="BE194" s="46"/>
      <c r="BF194" s="45"/>
      <c r="BG194" s="46"/>
      <c r="BH194" s="45"/>
      <c r="BI194" s="46"/>
      <c r="BJ194" s="45"/>
      <c r="BK194" s="109" t="s">
        <v>916</v>
      </c>
      <c r="BL194" s="109" t="s">
        <v>916</v>
      </c>
      <c r="BM194" s="109" t="s">
        <v>916</v>
      </c>
      <c r="BN194" s="109" t="s">
        <v>916</v>
      </c>
      <c r="BO194" s="2"/>
    </row>
    <row r="195" spans="1:67" ht="15">
      <c r="A195" s="61" t="s">
        <v>442</v>
      </c>
      <c r="B195" s="62"/>
      <c r="C195" s="62"/>
      <c r="D195" s="63">
        <v>80</v>
      </c>
      <c r="E195" s="65"/>
      <c r="F195" s="100" t="str">
        <f>HYPERLINK("https://pbs.twimg.com/profile_images/1564398871996174336/M-hffw5a_normal.jpg")</f>
        <v>https://pbs.twimg.com/profile_images/1564398871996174336/M-hffw5a_normal.jpg</v>
      </c>
      <c r="G195" s="62"/>
      <c r="H195" s="66" t="s">
        <v>442</v>
      </c>
      <c r="I195" s="67"/>
      <c r="J195" s="67"/>
      <c r="K195" s="66" t="s">
        <v>442</v>
      </c>
      <c r="L195" s="70">
        <v>1</v>
      </c>
      <c r="M195" s="71">
        <v>3656.140380859375</v>
      </c>
      <c r="N195" s="71">
        <v>9755.953125</v>
      </c>
      <c r="O195" s="72"/>
      <c r="P195" s="73"/>
      <c r="Q195" s="73"/>
      <c r="R195" s="86"/>
      <c r="S195" s="45">
        <v>1</v>
      </c>
      <c r="T195" s="45">
        <v>0</v>
      </c>
      <c r="U195" s="46">
        <v>0</v>
      </c>
      <c r="V195" s="46">
        <v>0.030555</v>
      </c>
      <c r="W195" s="46">
        <v>0.000132</v>
      </c>
      <c r="X195" s="46">
        <v>0.004536</v>
      </c>
      <c r="Y195" s="46">
        <v>0</v>
      </c>
      <c r="Z195" s="46">
        <v>0</v>
      </c>
      <c r="AA195" s="68">
        <v>195</v>
      </c>
      <c r="AB195" s="68"/>
      <c r="AC195" s="69"/>
      <c r="AD195" s="76" t="s">
        <v>1177</v>
      </c>
      <c r="AE195" s="85" t="s">
        <v>1345</v>
      </c>
      <c r="AF195" s="76">
        <v>536</v>
      </c>
      <c r="AG195" s="76">
        <v>61998603</v>
      </c>
      <c r="AH195" s="76">
        <v>4163</v>
      </c>
      <c r="AI195" s="76">
        <v>441</v>
      </c>
      <c r="AJ195" s="76"/>
      <c r="AK195" s="76" t="s">
        <v>1527</v>
      </c>
      <c r="AL195" s="76" t="s">
        <v>1622</v>
      </c>
      <c r="AM195" s="82" t="str">
        <f>HYPERLINK("https://t.co/UkvHzxDwkH")</f>
        <v>https://t.co/UkvHzxDwkH</v>
      </c>
      <c r="AN195" s="76"/>
      <c r="AO195" s="78">
        <v>39988.7806712963</v>
      </c>
      <c r="AP195" s="82" t="str">
        <f>HYPERLINK("https://pbs.twimg.com/profile_banners/50393960/1672784571")</f>
        <v>https://pbs.twimg.com/profile_banners/50393960/1672784571</v>
      </c>
      <c r="AQ195" s="76" t="b">
        <v>0</v>
      </c>
      <c r="AR195" s="76" t="b">
        <v>0</v>
      </c>
      <c r="AS195" s="76" t="b">
        <v>0</v>
      </c>
      <c r="AT195" s="76"/>
      <c r="AU195" s="76">
        <v>121569</v>
      </c>
      <c r="AV195" s="82" t="str">
        <f>HYPERLINK("https://abs.twimg.com/images/themes/theme1/bg.png")</f>
        <v>https://abs.twimg.com/images/themes/theme1/bg.png</v>
      </c>
      <c r="AW195" s="76" t="b">
        <v>1</v>
      </c>
      <c r="AX195" s="76" t="s">
        <v>1651</v>
      </c>
      <c r="AY195" s="82" t="str">
        <f>HYPERLINK("https://twitter.com/billgates")</f>
        <v>https://twitter.com/billgates</v>
      </c>
      <c r="AZ195" s="76" t="s">
        <v>65</v>
      </c>
      <c r="BA195" s="76" t="str">
        <f>REPLACE(INDEX(GroupVertices[Group],MATCH(Vertices[[#This Row],[Vertex]],GroupVertices[Vertex],0)),1,1,"")</f>
        <v>2</v>
      </c>
      <c r="BB195" s="45"/>
      <c r="BC195" s="46"/>
      <c r="BD195" s="45"/>
      <c r="BE195" s="46"/>
      <c r="BF195" s="45"/>
      <c r="BG195" s="46"/>
      <c r="BH195" s="45"/>
      <c r="BI195" s="46"/>
      <c r="BJ195" s="45"/>
      <c r="BK195" s="45"/>
      <c r="BL195" s="45"/>
      <c r="BM195" s="45"/>
      <c r="BN195" s="45"/>
      <c r="BO195" s="2"/>
    </row>
    <row r="196" spans="1:67" ht="15">
      <c r="A196" s="61" t="s">
        <v>443</v>
      </c>
      <c r="B196" s="62"/>
      <c r="C196" s="62"/>
      <c r="D196" s="63">
        <v>80</v>
      </c>
      <c r="E196" s="65"/>
      <c r="F196" s="100" t="str">
        <f>HYPERLINK("https://pbs.twimg.com/profile_images/1585617858184323072/Vy138ToA_normal.png")</f>
        <v>https://pbs.twimg.com/profile_images/1585617858184323072/Vy138ToA_normal.png</v>
      </c>
      <c r="G196" s="62"/>
      <c r="H196" s="66" t="s">
        <v>443</v>
      </c>
      <c r="I196" s="67"/>
      <c r="J196" s="67"/>
      <c r="K196" s="66" t="s">
        <v>443</v>
      </c>
      <c r="L196" s="70">
        <v>1</v>
      </c>
      <c r="M196" s="71">
        <v>4674.13525390625</v>
      </c>
      <c r="N196" s="71">
        <v>9784.3125</v>
      </c>
      <c r="O196" s="72"/>
      <c r="P196" s="73"/>
      <c r="Q196" s="73"/>
      <c r="R196" s="86"/>
      <c r="S196" s="45">
        <v>1</v>
      </c>
      <c r="T196" s="45">
        <v>0</v>
      </c>
      <c r="U196" s="46">
        <v>0</v>
      </c>
      <c r="V196" s="46">
        <v>0.030555</v>
      </c>
      <c r="W196" s="46">
        <v>0.000132</v>
      </c>
      <c r="X196" s="46">
        <v>0.004536</v>
      </c>
      <c r="Y196" s="46">
        <v>0</v>
      </c>
      <c r="Z196" s="46">
        <v>0</v>
      </c>
      <c r="AA196" s="68">
        <v>196</v>
      </c>
      <c r="AB196" s="68"/>
      <c r="AC196" s="69"/>
      <c r="AD196" s="76" t="s">
        <v>1178</v>
      </c>
      <c r="AE196" s="85" t="s">
        <v>1346</v>
      </c>
      <c r="AF196" s="76">
        <v>2470</v>
      </c>
      <c r="AG196" s="76">
        <v>12528746</v>
      </c>
      <c r="AH196" s="76">
        <v>28828</v>
      </c>
      <c r="AI196" s="76">
        <v>13614</v>
      </c>
      <c r="AJ196" s="76"/>
      <c r="AK196" s="76" t="s">
        <v>1528</v>
      </c>
      <c r="AL196" s="76" t="s">
        <v>1647</v>
      </c>
      <c r="AM196" s="82" t="str">
        <f>HYPERLINK("https://t.co/BRZwSuVA9e")</f>
        <v>https://t.co/BRZwSuVA9e</v>
      </c>
      <c r="AN196" s="76"/>
      <c r="AO196" s="78">
        <v>40070.941458333335</v>
      </c>
      <c r="AP196" s="82" t="str">
        <f>HYPERLINK("https://pbs.twimg.com/profile_banners/74286565/1667429393")</f>
        <v>https://pbs.twimg.com/profile_banners/74286565/1667429393</v>
      </c>
      <c r="AQ196" s="76" t="b">
        <v>0</v>
      </c>
      <c r="AR196" s="76" t="b">
        <v>0</v>
      </c>
      <c r="AS196" s="76" t="b">
        <v>0</v>
      </c>
      <c r="AT196" s="76"/>
      <c r="AU196" s="76">
        <v>26903</v>
      </c>
      <c r="AV196" s="82" t="str">
        <f>HYPERLINK("https://abs.twimg.com/images/themes/theme1/bg.png")</f>
        <v>https://abs.twimg.com/images/themes/theme1/bg.png</v>
      </c>
      <c r="AW196" s="76" t="b">
        <v>1</v>
      </c>
      <c r="AX196" s="76" t="s">
        <v>1651</v>
      </c>
      <c r="AY196" s="82" t="str">
        <f>HYPERLINK("https://twitter.com/microsoft")</f>
        <v>https://twitter.com/microsoft</v>
      </c>
      <c r="AZ196" s="76" t="s">
        <v>65</v>
      </c>
      <c r="BA196" s="76" t="str">
        <f>REPLACE(INDEX(GroupVertices[Group],MATCH(Vertices[[#This Row],[Vertex]],GroupVertices[Vertex],0)),1,1,"")</f>
        <v>2</v>
      </c>
      <c r="BB196" s="45"/>
      <c r="BC196" s="46"/>
      <c r="BD196" s="45"/>
      <c r="BE196" s="46"/>
      <c r="BF196" s="45"/>
      <c r="BG196" s="46"/>
      <c r="BH196" s="45"/>
      <c r="BI196" s="46"/>
      <c r="BJ196" s="45"/>
      <c r="BK196" s="45"/>
      <c r="BL196" s="45"/>
      <c r="BM196" s="45"/>
      <c r="BN196" s="45"/>
      <c r="BO196" s="2"/>
    </row>
    <row r="197" spans="1:67" ht="15">
      <c r="A197" s="61" t="s">
        <v>380</v>
      </c>
      <c r="B197" s="62"/>
      <c r="C197" s="62"/>
      <c r="D197" s="63">
        <v>80</v>
      </c>
      <c r="E197" s="65"/>
      <c r="F197" s="100" t="str">
        <f>HYPERLINK("https://pbs.twimg.com/profile_images/1565123715834191872/LS8mMMbn_normal.jpg")</f>
        <v>https://pbs.twimg.com/profile_images/1565123715834191872/LS8mMMbn_normal.jpg</v>
      </c>
      <c r="G197" s="62"/>
      <c r="H197" s="66" t="s">
        <v>380</v>
      </c>
      <c r="I197" s="67"/>
      <c r="J197" s="67"/>
      <c r="K197" s="66" t="s">
        <v>380</v>
      </c>
      <c r="L197" s="70">
        <v>1</v>
      </c>
      <c r="M197" s="71">
        <v>4289.505859375</v>
      </c>
      <c r="N197" s="71">
        <v>2595.552734375</v>
      </c>
      <c r="O197" s="72"/>
      <c r="P197" s="73"/>
      <c r="Q197" s="73"/>
      <c r="R197" s="86"/>
      <c r="S197" s="45">
        <v>1</v>
      </c>
      <c r="T197" s="45">
        <v>1</v>
      </c>
      <c r="U197" s="46">
        <v>0</v>
      </c>
      <c r="V197" s="46">
        <v>0</v>
      </c>
      <c r="W197" s="46">
        <v>0</v>
      </c>
      <c r="X197" s="46">
        <v>0.005</v>
      </c>
      <c r="Y197" s="46">
        <v>0</v>
      </c>
      <c r="Z197" s="46">
        <v>0</v>
      </c>
      <c r="AA197" s="68">
        <v>197</v>
      </c>
      <c r="AB197" s="68"/>
      <c r="AC197" s="69"/>
      <c r="AD197" s="76" t="s">
        <v>1179</v>
      </c>
      <c r="AE197" s="85" t="s">
        <v>1347</v>
      </c>
      <c r="AF197" s="76">
        <v>973</v>
      </c>
      <c r="AG197" s="76">
        <v>333</v>
      </c>
      <c r="AH197" s="76">
        <v>1074</v>
      </c>
      <c r="AI197" s="76">
        <v>15711</v>
      </c>
      <c r="AJ197" s="76"/>
      <c r="AK197" s="76" t="s">
        <v>1529</v>
      </c>
      <c r="AL197" s="76"/>
      <c r="AM197" s="76"/>
      <c r="AN197" s="76"/>
      <c r="AO197" s="78">
        <v>44802.92224537037</v>
      </c>
      <c r="AP197" s="82" t="str">
        <f>HYPERLINK("https://pbs.twimg.com/profile_banners/1564374249103564805/1661955685")</f>
        <v>https://pbs.twimg.com/profile_banners/1564374249103564805/1661955685</v>
      </c>
      <c r="AQ197" s="76" t="b">
        <v>1</v>
      </c>
      <c r="AR197" s="76" t="b">
        <v>0</v>
      </c>
      <c r="AS197" s="76" t="b">
        <v>0</v>
      </c>
      <c r="AT197" s="76"/>
      <c r="AU197" s="76">
        <v>0</v>
      </c>
      <c r="AV197" s="76"/>
      <c r="AW197" s="76" t="b">
        <v>0</v>
      </c>
      <c r="AX197" s="76" t="s">
        <v>1651</v>
      </c>
      <c r="AY197" s="82" t="str">
        <f>HYPERLINK("https://twitter.com/seehearspeaknow")</f>
        <v>https://twitter.com/seehearspeaknow</v>
      </c>
      <c r="AZ197" s="76" t="s">
        <v>66</v>
      </c>
      <c r="BA197" s="76" t="str">
        <f>REPLACE(INDEX(GroupVertices[Group],MATCH(Vertices[[#This Row],[Vertex]],GroupVertices[Vertex],0)),1,1,"")</f>
        <v>47</v>
      </c>
      <c r="BB197" s="45"/>
      <c r="BC197" s="46"/>
      <c r="BD197" s="45"/>
      <c r="BE197" s="46"/>
      <c r="BF197" s="45"/>
      <c r="BG197" s="46"/>
      <c r="BH197" s="45"/>
      <c r="BI197" s="46"/>
      <c r="BJ197" s="45"/>
      <c r="BK197" s="109" t="s">
        <v>916</v>
      </c>
      <c r="BL197" s="109" t="s">
        <v>916</v>
      </c>
      <c r="BM197" s="109" t="s">
        <v>916</v>
      </c>
      <c r="BN197" s="109" t="s">
        <v>916</v>
      </c>
      <c r="BO197" s="2"/>
    </row>
    <row r="198" spans="1:67" ht="15">
      <c r="A198" s="61" t="s">
        <v>381</v>
      </c>
      <c r="B198" s="62"/>
      <c r="C198" s="62"/>
      <c r="D198" s="63">
        <v>80</v>
      </c>
      <c r="E198" s="65"/>
      <c r="F198" s="100" t="str">
        <f>HYPERLINK("https://pbs.twimg.com/profile_images/1575145340164079617/b4PjHroR_normal.jpg")</f>
        <v>https://pbs.twimg.com/profile_images/1575145340164079617/b4PjHroR_normal.jpg</v>
      </c>
      <c r="G198" s="62"/>
      <c r="H198" s="66" t="s">
        <v>381</v>
      </c>
      <c r="I198" s="67"/>
      <c r="J198" s="67"/>
      <c r="K198" s="66" t="s">
        <v>381</v>
      </c>
      <c r="L198" s="70">
        <v>1</v>
      </c>
      <c r="M198" s="71">
        <v>4120.79345703125</v>
      </c>
      <c r="N198" s="71">
        <v>2720.765380859375</v>
      </c>
      <c r="O198" s="72"/>
      <c r="P198" s="73"/>
      <c r="Q198" s="73"/>
      <c r="R198" s="86"/>
      <c r="S198" s="45">
        <v>0</v>
      </c>
      <c r="T198" s="45">
        <v>1</v>
      </c>
      <c r="U198" s="46">
        <v>0</v>
      </c>
      <c r="V198" s="46">
        <v>0.005025</v>
      </c>
      <c r="W198" s="46">
        <v>0</v>
      </c>
      <c r="X198" s="46">
        <v>0.005</v>
      </c>
      <c r="Y198" s="46">
        <v>0</v>
      </c>
      <c r="Z198" s="46">
        <v>0</v>
      </c>
      <c r="AA198" s="68">
        <v>198</v>
      </c>
      <c r="AB198" s="68"/>
      <c r="AC198" s="69"/>
      <c r="AD198" s="76" t="s">
        <v>1180</v>
      </c>
      <c r="AE198" s="85" t="s">
        <v>1348</v>
      </c>
      <c r="AF198" s="76">
        <v>4170</v>
      </c>
      <c r="AG198" s="76">
        <v>2044</v>
      </c>
      <c r="AH198" s="76">
        <v>4927</v>
      </c>
      <c r="AI198" s="76">
        <v>11258</v>
      </c>
      <c r="AJ198" s="76"/>
      <c r="AK198" s="76" t="s">
        <v>1530</v>
      </c>
      <c r="AL198" s="76"/>
      <c r="AM198" s="76"/>
      <c r="AN198" s="76"/>
      <c r="AO198" s="78">
        <v>44403.813368055555</v>
      </c>
      <c r="AP198" s="82" t="str">
        <f>HYPERLINK("https://pbs.twimg.com/profile_banners/1419741554462367746/1637511311")</f>
        <v>https://pbs.twimg.com/profile_banners/1419741554462367746/1637511311</v>
      </c>
      <c r="AQ198" s="76" t="b">
        <v>1</v>
      </c>
      <c r="AR198" s="76" t="b">
        <v>0</v>
      </c>
      <c r="AS198" s="76" t="b">
        <v>0</v>
      </c>
      <c r="AT198" s="76"/>
      <c r="AU198" s="76">
        <v>11</v>
      </c>
      <c r="AV198" s="76"/>
      <c r="AW198" s="76" t="b">
        <v>0</v>
      </c>
      <c r="AX198" s="76" t="s">
        <v>1651</v>
      </c>
      <c r="AY198" s="82" t="str">
        <f>HYPERLINK("https://twitter.com/johnxosterman")</f>
        <v>https://twitter.com/johnxosterman</v>
      </c>
      <c r="AZ198" s="76" t="s">
        <v>66</v>
      </c>
      <c r="BA198" s="76" t="str">
        <f>REPLACE(INDEX(GroupVertices[Group],MATCH(Vertices[[#This Row],[Vertex]],GroupVertices[Vertex],0)),1,1,"")</f>
        <v>21</v>
      </c>
      <c r="BB198" s="45"/>
      <c r="BC198" s="46"/>
      <c r="BD198" s="45"/>
      <c r="BE198" s="46"/>
      <c r="BF198" s="45"/>
      <c r="BG198" s="46"/>
      <c r="BH198" s="45"/>
      <c r="BI198" s="46"/>
      <c r="BJ198" s="45"/>
      <c r="BK198" s="109" t="s">
        <v>916</v>
      </c>
      <c r="BL198" s="109" t="s">
        <v>916</v>
      </c>
      <c r="BM198" s="109" t="s">
        <v>916</v>
      </c>
      <c r="BN198" s="109" t="s">
        <v>916</v>
      </c>
      <c r="BO198" s="2"/>
    </row>
    <row r="199" spans="1:67" ht="15">
      <c r="A199" s="61" t="s">
        <v>444</v>
      </c>
      <c r="B199" s="62"/>
      <c r="C199" s="62"/>
      <c r="D199" s="63">
        <v>80</v>
      </c>
      <c r="E199" s="65"/>
      <c r="F199" s="100" t="str">
        <f>HYPERLINK("https://pbs.twimg.com/profile_images/1561797228527853569/KV7VDS41_normal.jpg")</f>
        <v>https://pbs.twimg.com/profile_images/1561797228527853569/KV7VDS41_normal.jpg</v>
      </c>
      <c r="G199" s="62"/>
      <c r="H199" s="66" t="s">
        <v>444</v>
      </c>
      <c r="I199" s="67"/>
      <c r="J199" s="67"/>
      <c r="K199" s="66" t="s">
        <v>444</v>
      </c>
      <c r="L199" s="70">
        <v>1</v>
      </c>
      <c r="M199" s="71">
        <v>3652.296142578125</v>
      </c>
      <c r="N199" s="71">
        <v>1495.838623046875</v>
      </c>
      <c r="O199" s="72"/>
      <c r="P199" s="73"/>
      <c r="Q199" s="73"/>
      <c r="R199" s="86"/>
      <c r="S199" s="45">
        <v>1</v>
      </c>
      <c r="T199" s="45">
        <v>0</v>
      </c>
      <c r="U199" s="46">
        <v>0</v>
      </c>
      <c r="V199" s="46">
        <v>0.005025</v>
      </c>
      <c r="W199" s="46">
        <v>0</v>
      </c>
      <c r="X199" s="46">
        <v>0.005</v>
      </c>
      <c r="Y199" s="46">
        <v>0</v>
      </c>
      <c r="Z199" s="46">
        <v>0</v>
      </c>
      <c r="AA199" s="68">
        <v>199</v>
      </c>
      <c r="AB199" s="68"/>
      <c r="AC199" s="69"/>
      <c r="AD199" s="76" t="s">
        <v>1181</v>
      </c>
      <c r="AE199" s="85" t="s">
        <v>949</v>
      </c>
      <c r="AF199" s="76">
        <v>1434</v>
      </c>
      <c r="AG199" s="76">
        <v>2184</v>
      </c>
      <c r="AH199" s="76">
        <v>7260</v>
      </c>
      <c r="AI199" s="76">
        <v>25838</v>
      </c>
      <c r="AJ199" s="76"/>
      <c r="AK199" s="76" t="s">
        <v>1531</v>
      </c>
      <c r="AL199" s="76"/>
      <c r="AM199" s="76"/>
      <c r="AN199" s="76"/>
      <c r="AO199" s="78">
        <v>44319.693090277775</v>
      </c>
      <c r="AP199" s="82" t="str">
        <f>HYPERLINK("https://pbs.twimg.com/profile_banners/1389257921729548293/1669341308")</f>
        <v>https://pbs.twimg.com/profile_banners/1389257921729548293/1669341308</v>
      </c>
      <c r="AQ199" s="76" t="b">
        <v>1</v>
      </c>
      <c r="AR199" s="76" t="b">
        <v>0</v>
      </c>
      <c r="AS199" s="76" t="b">
        <v>0</v>
      </c>
      <c r="AT199" s="76"/>
      <c r="AU199" s="76">
        <v>16</v>
      </c>
      <c r="AV199" s="76"/>
      <c r="AW199" s="76" t="b">
        <v>0</v>
      </c>
      <c r="AX199" s="76" t="s">
        <v>1651</v>
      </c>
      <c r="AY199" s="82" t="str">
        <f>HYPERLINK("https://twitter.com/satoshideniz")</f>
        <v>https://twitter.com/satoshideniz</v>
      </c>
      <c r="AZ199" s="76" t="s">
        <v>65</v>
      </c>
      <c r="BA199" s="76" t="str">
        <f>REPLACE(INDEX(GroupVertices[Group],MATCH(Vertices[[#This Row],[Vertex]],GroupVertices[Vertex],0)),1,1,"")</f>
        <v>21</v>
      </c>
      <c r="BB199" s="45"/>
      <c r="BC199" s="46"/>
      <c r="BD199" s="45"/>
      <c r="BE199" s="46"/>
      <c r="BF199" s="45"/>
      <c r="BG199" s="46"/>
      <c r="BH199" s="45"/>
      <c r="BI199" s="46"/>
      <c r="BJ199" s="45"/>
      <c r="BK199" s="45"/>
      <c r="BL199" s="45"/>
      <c r="BM199" s="45"/>
      <c r="BN199" s="45"/>
      <c r="BO199" s="2"/>
    </row>
    <row r="200" spans="1:67" ht="15">
      <c r="A200" s="61" t="s">
        <v>382</v>
      </c>
      <c r="B200" s="62"/>
      <c r="C200" s="62"/>
      <c r="D200" s="63">
        <v>80</v>
      </c>
      <c r="E200" s="65"/>
      <c r="F200" s="100" t="str">
        <f>HYPERLINK("https://pbs.twimg.com/profile_images/1395866072155230208/ORw5NRdN_normal.jpg")</f>
        <v>https://pbs.twimg.com/profile_images/1395866072155230208/ORw5NRdN_normal.jpg</v>
      </c>
      <c r="G200" s="62"/>
      <c r="H200" s="66" t="s">
        <v>382</v>
      </c>
      <c r="I200" s="67"/>
      <c r="J200" s="67"/>
      <c r="K200" s="66" t="s">
        <v>382</v>
      </c>
      <c r="L200" s="70">
        <v>1</v>
      </c>
      <c r="M200" s="71">
        <v>5459.46435546875</v>
      </c>
      <c r="N200" s="71">
        <v>4402.5126953125</v>
      </c>
      <c r="O200" s="72"/>
      <c r="P200" s="73"/>
      <c r="Q200" s="73"/>
      <c r="R200" s="86"/>
      <c r="S200" s="45">
        <v>0</v>
      </c>
      <c r="T200" s="45">
        <v>1</v>
      </c>
      <c r="U200" s="46">
        <v>0</v>
      </c>
      <c r="V200" s="46">
        <v>0.007538</v>
      </c>
      <c r="W200" s="46">
        <v>0</v>
      </c>
      <c r="X200" s="46">
        <v>0.004651</v>
      </c>
      <c r="Y200" s="46">
        <v>0</v>
      </c>
      <c r="Z200" s="46">
        <v>0</v>
      </c>
      <c r="AA200" s="68">
        <v>200</v>
      </c>
      <c r="AB200" s="68"/>
      <c r="AC200" s="69"/>
      <c r="AD200" s="76" t="s">
        <v>1182</v>
      </c>
      <c r="AE200" s="85" t="s">
        <v>1349</v>
      </c>
      <c r="AF200" s="76">
        <v>1374</v>
      </c>
      <c r="AG200" s="76">
        <v>1391</v>
      </c>
      <c r="AH200" s="76">
        <v>122670</v>
      </c>
      <c r="AI200" s="76">
        <v>21717</v>
      </c>
      <c r="AJ200" s="76"/>
      <c r="AK200" s="76"/>
      <c r="AL200" s="76"/>
      <c r="AM200" s="76"/>
      <c r="AN200" s="76"/>
      <c r="AO200" s="78">
        <v>39947.87731481482</v>
      </c>
      <c r="AP200" s="82" t="str">
        <f>HYPERLINK("https://pbs.twimg.com/profile_banners/40083800/1621634822")</f>
        <v>https://pbs.twimg.com/profile_banners/40083800/1621634822</v>
      </c>
      <c r="AQ200" s="76" t="b">
        <v>0</v>
      </c>
      <c r="AR200" s="76" t="b">
        <v>0</v>
      </c>
      <c r="AS200" s="76" t="b">
        <v>1</v>
      </c>
      <c r="AT200" s="76"/>
      <c r="AU200" s="76">
        <v>67</v>
      </c>
      <c r="AV200" s="82" t="str">
        <f>HYPERLINK("https://abs.twimg.com/images/themes/theme18/bg.gif")</f>
        <v>https://abs.twimg.com/images/themes/theme18/bg.gif</v>
      </c>
      <c r="AW200" s="76" t="b">
        <v>0</v>
      </c>
      <c r="AX200" s="76" t="s">
        <v>1651</v>
      </c>
      <c r="AY200" s="82" t="str">
        <f>HYPERLINK("https://twitter.com/zoll_p")</f>
        <v>https://twitter.com/zoll_p</v>
      </c>
      <c r="AZ200" s="76" t="s">
        <v>66</v>
      </c>
      <c r="BA200" s="76" t="str">
        <f>REPLACE(INDEX(GroupVertices[Group],MATCH(Vertices[[#This Row],[Vertex]],GroupVertices[Vertex],0)),1,1,"")</f>
        <v>6</v>
      </c>
      <c r="BB200" s="45"/>
      <c r="BC200" s="46"/>
      <c r="BD200" s="45"/>
      <c r="BE200" s="46"/>
      <c r="BF200" s="45"/>
      <c r="BG200" s="46"/>
      <c r="BH200" s="45"/>
      <c r="BI200" s="46"/>
      <c r="BJ200" s="45"/>
      <c r="BK200" s="109" t="s">
        <v>916</v>
      </c>
      <c r="BL200" s="109" t="s">
        <v>916</v>
      </c>
      <c r="BM200" s="109" t="s">
        <v>916</v>
      </c>
      <c r="BN200" s="109" t="s">
        <v>916</v>
      </c>
      <c r="BO200" s="2"/>
    </row>
    <row r="201" spans="1:67" ht="15">
      <c r="A201" s="61" t="s">
        <v>383</v>
      </c>
      <c r="B201" s="62"/>
      <c r="C201" s="62"/>
      <c r="D201" s="63">
        <v>80</v>
      </c>
      <c r="E201" s="65"/>
      <c r="F201" s="100" t="str">
        <f>HYPERLINK("https://pbs.twimg.com/profile_images/1621971172878422021/aFiKPw3e_normal.jpg")</f>
        <v>https://pbs.twimg.com/profile_images/1621971172878422021/aFiKPw3e_normal.jpg</v>
      </c>
      <c r="G201" s="62"/>
      <c r="H201" s="66" t="s">
        <v>383</v>
      </c>
      <c r="I201" s="67"/>
      <c r="J201" s="67"/>
      <c r="K201" s="66" t="s">
        <v>383</v>
      </c>
      <c r="L201" s="70">
        <v>1</v>
      </c>
      <c r="M201" s="71">
        <v>4262.85205078125</v>
      </c>
      <c r="N201" s="71">
        <v>2863.181396484375</v>
      </c>
      <c r="O201" s="72"/>
      <c r="P201" s="73"/>
      <c r="Q201" s="73"/>
      <c r="R201" s="86"/>
      <c r="S201" s="45">
        <v>1</v>
      </c>
      <c r="T201" s="45">
        <v>1</v>
      </c>
      <c r="U201" s="46">
        <v>0</v>
      </c>
      <c r="V201" s="46">
        <v>0</v>
      </c>
      <c r="W201" s="46">
        <v>0</v>
      </c>
      <c r="X201" s="46">
        <v>0.005</v>
      </c>
      <c r="Y201" s="46">
        <v>0</v>
      </c>
      <c r="Z201" s="46">
        <v>0</v>
      </c>
      <c r="AA201" s="68">
        <v>201</v>
      </c>
      <c r="AB201" s="68"/>
      <c r="AC201" s="69"/>
      <c r="AD201" s="76" t="s">
        <v>1183</v>
      </c>
      <c r="AE201" s="85" t="s">
        <v>1350</v>
      </c>
      <c r="AF201" s="76">
        <v>30613</v>
      </c>
      <c r="AG201" s="76">
        <v>39842</v>
      </c>
      <c r="AH201" s="76">
        <v>10662</v>
      </c>
      <c r="AI201" s="76">
        <v>282649</v>
      </c>
      <c r="AJ201" s="76"/>
      <c r="AK201" s="76" t="s">
        <v>1532</v>
      </c>
      <c r="AL201" s="76" t="s">
        <v>1648</v>
      </c>
      <c r="AM201" s="76"/>
      <c r="AN201" s="76"/>
      <c r="AO201" s="78">
        <v>41022.716365740744</v>
      </c>
      <c r="AP201" s="82" t="str">
        <f>HYPERLINK("https://pbs.twimg.com/profile_banners/561310591/1674938545")</f>
        <v>https://pbs.twimg.com/profile_banners/561310591/1674938545</v>
      </c>
      <c r="AQ201" s="76" t="b">
        <v>0</v>
      </c>
      <c r="AR201" s="76" t="b">
        <v>0</v>
      </c>
      <c r="AS201" s="76" t="b">
        <v>0</v>
      </c>
      <c r="AT201" s="76"/>
      <c r="AU201" s="76">
        <v>346</v>
      </c>
      <c r="AV201" s="82" t="str">
        <f>HYPERLINK("https://abs.twimg.com/images/themes/theme16/bg.gif")</f>
        <v>https://abs.twimg.com/images/themes/theme16/bg.gif</v>
      </c>
      <c r="AW201" s="76" t="b">
        <v>0</v>
      </c>
      <c r="AX201" s="76" t="s">
        <v>1651</v>
      </c>
      <c r="AY201" s="82" t="str">
        <f>HYPERLINK("https://twitter.com/mar50cc5o")</f>
        <v>https://twitter.com/mar50cc5o</v>
      </c>
      <c r="AZ201" s="76" t="s">
        <v>66</v>
      </c>
      <c r="BA201" s="76" t="str">
        <f>REPLACE(INDEX(GroupVertices[Group],MATCH(Vertices[[#This Row],[Vertex]],GroupVertices[Vertex],0)),1,1,"")</f>
        <v>46</v>
      </c>
      <c r="BB201" s="45"/>
      <c r="BC201" s="46"/>
      <c r="BD201" s="45"/>
      <c r="BE201" s="46"/>
      <c r="BF201" s="45"/>
      <c r="BG201" s="46"/>
      <c r="BH201" s="45"/>
      <c r="BI201" s="46"/>
      <c r="BJ201" s="45"/>
      <c r="BK201" s="109" t="s">
        <v>916</v>
      </c>
      <c r="BL201" s="109" t="s">
        <v>916</v>
      </c>
      <c r="BM201" s="109" t="s">
        <v>916</v>
      </c>
      <c r="BN201" s="109" t="s">
        <v>916</v>
      </c>
      <c r="BO201" s="2"/>
    </row>
    <row r="202" spans="1:67" ht="15">
      <c r="A202" s="87" t="s">
        <v>384</v>
      </c>
      <c r="B202" s="88"/>
      <c r="C202" s="88"/>
      <c r="D202" s="89">
        <v>80</v>
      </c>
      <c r="E202" s="90"/>
      <c r="F202" s="101" t="str">
        <f>HYPERLINK("https://pbs.twimg.com/profile_images/1620563269105639424/pyXSsQOG_normal.jpg")</f>
        <v>https://pbs.twimg.com/profile_images/1620563269105639424/pyXSsQOG_normal.jpg</v>
      </c>
      <c r="G202" s="88"/>
      <c r="H202" s="91" t="s">
        <v>384</v>
      </c>
      <c r="I202" s="92"/>
      <c r="J202" s="92"/>
      <c r="K202" s="91" t="s">
        <v>384</v>
      </c>
      <c r="L202" s="93">
        <v>1</v>
      </c>
      <c r="M202" s="94">
        <v>4328.14599609375</v>
      </c>
      <c r="N202" s="94">
        <v>2708.12060546875</v>
      </c>
      <c r="O202" s="95"/>
      <c r="P202" s="96"/>
      <c r="Q202" s="96"/>
      <c r="R202" s="97"/>
      <c r="S202" s="45">
        <v>1</v>
      </c>
      <c r="T202" s="45">
        <v>1</v>
      </c>
      <c r="U202" s="46">
        <v>0</v>
      </c>
      <c r="V202" s="46">
        <v>0</v>
      </c>
      <c r="W202" s="46">
        <v>0</v>
      </c>
      <c r="X202" s="46">
        <v>0.005</v>
      </c>
      <c r="Y202" s="46">
        <v>0</v>
      </c>
      <c r="Z202" s="46">
        <v>0</v>
      </c>
      <c r="AA202" s="98">
        <v>202</v>
      </c>
      <c r="AB202" s="98"/>
      <c r="AC202" s="99"/>
      <c r="AD202" s="76" t="s">
        <v>1184</v>
      </c>
      <c r="AE202" s="85" t="s">
        <v>1351</v>
      </c>
      <c r="AF202" s="76">
        <v>50</v>
      </c>
      <c r="AG202" s="76">
        <v>5</v>
      </c>
      <c r="AH202" s="76">
        <v>7</v>
      </c>
      <c r="AI202" s="76">
        <v>5</v>
      </c>
      <c r="AJ202" s="76"/>
      <c r="AK202" s="76" t="s">
        <v>1533</v>
      </c>
      <c r="AL202" s="76" t="s">
        <v>1649</v>
      </c>
      <c r="AM202" s="82" t="str">
        <f>HYPERLINK("https://t.co/WXjIXxXFzZ")</f>
        <v>https://t.co/WXjIXxXFzZ</v>
      </c>
      <c r="AN202" s="76"/>
      <c r="AO202" s="78">
        <v>44952.88753472222</v>
      </c>
      <c r="AP202" s="82" t="str">
        <f>HYPERLINK("https://pbs.twimg.com/profile_banners/1618719858434220032/1674768270")</f>
        <v>https://pbs.twimg.com/profile_banners/1618719858434220032/1674768270</v>
      </c>
      <c r="AQ202" s="76" t="b">
        <v>1</v>
      </c>
      <c r="AR202" s="76" t="b">
        <v>0</v>
      </c>
      <c r="AS202" s="76" t="b">
        <v>1</v>
      </c>
      <c r="AT202" s="76"/>
      <c r="AU202" s="76">
        <v>0</v>
      </c>
      <c r="AV202" s="76"/>
      <c r="AW202" s="76" t="b">
        <v>0</v>
      </c>
      <c r="AX202" s="76" t="s">
        <v>1651</v>
      </c>
      <c r="AY202" s="82" t="str">
        <f>HYPERLINK("https://twitter.com/maddiemiele_")</f>
        <v>https://twitter.com/maddiemiele_</v>
      </c>
      <c r="AZ202" s="76" t="s">
        <v>66</v>
      </c>
      <c r="BA202" s="76" t="str">
        <f>REPLACE(INDEX(GroupVertices[Group],MATCH(Vertices[[#This Row],[Vertex]],GroupVertices[Vertex],0)),1,1,"")</f>
        <v>45</v>
      </c>
      <c r="BB202" s="45"/>
      <c r="BC202" s="46"/>
      <c r="BD202" s="45"/>
      <c r="BE202" s="46"/>
      <c r="BF202" s="45"/>
      <c r="BG202" s="46"/>
      <c r="BH202" s="45"/>
      <c r="BI202" s="46"/>
      <c r="BJ202" s="45"/>
      <c r="BK202" s="109" t="s">
        <v>916</v>
      </c>
      <c r="BL202" s="109" t="s">
        <v>916</v>
      </c>
      <c r="BM202" s="109" t="s">
        <v>916</v>
      </c>
      <c r="BN202" s="109" t="s">
        <v>916</v>
      </c>
      <c r="BO202"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2"/>
    <dataValidation allowBlank="1" errorTitle="Invalid Vertex Visibility" error="You have entered an unrecognized vertex visibility.  Try selecting from the drop-down list instead." sqref="BO3"/>
    <dataValidation allowBlank="1" showErrorMessage="1" sqref="B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2"/>
    <dataValidation allowBlank="1" showInputMessage="1" promptTitle="Vertex Tooltip" prompt="Enter optional text that will pop up when the mouse is hovered over the vertex." errorTitle="Invalid Vertex Image Key" sqref="K3:K20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2"/>
    <dataValidation allowBlank="1" showInputMessage="1" promptTitle="Vertex Label Fill Color" prompt="To select an optional fill color for the Label shape, right-click and select Select Color on the right-click menu." sqref="I3:I202"/>
    <dataValidation allowBlank="1" showInputMessage="1" promptTitle="Vertex Image File" prompt="Enter the path to an image file.  Hover over the column header for examples." errorTitle="Invalid Vertex Image Key" sqref="F3:F202"/>
    <dataValidation allowBlank="1" showInputMessage="1" promptTitle="Vertex Color" prompt="To select an optional vertex color, right-click and select Select Color on the right-click menu." sqref="B3:B202"/>
    <dataValidation allowBlank="1" showInputMessage="1" promptTitle="Vertex Opacity" prompt="Enter an optional vertex opacity between 0 (transparent) and 100 (opaque)." errorTitle="Invalid Vertex Opacity" error="The optional vertex opacity must be a whole number between 0 and 10." sqref="E3:E202"/>
    <dataValidation type="list" allowBlank="1" showInputMessage="1" showErrorMessage="1" promptTitle="Vertex Shape" prompt="Select an optional vertex shape." errorTitle="Invalid Vertex Shape" error="You have entered an invalid vertex shape.  Try selecting from the drop-down list instead." sqref="C3:C20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2">
      <formula1>ValidVertexLabelPositions</formula1>
    </dataValidation>
    <dataValidation allowBlank="1" showInputMessage="1" showErrorMessage="1" promptTitle="Vertex Name" prompt="Enter the name of the vertex." sqref="A3:A20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8.8515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82"/>
  <sheetViews>
    <sheetView workbookViewId="0" topLeftCell="A1">
      <pane ySplit="2" topLeftCell="A3" activePane="bottomLeft" state="frozen"/>
      <selection pane="bottomLeft" activeCell="A3" sqref="A3"/>
    </sheetView>
  </sheetViews>
  <sheetFormatPr defaultColWidth="8.8515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140625" style="0" bestFit="1" customWidth="1"/>
    <col min="26" max="26" width="22.421875" style="0" bestFit="1" customWidth="1"/>
    <col min="27" max="27" width="18.140625" style="0" bestFit="1" customWidth="1"/>
    <col min="28" max="28" width="22.421875" style="0" bestFit="1" customWidth="1"/>
    <col min="29" max="29" width="18.140625" style="0" bestFit="1" customWidth="1"/>
    <col min="30" max="30" width="22.421875" style="0" bestFit="1" customWidth="1"/>
    <col min="31" max="31" width="17.28125" style="0" bestFit="1" customWidth="1"/>
    <col min="32" max="32" width="20.421875" style="0" bestFit="1" customWidth="1"/>
    <col min="33" max="33" width="15.7109375" style="0" bestFit="1" customWidth="1"/>
    <col min="34" max="34" width="12.57421875" style="0" bestFit="1" customWidth="1"/>
    <col min="35" max="35" width="16.0039062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35"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1775</v>
      </c>
      <c r="Z2" s="50" t="s">
        <v>1776</v>
      </c>
      <c r="AA2" s="50" t="s">
        <v>1777</v>
      </c>
      <c r="AB2" s="50" t="s">
        <v>1778</v>
      </c>
      <c r="AC2" s="50" t="s">
        <v>1779</v>
      </c>
      <c r="AD2" s="50" t="s">
        <v>1780</v>
      </c>
      <c r="AE2" s="50" t="s">
        <v>1781</v>
      </c>
      <c r="AF2" s="50" t="s">
        <v>1782</v>
      </c>
      <c r="AG2" s="50" t="s">
        <v>1785</v>
      </c>
      <c r="AH2" s="7" t="s">
        <v>1836</v>
      </c>
      <c r="AI2" s="7" t="s">
        <v>1848</v>
      </c>
    </row>
    <row r="3" spans="1:35" ht="15">
      <c r="A3" s="61" t="s">
        <v>1653</v>
      </c>
      <c r="B3" s="62" t="s">
        <v>1733</v>
      </c>
      <c r="C3" s="62" t="s">
        <v>56</v>
      </c>
      <c r="D3" s="102"/>
      <c r="E3" s="11"/>
      <c r="F3" s="12" t="s">
        <v>1653</v>
      </c>
      <c r="G3" s="60"/>
      <c r="H3" s="60"/>
      <c r="I3" s="103">
        <v>3</v>
      </c>
      <c r="J3" s="47"/>
      <c r="K3" s="45">
        <v>17</v>
      </c>
      <c r="L3" s="45">
        <v>17</v>
      </c>
      <c r="M3" s="45">
        <v>0</v>
      </c>
      <c r="N3" s="45">
        <v>17</v>
      </c>
      <c r="O3" s="45">
        <v>1</v>
      </c>
      <c r="P3" s="46">
        <v>0</v>
      </c>
      <c r="Q3" s="46">
        <v>0</v>
      </c>
      <c r="R3" s="45">
        <v>1</v>
      </c>
      <c r="S3" s="45">
        <v>0</v>
      </c>
      <c r="T3" s="45">
        <v>17</v>
      </c>
      <c r="U3" s="45">
        <v>17</v>
      </c>
      <c r="V3" s="45">
        <v>2</v>
      </c>
      <c r="W3" s="46">
        <v>1.771626</v>
      </c>
      <c r="X3" s="46">
        <v>0.058823529411764705</v>
      </c>
      <c r="Y3" s="45">
        <v>0</v>
      </c>
      <c r="Z3" s="46">
        <v>0</v>
      </c>
      <c r="AA3" s="45">
        <v>0</v>
      </c>
      <c r="AB3" s="46">
        <v>0</v>
      </c>
      <c r="AC3" s="45">
        <v>0</v>
      </c>
      <c r="AD3" s="46">
        <v>0</v>
      </c>
      <c r="AE3" s="45">
        <v>0</v>
      </c>
      <c r="AF3" s="46">
        <v>0</v>
      </c>
      <c r="AG3" s="45">
        <v>0</v>
      </c>
      <c r="AH3" s="85" t="s">
        <v>916</v>
      </c>
      <c r="AI3" s="85" t="s">
        <v>916</v>
      </c>
    </row>
    <row r="4" spans="1:35" ht="15">
      <c r="A4" s="61" t="s">
        <v>1654</v>
      </c>
      <c r="B4" s="62" t="s">
        <v>1734</v>
      </c>
      <c r="C4" s="62" t="s">
        <v>56</v>
      </c>
      <c r="D4" s="102"/>
      <c r="E4" s="11"/>
      <c r="F4" s="12" t="s">
        <v>1654</v>
      </c>
      <c r="G4" s="60"/>
      <c r="H4" s="60"/>
      <c r="I4" s="103">
        <v>4</v>
      </c>
      <c r="J4" s="74"/>
      <c r="K4" s="45">
        <v>16</v>
      </c>
      <c r="L4" s="45">
        <v>27</v>
      </c>
      <c r="M4" s="45">
        <v>0</v>
      </c>
      <c r="N4" s="45">
        <v>27</v>
      </c>
      <c r="O4" s="45">
        <v>0</v>
      </c>
      <c r="P4" s="46">
        <v>0</v>
      </c>
      <c r="Q4" s="46">
        <v>0</v>
      </c>
      <c r="R4" s="45">
        <v>1</v>
      </c>
      <c r="S4" s="45">
        <v>0</v>
      </c>
      <c r="T4" s="45">
        <v>16</v>
      </c>
      <c r="U4" s="45">
        <v>27</v>
      </c>
      <c r="V4" s="45">
        <v>6</v>
      </c>
      <c r="W4" s="46">
        <v>2.320313</v>
      </c>
      <c r="X4" s="46">
        <v>0.1125</v>
      </c>
      <c r="Y4" s="45">
        <v>0</v>
      </c>
      <c r="Z4" s="46">
        <v>0</v>
      </c>
      <c r="AA4" s="45">
        <v>0</v>
      </c>
      <c r="AB4" s="46">
        <v>0</v>
      </c>
      <c r="AC4" s="45">
        <v>0</v>
      </c>
      <c r="AD4" s="46">
        <v>0</v>
      </c>
      <c r="AE4" s="45">
        <v>0</v>
      </c>
      <c r="AF4" s="46">
        <v>0</v>
      </c>
      <c r="AG4" s="45">
        <v>0</v>
      </c>
      <c r="AH4" s="85" t="s">
        <v>916</v>
      </c>
      <c r="AI4" s="85" t="s">
        <v>916</v>
      </c>
    </row>
    <row r="5" spans="1:35" ht="15">
      <c r="A5" s="61" t="s">
        <v>1655</v>
      </c>
      <c r="B5" s="62" t="s">
        <v>1735</v>
      </c>
      <c r="C5" s="62" t="s">
        <v>56</v>
      </c>
      <c r="D5" s="102"/>
      <c r="E5" s="11"/>
      <c r="F5" s="12" t="s">
        <v>1655</v>
      </c>
      <c r="G5" s="60"/>
      <c r="H5" s="60"/>
      <c r="I5" s="103">
        <v>5</v>
      </c>
      <c r="J5" s="74"/>
      <c r="K5" s="45">
        <v>14</v>
      </c>
      <c r="L5" s="45">
        <v>15</v>
      </c>
      <c r="M5" s="45">
        <v>0</v>
      </c>
      <c r="N5" s="45">
        <v>15</v>
      </c>
      <c r="O5" s="45">
        <v>0</v>
      </c>
      <c r="P5" s="46">
        <v>0</v>
      </c>
      <c r="Q5" s="46">
        <v>0</v>
      </c>
      <c r="R5" s="45">
        <v>1</v>
      </c>
      <c r="S5" s="45">
        <v>0</v>
      </c>
      <c r="T5" s="45">
        <v>14</v>
      </c>
      <c r="U5" s="45">
        <v>15</v>
      </c>
      <c r="V5" s="45">
        <v>2</v>
      </c>
      <c r="W5" s="46">
        <v>1.704082</v>
      </c>
      <c r="X5" s="46">
        <v>0.08241758241758242</v>
      </c>
      <c r="Y5" s="45">
        <v>0</v>
      </c>
      <c r="Z5" s="46">
        <v>0</v>
      </c>
      <c r="AA5" s="45">
        <v>0</v>
      </c>
      <c r="AB5" s="46">
        <v>0</v>
      </c>
      <c r="AC5" s="45">
        <v>0</v>
      </c>
      <c r="AD5" s="46">
        <v>0</v>
      </c>
      <c r="AE5" s="45">
        <v>0</v>
      </c>
      <c r="AF5" s="46">
        <v>0</v>
      </c>
      <c r="AG5" s="45">
        <v>0</v>
      </c>
      <c r="AH5" s="85" t="s">
        <v>916</v>
      </c>
      <c r="AI5" s="85" t="s">
        <v>916</v>
      </c>
    </row>
    <row r="6" spans="1:35" ht="15">
      <c r="A6" s="61" t="s">
        <v>1656</v>
      </c>
      <c r="B6" s="62" t="s">
        <v>1736</v>
      </c>
      <c r="C6" s="62" t="s">
        <v>56</v>
      </c>
      <c r="D6" s="102"/>
      <c r="E6" s="11"/>
      <c r="F6" s="12" t="s">
        <v>1656</v>
      </c>
      <c r="G6" s="60"/>
      <c r="H6" s="60"/>
      <c r="I6" s="103">
        <v>6</v>
      </c>
      <c r="J6" s="74"/>
      <c r="K6" s="45">
        <v>8</v>
      </c>
      <c r="L6" s="45">
        <v>9</v>
      </c>
      <c r="M6" s="45">
        <v>0</v>
      </c>
      <c r="N6" s="45">
        <v>9</v>
      </c>
      <c r="O6" s="45">
        <v>0</v>
      </c>
      <c r="P6" s="46">
        <v>0</v>
      </c>
      <c r="Q6" s="46">
        <v>0</v>
      </c>
      <c r="R6" s="45">
        <v>1</v>
      </c>
      <c r="S6" s="45">
        <v>0</v>
      </c>
      <c r="T6" s="45">
        <v>8</v>
      </c>
      <c r="U6" s="45">
        <v>9</v>
      </c>
      <c r="V6" s="45">
        <v>4</v>
      </c>
      <c r="W6" s="46">
        <v>1.90625</v>
      </c>
      <c r="X6" s="46">
        <v>0.16071428571428573</v>
      </c>
      <c r="Y6" s="45">
        <v>0</v>
      </c>
      <c r="Z6" s="46">
        <v>0</v>
      </c>
      <c r="AA6" s="45">
        <v>0</v>
      </c>
      <c r="AB6" s="46">
        <v>0</v>
      </c>
      <c r="AC6" s="45">
        <v>0</v>
      </c>
      <c r="AD6" s="46">
        <v>0</v>
      </c>
      <c r="AE6" s="45">
        <v>0</v>
      </c>
      <c r="AF6" s="46">
        <v>0</v>
      </c>
      <c r="AG6" s="45">
        <v>0</v>
      </c>
      <c r="AH6" s="85" t="s">
        <v>916</v>
      </c>
      <c r="AI6" s="85" t="s">
        <v>916</v>
      </c>
    </row>
    <row r="7" spans="1:35" ht="15">
      <c r="A7" s="61" t="s">
        <v>1657</v>
      </c>
      <c r="B7" s="62" t="s">
        <v>1737</v>
      </c>
      <c r="C7" s="62" t="s">
        <v>56</v>
      </c>
      <c r="D7" s="102"/>
      <c r="E7" s="11"/>
      <c r="F7" s="12" t="s">
        <v>1657</v>
      </c>
      <c r="G7" s="60"/>
      <c r="H7" s="60"/>
      <c r="I7" s="103">
        <v>7</v>
      </c>
      <c r="J7" s="74"/>
      <c r="K7" s="45">
        <v>8</v>
      </c>
      <c r="L7" s="45">
        <v>16</v>
      </c>
      <c r="M7" s="45">
        <v>4</v>
      </c>
      <c r="N7" s="45">
        <v>20</v>
      </c>
      <c r="O7" s="45">
        <v>1</v>
      </c>
      <c r="P7" s="46">
        <v>0</v>
      </c>
      <c r="Q7" s="46">
        <v>0</v>
      </c>
      <c r="R7" s="45">
        <v>1</v>
      </c>
      <c r="S7" s="45">
        <v>0</v>
      </c>
      <c r="T7" s="45">
        <v>8</v>
      </c>
      <c r="U7" s="45">
        <v>20</v>
      </c>
      <c r="V7" s="45">
        <v>2</v>
      </c>
      <c r="W7" s="46">
        <v>1.21875</v>
      </c>
      <c r="X7" s="46">
        <v>0.30357142857142855</v>
      </c>
      <c r="Y7" s="45">
        <v>0</v>
      </c>
      <c r="Z7" s="46">
        <v>0</v>
      </c>
      <c r="AA7" s="45">
        <v>0</v>
      </c>
      <c r="AB7" s="46">
        <v>0</v>
      </c>
      <c r="AC7" s="45">
        <v>0</v>
      </c>
      <c r="AD7" s="46">
        <v>0</v>
      </c>
      <c r="AE7" s="45">
        <v>0</v>
      </c>
      <c r="AF7" s="46">
        <v>0</v>
      </c>
      <c r="AG7" s="45">
        <v>0</v>
      </c>
      <c r="AH7" s="85" t="s">
        <v>916</v>
      </c>
      <c r="AI7" s="85" t="s">
        <v>916</v>
      </c>
    </row>
    <row r="8" spans="1:35" ht="15">
      <c r="A8" s="61" t="s">
        <v>1658</v>
      </c>
      <c r="B8" s="62" t="s">
        <v>1738</v>
      </c>
      <c r="C8" s="62" t="s">
        <v>56</v>
      </c>
      <c r="D8" s="102"/>
      <c r="E8" s="11"/>
      <c r="F8" s="12" t="s">
        <v>1658</v>
      </c>
      <c r="G8" s="60"/>
      <c r="H8" s="60"/>
      <c r="I8" s="103">
        <v>8</v>
      </c>
      <c r="J8" s="74"/>
      <c r="K8" s="45">
        <v>4</v>
      </c>
      <c r="L8" s="45">
        <v>3</v>
      </c>
      <c r="M8" s="45">
        <v>0</v>
      </c>
      <c r="N8" s="45">
        <v>3</v>
      </c>
      <c r="O8" s="45">
        <v>0</v>
      </c>
      <c r="P8" s="46">
        <v>0</v>
      </c>
      <c r="Q8" s="46">
        <v>0</v>
      </c>
      <c r="R8" s="45">
        <v>1</v>
      </c>
      <c r="S8" s="45">
        <v>0</v>
      </c>
      <c r="T8" s="45">
        <v>4</v>
      </c>
      <c r="U8" s="45">
        <v>3</v>
      </c>
      <c r="V8" s="45">
        <v>3</v>
      </c>
      <c r="W8" s="46">
        <v>1.25</v>
      </c>
      <c r="X8" s="46">
        <v>0.25</v>
      </c>
      <c r="Y8" s="45">
        <v>0</v>
      </c>
      <c r="Z8" s="46">
        <v>0</v>
      </c>
      <c r="AA8" s="45">
        <v>0</v>
      </c>
      <c r="AB8" s="46">
        <v>0</v>
      </c>
      <c r="AC8" s="45">
        <v>0</v>
      </c>
      <c r="AD8" s="46">
        <v>0</v>
      </c>
      <c r="AE8" s="45">
        <v>0</v>
      </c>
      <c r="AF8" s="46">
        <v>0</v>
      </c>
      <c r="AG8" s="45">
        <v>0</v>
      </c>
      <c r="AH8" s="85" t="s">
        <v>916</v>
      </c>
      <c r="AI8" s="85" t="s">
        <v>916</v>
      </c>
    </row>
    <row r="9" spans="1:35" ht="15">
      <c r="A9" s="61" t="s">
        <v>1659</v>
      </c>
      <c r="B9" s="62" t="s">
        <v>1739</v>
      </c>
      <c r="C9" s="62" t="s">
        <v>56</v>
      </c>
      <c r="D9" s="102"/>
      <c r="E9" s="11"/>
      <c r="F9" s="12" t="s">
        <v>1659</v>
      </c>
      <c r="G9" s="60"/>
      <c r="H9" s="60"/>
      <c r="I9" s="103">
        <v>9</v>
      </c>
      <c r="J9" s="74"/>
      <c r="K9" s="45">
        <v>4</v>
      </c>
      <c r="L9" s="45">
        <v>3</v>
      </c>
      <c r="M9" s="45">
        <v>0</v>
      </c>
      <c r="N9" s="45">
        <v>3</v>
      </c>
      <c r="O9" s="45">
        <v>0</v>
      </c>
      <c r="P9" s="46">
        <v>0</v>
      </c>
      <c r="Q9" s="46">
        <v>0</v>
      </c>
      <c r="R9" s="45">
        <v>1</v>
      </c>
      <c r="S9" s="45">
        <v>0</v>
      </c>
      <c r="T9" s="45">
        <v>4</v>
      </c>
      <c r="U9" s="45">
        <v>3</v>
      </c>
      <c r="V9" s="45">
        <v>2</v>
      </c>
      <c r="W9" s="46">
        <v>1.125</v>
      </c>
      <c r="X9" s="46">
        <v>0.25</v>
      </c>
      <c r="Y9" s="45">
        <v>0</v>
      </c>
      <c r="Z9" s="46">
        <v>0</v>
      </c>
      <c r="AA9" s="45">
        <v>0</v>
      </c>
      <c r="AB9" s="46">
        <v>0</v>
      </c>
      <c r="AC9" s="45">
        <v>0</v>
      </c>
      <c r="AD9" s="46">
        <v>0</v>
      </c>
      <c r="AE9" s="45">
        <v>0</v>
      </c>
      <c r="AF9" s="46">
        <v>0</v>
      </c>
      <c r="AG9" s="45">
        <v>0</v>
      </c>
      <c r="AH9" s="85" t="s">
        <v>916</v>
      </c>
      <c r="AI9" s="85" t="s">
        <v>916</v>
      </c>
    </row>
    <row r="10" spans="1:35" ht="14.25" customHeight="1">
      <c r="A10" s="61" t="s">
        <v>1660</v>
      </c>
      <c r="B10" s="62" t="s">
        <v>1740</v>
      </c>
      <c r="C10" s="62" t="s">
        <v>56</v>
      </c>
      <c r="D10" s="102"/>
      <c r="E10" s="11"/>
      <c r="F10" s="12" t="s">
        <v>1660</v>
      </c>
      <c r="G10" s="60"/>
      <c r="H10" s="60"/>
      <c r="I10" s="103">
        <v>10</v>
      </c>
      <c r="J10" s="74"/>
      <c r="K10" s="45">
        <v>4</v>
      </c>
      <c r="L10" s="45">
        <v>3</v>
      </c>
      <c r="M10" s="45">
        <v>0</v>
      </c>
      <c r="N10" s="45">
        <v>3</v>
      </c>
      <c r="O10" s="45">
        <v>0</v>
      </c>
      <c r="P10" s="46">
        <v>0</v>
      </c>
      <c r="Q10" s="46">
        <v>0</v>
      </c>
      <c r="R10" s="45">
        <v>1</v>
      </c>
      <c r="S10" s="45">
        <v>0</v>
      </c>
      <c r="T10" s="45">
        <v>4</v>
      </c>
      <c r="U10" s="45">
        <v>3</v>
      </c>
      <c r="V10" s="45">
        <v>2</v>
      </c>
      <c r="W10" s="46">
        <v>1.125</v>
      </c>
      <c r="X10" s="46">
        <v>0.25</v>
      </c>
      <c r="Y10" s="45">
        <v>0</v>
      </c>
      <c r="Z10" s="46">
        <v>0</v>
      </c>
      <c r="AA10" s="45">
        <v>0</v>
      </c>
      <c r="AB10" s="46">
        <v>0</v>
      </c>
      <c r="AC10" s="45">
        <v>0</v>
      </c>
      <c r="AD10" s="46">
        <v>0</v>
      </c>
      <c r="AE10" s="45">
        <v>0</v>
      </c>
      <c r="AF10" s="46">
        <v>0</v>
      </c>
      <c r="AG10" s="45">
        <v>0</v>
      </c>
      <c r="AH10" s="85" t="s">
        <v>916</v>
      </c>
      <c r="AI10" s="85" t="s">
        <v>916</v>
      </c>
    </row>
    <row r="11" spans="1:35" ht="15">
      <c r="A11" s="61" t="s">
        <v>1661</v>
      </c>
      <c r="B11" s="62" t="s">
        <v>1741</v>
      </c>
      <c r="C11" s="62" t="s">
        <v>56</v>
      </c>
      <c r="D11" s="102"/>
      <c r="E11" s="11"/>
      <c r="F11" s="12" t="s">
        <v>1661</v>
      </c>
      <c r="G11" s="60"/>
      <c r="H11" s="60"/>
      <c r="I11" s="103">
        <v>11</v>
      </c>
      <c r="J11" s="74"/>
      <c r="K11" s="45">
        <v>4</v>
      </c>
      <c r="L11" s="45">
        <v>3</v>
      </c>
      <c r="M11" s="45">
        <v>4</v>
      </c>
      <c r="N11" s="45">
        <v>7</v>
      </c>
      <c r="O11" s="45">
        <v>4</v>
      </c>
      <c r="P11" s="46">
        <v>0</v>
      </c>
      <c r="Q11" s="46">
        <v>0</v>
      </c>
      <c r="R11" s="45">
        <v>1</v>
      </c>
      <c r="S11" s="45">
        <v>0</v>
      </c>
      <c r="T11" s="45">
        <v>4</v>
      </c>
      <c r="U11" s="45">
        <v>7</v>
      </c>
      <c r="V11" s="45">
        <v>2</v>
      </c>
      <c r="W11" s="46">
        <v>1.125</v>
      </c>
      <c r="X11" s="46">
        <v>0.25</v>
      </c>
      <c r="Y11" s="45">
        <v>0</v>
      </c>
      <c r="Z11" s="46">
        <v>0</v>
      </c>
      <c r="AA11" s="45">
        <v>0</v>
      </c>
      <c r="AB11" s="46">
        <v>0</v>
      </c>
      <c r="AC11" s="45">
        <v>0</v>
      </c>
      <c r="AD11" s="46">
        <v>0</v>
      </c>
      <c r="AE11" s="45">
        <v>0</v>
      </c>
      <c r="AF11" s="46">
        <v>0</v>
      </c>
      <c r="AG11" s="45">
        <v>0</v>
      </c>
      <c r="AH11" s="85" t="s">
        <v>916</v>
      </c>
      <c r="AI11" s="85" t="s">
        <v>916</v>
      </c>
    </row>
    <row r="12" spans="1:35" ht="15">
      <c r="A12" s="61" t="s">
        <v>1662</v>
      </c>
      <c r="B12" s="62" t="s">
        <v>1742</v>
      </c>
      <c r="C12" s="62" t="s">
        <v>56</v>
      </c>
      <c r="D12" s="102"/>
      <c r="E12" s="11"/>
      <c r="F12" s="12" t="s">
        <v>1662</v>
      </c>
      <c r="G12" s="60"/>
      <c r="H12" s="60"/>
      <c r="I12" s="103">
        <v>12</v>
      </c>
      <c r="J12" s="74"/>
      <c r="K12" s="45">
        <v>4</v>
      </c>
      <c r="L12" s="45">
        <v>5</v>
      </c>
      <c r="M12" s="45">
        <v>0</v>
      </c>
      <c r="N12" s="45">
        <v>5</v>
      </c>
      <c r="O12" s="45">
        <v>0</v>
      </c>
      <c r="P12" s="46">
        <v>0</v>
      </c>
      <c r="Q12" s="46">
        <v>0</v>
      </c>
      <c r="R12" s="45">
        <v>1</v>
      </c>
      <c r="S12" s="45">
        <v>0</v>
      </c>
      <c r="T12" s="45">
        <v>4</v>
      </c>
      <c r="U12" s="45">
        <v>5</v>
      </c>
      <c r="V12" s="45">
        <v>2</v>
      </c>
      <c r="W12" s="46">
        <v>0.875</v>
      </c>
      <c r="X12" s="46">
        <v>0.4166666666666667</v>
      </c>
      <c r="Y12" s="45">
        <v>0</v>
      </c>
      <c r="Z12" s="46">
        <v>0</v>
      </c>
      <c r="AA12" s="45">
        <v>0</v>
      </c>
      <c r="AB12" s="46">
        <v>0</v>
      </c>
      <c r="AC12" s="45">
        <v>0</v>
      </c>
      <c r="AD12" s="46">
        <v>0</v>
      </c>
      <c r="AE12" s="45">
        <v>0</v>
      </c>
      <c r="AF12" s="46">
        <v>0</v>
      </c>
      <c r="AG12" s="45">
        <v>0</v>
      </c>
      <c r="AH12" s="85" t="s">
        <v>916</v>
      </c>
      <c r="AI12" s="85" t="s">
        <v>916</v>
      </c>
    </row>
    <row r="13" spans="1:35" ht="15">
      <c r="A13" s="61" t="s">
        <v>1663</v>
      </c>
      <c r="B13" s="62" t="s">
        <v>1743</v>
      </c>
      <c r="C13" s="62" t="s">
        <v>56</v>
      </c>
      <c r="D13" s="102"/>
      <c r="E13" s="11"/>
      <c r="F13" s="12" t="s">
        <v>1663</v>
      </c>
      <c r="G13" s="60"/>
      <c r="H13" s="60"/>
      <c r="I13" s="103">
        <v>13</v>
      </c>
      <c r="J13" s="74"/>
      <c r="K13" s="45">
        <v>4</v>
      </c>
      <c r="L13" s="45">
        <v>4</v>
      </c>
      <c r="M13" s="45">
        <v>0</v>
      </c>
      <c r="N13" s="45">
        <v>4</v>
      </c>
      <c r="O13" s="45">
        <v>1</v>
      </c>
      <c r="P13" s="46">
        <v>0</v>
      </c>
      <c r="Q13" s="46">
        <v>0</v>
      </c>
      <c r="R13" s="45">
        <v>1</v>
      </c>
      <c r="S13" s="45">
        <v>0</v>
      </c>
      <c r="T13" s="45">
        <v>4</v>
      </c>
      <c r="U13" s="45">
        <v>4</v>
      </c>
      <c r="V13" s="45">
        <v>3</v>
      </c>
      <c r="W13" s="46">
        <v>1.25</v>
      </c>
      <c r="X13" s="46">
        <v>0.25</v>
      </c>
      <c r="Y13" s="45">
        <v>0</v>
      </c>
      <c r="Z13" s="46">
        <v>0</v>
      </c>
      <c r="AA13" s="45">
        <v>0</v>
      </c>
      <c r="AB13" s="46">
        <v>0</v>
      </c>
      <c r="AC13" s="45">
        <v>0</v>
      </c>
      <c r="AD13" s="46">
        <v>0</v>
      </c>
      <c r="AE13" s="45">
        <v>0</v>
      </c>
      <c r="AF13" s="46">
        <v>0</v>
      </c>
      <c r="AG13" s="45">
        <v>0</v>
      </c>
      <c r="AH13" s="85" t="s">
        <v>916</v>
      </c>
      <c r="AI13" s="85" t="s">
        <v>916</v>
      </c>
    </row>
    <row r="14" spans="1:35" ht="15">
      <c r="A14" s="61" t="s">
        <v>1664</v>
      </c>
      <c r="B14" s="62" t="s">
        <v>1744</v>
      </c>
      <c r="C14" s="62" t="s">
        <v>56</v>
      </c>
      <c r="D14" s="102"/>
      <c r="E14" s="11"/>
      <c r="F14" s="12" t="s">
        <v>1664</v>
      </c>
      <c r="G14" s="60"/>
      <c r="H14" s="60"/>
      <c r="I14" s="103">
        <v>14</v>
      </c>
      <c r="J14" s="74"/>
      <c r="K14" s="45">
        <v>4</v>
      </c>
      <c r="L14" s="45">
        <v>3</v>
      </c>
      <c r="M14" s="45">
        <v>0</v>
      </c>
      <c r="N14" s="45">
        <v>3</v>
      </c>
      <c r="O14" s="45">
        <v>0</v>
      </c>
      <c r="P14" s="46">
        <v>0</v>
      </c>
      <c r="Q14" s="46">
        <v>0</v>
      </c>
      <c r="R14" s="45">
        <v>1</v>
      </c>
      <c r="S14" s="45">
        <v>0</v>
      </c>
      <c r="T14" s="45">
        <v>4</v>
      </c>
      <c r="U14" s="45">
        <v>3</v>
      </c>
      <c r="V14" s="45">
        <v>2</v>
      </c>
      <c r="W14" s="46">
        <v>1.125</v>
      </c>
      <c r="X14" s="46">
        <v>0.25</v>
      </c>
      <c r="Y14" s="45">
        <v>0</v>
      </c>
      <c r="Z14" s="46">
        <v>0</v>
      </c>
      <c r="AA14" s="45">
        <v>0</v>
      </c>
      <c r="AB14" s="46">
        <v>0</v>
      </c>
      <c r="AC14" s="45">
        <v>0</v>
      </c>
      <c r="AD14" s="46">
        <v>0</v>
      </c>
      <c r="AE14" s="45">
        <v>0</v>
      </c>
      <c r="AF14" s="46">
        <v>0</v>
      </c>
      <c r="AG14" s="45">
        <v>0</v>
      </c>
      <c r="AH14" s="85" t="s">
        <v>916</v>
      </c>
      <c r="AI14" s="85" t="s">
        <v>916</v>
      </c>
    </row>
    <row r="15" spans="1:35" ht="15">
      <c r="A15" s="61" t="s">
        <v>1665</v>
      </c>
      <c r="B15" s="62" t="s">
        <v>1733</v>
      </c>
      <c r="C15" s="62" t="s">
        <v>59</v>
      </c>
      <c r="D15" s="102"/>
      <c r="E15" s="11"/>
      <c r="F15" s="12" t="s">
        <v>1665</v>
      </c>
      <c r="G15" s="60"/>
      <c r="H15" s="60"/>
      <c r="I15" s="103">
        <v>15</v>
      </c>
      <c r="J15" s="74"/>
      <c r="K15" s="45">
        <v>4</v>
      </c>
      <c r="L15" s="45">
        <v>3</v>
      </c>
      <c r="M15" s="45">
        <v>0</v>
      </c>
      <c r="N15" s="45">
        <v>3</v>
      </c>
      <c r="O15" s="45">
        <v>0</v>
      </c>
      <c r="P15" s="46">
        <v>0</v>
      </c>
      <c r="Q15" s="46">
        <v>0</v>
      </c>
      <c r="R15" s="45">
        <v>1</v>
      </c>
      <c r="S15" s="45">
        <v>0</v>
      </c>
      <c r="T15" s="45">
        <v>4</v>
      </c>
      <c r="U15" s="45">
        <v>3</v>
      </c>
      <c r="V15" s="45">
        <v>2</v>
      </c>
      <c r="W15" s="46">
        <v>1.125</v>
      </c>
      <c r="X15" s="46">
        <v>0.25</v>
      </c>
      <c r="Y15" s="45">
        <v>0</v>
      </c>
      <c r="Z15" s="46">
        <v>0</v>
      </c>
      <c r="AA15" s="45">
        <v>0</v>
      </c>
      <c r="AB15" s="46">
        <v>0</v>
      </c>
      <c r="AC15" s="45">
        <v>0</v>
      </c>
      <c r="AD15" s="46">
        <v>0</v>
      </c>
      <c r="AE15" s="45">
        <v>0</v>
      </c>
      <c r="AF15" s="46">
        <v>0</v>
      </c>
      <c r="AG15" s="45">
        <v>0</v>
      </c>
      <c r="AH15" s="85" t="s">
        <v>916</v>
      </c>
      <c r="AI15" s="85" t="s">
        <v>916</v>
      </c>
    </row>
    <row r="16" spans="1:35" ht="15">
      <c r="A16" s="61" t="s">
        <v>1666</v>
      </c>
      <c r="B16" s="62" t="s">
        <v>1734</v>
      </c>
      <c r="C16" s="62" t="s">
        <v>59</v>
      </c>
      <c r="D16" s="102"/>
      <c r="E16" s="11"/>
      <c r="F16" s="12" t="s">
        <v>1666</v>
      </c>
      <c r="G16" s="60"/>
      <c r="H16" s="60"/>
      <c r="I16" s="103">
        <v>16</v>
      </c>
      <c r="J16" s="74"/>
      <c r="K16" s="45">
        <v>3</v>
      </c>
      <c r="L16" s="45">
        <v>2</v>
      </c>
      <c r="M16" s="45">
        <v>0</v>
      </c>
      <c r="N16" s="45">
        <v>2</v>
      </c>
      <c r="O16" s="45">
        <v>0</v>
      </c>
      <c r="P16" s="46">
        <v>0</v>
      </c>
      <c r="Q16" s="46">
        <v>0</v>
      </c>
      <c r="R16" s="45">
        <v>1</v>
      </c>
      <c r="S16" s="45">
        <v>0</v>
      </c>
      <c r="T16" s="45">
        <v>3</v>
      </c>
      <c r="U16" s="45">
        <v>2</v>
      </c>
      <c r="V16" s="45">
        <v>2</v>
      </c>
      <c r="W16" s="46">
        <v>0.888889</v>
      </c>
      <c r="X16" s="46">
        <v>0.3333333333333333</v>
      </c>
      <c r="Y16" s="45">
        <v>0</v>
      </c>
      <c r="Z16" s="46">
        <v>0</v>
      </c>
      <c r="AA16" s="45">
        <v>0</v>
      </c>
      <c r="AB16" s="46">
        <v>0</v>
      </c>
      <c r="AC16" s="45">
        <v>0</v>
      </c>
      <c r="AD16" s="46">
        <v>0</v>
      </c>
      <c r="AE16" s="45">
        <v>0</v>
      </c>
      <c r="AF16" s="46">
        <v>0</v>
      </c>
      <c r="AG16" s="45">
        <v>0</v>
      </c>
      <c r="AH16" s="85" t="s">
        <v>916</v>
      </c>
      <c r="AI16" s="85" t="s">
        <v>916</v>
      </c>
    </row>
    <row r="17" spans="1:35" ht="15">
      <c r="A17" s="61" t="s">
        <v>1667</v>
      </c>
      <c r="B17" s="62" t="s">
        <v>1735</v>
      </c>
      <c r="C17" s="62" t="s">
        <v>59</v>
      </c>
      <c r="D17" s="102"/>
      <c r="E17" s="11"/>
      <c r="F17" s="12" t="s">
        <v>1667</v>
      </c>
      <c r="G17" s="60"/>
      <c r="H17" s="60"/>
      <c r="I17" s="103">
        <v>17</v>
      </c>
      <c r="J17" s="74"/>
      <c r="K17" s="45">
        <v>3</v>
      </c>
      <c r="L17" s="45">
        <v>2</v>
      </c>
      <c r="M17" s="45">
        <v>0</v>
      </c>
      <c r="N17" s="45">
        <v>2</v>
      </c>
      <c r="O17" s="45">
        <v>0</v>
      </c>
      <c r="P17" s="46">
        <v>0</v>
      </c>
      <c r="Q17" s="46">
        <v>0</v>
      </c>
      <c r="R17" s="45">
        <v>1</v>
      </c>
      <c r="S17" s="45">
        <v>0</v>
      </c>
      <c r="T17" s="45">
        <v>3</v>
      </c>
      <c r="U17" s="45">
        <v>2</v>
      </c>
      <c r="V17" s="45">
        <v>2</v>
      </c>
      <c r="W17" s="46">
        <v>0.888889</v>
      </c>
      <c r="X17" s="46">
        <v>0.3333333333333333</v>
      </c>
      <c r="Y17" s="45">
        <v>0</v>
      </c>
      <c r="Z17" s="46">
        <v>0</v>
      </c>
      <c r="AA17" s="45">
        <v>0</v>
      </c>
      <c r="AB17" s="46">
        <v>0</v>
      </c>
      <c r="AC17" s="45">
        <v>0</v>
      </c>
      <c r="AD17" s="46">
        <v>0</v>
      </c>
      <c r="AE17" s="45">
        <v>0</v>
      </c>
      <c r="AF17" s="46">
        <v>0</v>
      </c>
      <c r="AG17" s="45">
        <v>0</v>
      </c>
      <c r="AH17" s="85" t="s">
        <v>916</v>
      </c>
      <c r="AI17" s="85" t="s">
        <v>916</v>
      </c>
    </row>
    <row r="18" spans="1:35" ht="15">
      <c r="A18" s="61" t="s">
        <v>1668</v>
      </c>
      <c r="B18" s="62" t="s">
        <v>1736</v>
      </c>
      <c r="C18" s="62" t="s">
        <v>59</v>
      </c>
      <c r="D18" s="102"/>
      <c r="E18" s="11"/>
      <c r="F18" s="12" t="s">
        <v>1668</v>
      </c>
      <c r="G18" s="60"/>
      <c r="H18" s="60"/>
      <c r="I18" s="103">
        <v>18</v>
      </c>
      <c r="J18" s="74"/>
      <c r="K18" s="45">
        <v>3</v>
      </c>
      <c r="L18" s="45">
        <v>3</v>
      </c>
      <c r="M18" s="45">
        <v>0</v>
      </c>
      <c r="N18" s="45">
        <v>3</v>
      </c>
      <c r="O18" s="45">
        <v>1</v>
      </c>
      <c r="P18" s="46">
        <v>0</v>
      </c>
      <c r="Q18" s="46">
        <v>0</v>
      </c>
      <c r="R18" s="45">
        <v>1</v>
      </c>
      <c r="S18" s="45">
        <v>0</v>
      </c>
      <c r="T18" s="45">
        <v>3</v>
      </c>
      <c r="U18" s="45">
        <v>3</v>
      </c>
      <c r="V18" s="45">
        <v>2</v>
      </c>
      <c r="W18" s="46">
        <v>0.888889</v>
      </c>
      <c r="X18" s="46">
        <v>0.3333333333333333</v>
      </c>
      <c r="Y18" s="45">
        <v>0</v>
      </c>
      <c r="Z18" s="46">
        <v>0</v>
      </c>
      <c r="AA18" s="45">
        <v>0</v>
      </c>
      <c r="AB18" s="46">
        <v>0</v>
      </c>
      <c r="AC18" s="45">
        <v>0</v>
      </c>
      <c r="AD18" s="46">
        <v>0</v>
      </c>
      <c r="AE18" s="45">
        <v>0</v>
      </c>
      <c r="AF18" s="46">
        <v>0</v>
      </c>
      <c r="AG18" s="45">
        <v>0</v>
      </c>
      <c r="AH18" s="85" t="s">
        <v>916</v>
      </c>
      <c r="AI18" s="85" t="s">
        <v>916</v>
      </c>
    </row>
    <row r="19" spans="1:35" ht="15">
      <c r="A19" s="61" t="s">
        <v>1669</v>
      </c>
      <c r="B19" s="62" t="s">
        <v>1737</v>
      </c>
      <c r="C19" s="62" t="s">
        <v>59</v>
      </c>
      <c r="D19" s="102"/>
      <c r="E19" s="11"/>
      <c r="F19" s="12" t="s">
        <v>1669</v>
      </c>
      <c r="G19" s="60"/>
      <c r="H19" s="60"/>
      <c r="I19" s="103">
        <v>19</v>
      </c>
      <c r="J19" s="74"/>
      <c r="K19" s="45">
        <v>3</v>
      </c>
      <c r="L19" s="45">
        <v>3</v>
      </c>
      <c r="M19" s="45">
        <v>0</v>
      </c>
      <c r="N19" s="45">
        <v>3</v>
      </c>
      <c r="O19" s="45">
        <v>1</v>
      </c>
      <c r="P19" s="46">
        <v>0</v>
      </c>
      <c r="Q19" s="46">
        <v>0</v>
      </c>
      <c r="R19" s="45">
        <v>1</v>
      </c>
      <c r="S19" s="45">
        <v>0</v>
      </c>
      <c r="T19" s="45">
        <v>3</v>
      </c>
      <c r="U19" s="45">
        <v>3</v>
      </c>
      <c r="V19" s="45">
        <v>2</v>
      </c>
      <c r="W19" s="46">
        <v>0.888889</v>
      </c>
      <c r="X19" s="46">
        <v>0.3333333333333333</v>
      </c>
      <c r="Y19" s="45">
        <v>0</v>
      </c>
      <c r="Z19" s="46">
        <v>0</v>
      </c>
      <c r="AA19" s="45">
        <v>0</v>
      </c>
      <c r="AB19" s="46">
        <v>0</v>
      </c>
      <c r="AC19" s="45">
        <v>0</v>
      </c>
      <c r="AD19" s="46">
        <v>0</v>
      </c>
      <c r="AE19" s="45">
        <v>0</v>
      </c>
      <c r="AF19" s="46">
        <v>0</v>
      </c>
      <c r="AG19" s="45">
        <v>0</v>
      </c>
      <c r="AH19" s="85" t="s">
        <v>916</v>
      </c>
      <c r="AI19" s="85" t="s">
        <v>916</v>
      </c>
    </row>
    <row r="20" spans="1:35" ht="15">
      <c r="A20" s="61" t="s">
        <v>1670</v>
      </c>
      <c r="B20" s="62" t="s">
        <v>1738</v>
      </c>
      <c r="C20" s="62" t="s">
        <v>59</v>
      </c>
      <c r="D20" s="102"/>
      <c r="E20" s="11"/>
      <c r="F20" s="12" t="s">
        <v>1670</v>
      </c>
      <c r="G20" s="60"/>
      <c r="H20" s="60"/>
      <c r="I20" s="103">
        <v>20</v>
      </c>
      <c r="J20" s="74"/>
      <c r="K20" s="45">
        <v>3</v>
      </c>
      <c r="L20" s="45">
        <v>3</v>
      </c>
      <c r="M20" s="45">
        <v>0</v>
      </c>
      <c r="N20" s="45">
        <v>3</v>
      </c>
      <c r="O20" s="45">
        <v>1</v>
      </c>
      <c r="P20" s="46">
        <v>0</v>
      </c>
      <c r="Q20" s="46">
        <v>0</v>
      </c>
      <c r="R20" s="45">
        <v>1</v>
      </c>
      <c r="S20" s="45">
        <v>0</v>
      </c>
      <c r="T20" s="45">
        <v>3</v>
      </c>
      <c r="U20" s="45">
        <v>3</v>
      </c>
      <c r="V20" s="45">
        <v>2</v>
      </c>
      <c r="W20" s="46">
        <v>0.888889</v>
      </c>
      <c r="X20" s="46">
        <v>0.3333333333333333</v>
      </c>
      <c r="Y20" s="45">
        <v>0</v>
      </c>
      <c r="Z20" s="46">
        <v>0</v>
      </c>
      <c r="AA20" s="45">
        <v>0</v>
      </c>
      <c r="AB20" s="46">
        <v>0</v>
      </c>
      <c r="AC20" s="45">
        <v>0</v>
      </c>
      <c r="AD20" s="46">
        <v>0</v>
      </c>
      <c r="AE20" s="45">
        <v>0</v>
      </c>
      <c r="AF20" s="46">
        <v>0</v>
      </c>
      <c r="AG20" s="45">
        <v>0</v>
      </c>
      <c r="AH20" s="85" t="s">
        <v>916</v>
      </c>
      <c r="AI20" s="85" t="s">
        <v>916</v>
      </c>
    </row>
    <row r="21" spans="1:35" ht="15">
      <c r="A21" s="61" t="s">
        <v>1671</v>
      </c>
      <c r="B21" s="62" t="s">
        <v>1739</v>
      </c>
      <c r="C21" s="62" t="s">
        <v>59</v>
      </c>
      <c r="D21" s="102"/>
      <c r="E21" s="11"/>
      <c r="F21" s="12" t="s">
        <v>1671</v>
      </c>
      <c r="G21" s="60"/>
      <c r="H21" s="60"/>
      <c r="I21" s="103">
        <v>21</v>
      </c>
      <c r="J21" s="74"/>
      <c r="K21" s="45">
        <v>3</v>
      </c>
      <c r="L21" s="45">
        <v>2</v>
      </c>
      <c r="M21" s="45">
        <v>0</v>
      </c>
      <c r="N21" s="45">
        <v>2</v>
      </c>
      <c r="O21" s="45">
        <v>0</v>
      </c>
      <c r="P21" s="46">
        <v>0</v>
      </c>
      <c r="Q21" s="46">
        <v>0</v>
      </c>
      <c r="R21" s="45">
        <v>1</v>
      </c>
      <c r="S21" s="45">
        <v>0</v>
      </c>
      <c r="T21" s="45">
        <v>3</v>
      </c>
      <c r="U21" s="45">
        <v>2</v>
      </c>
      <c r="V21" s="45">
        <v>2</v>
      </c>
      <c r="W21" s="46">
        <v>0.888889</v>
      </c>
      <c r="X21" s="46">
        <v>0.3333333333333333</v>
      </c>
      <c r="Y21" s="45">
        <v>0</v>
      </c>
      <c r="Z21" s="46">
        <v>0</v>
      </c>
      <c r="AA21" s="45">
        <v>0</v>
      </c>
      <c r="AB21" s="46">
        <v>0</v>
      </c>
      <c r="AC21" s="45">
        <v>0</v>
      </c>
      <c r="AD21" s="46">
        <v>0</v>
      </c>
      <c r="AE21" s="45">
        <v>0</v>
      </c>
      <c r="AF21" s="46">
        <v>0</v>
      </c>
      <c r="AG21" s="45">
        <v>0</v>
      </c>
      <c r="AH21" s="85" t="s">
        <v>916</v>
      </c>
      <c r="AI21" s="85" t="s">
        <v>916</v>
      </c>
    </row>
    <row r="22" spans="1:35" ht="15">
      <c r="A22" s="61" t="s">
        <v>1672</v>
      </c>
      <c r="B22" s="62" t="s">
        <v>1740</v>
      </c>
      <c r="C22" s="62" t="s">
        <v>59</v>
      </c>
      <c r="D22" s="102"/>
      <c r="E22" s="11"/>
      <c r="F22" s="12" t="s">
        <v>1672</v>
      </c>
      <c r="G22" s="60"/>
      <c r="H22" s="60"/>
      <c r="I22" s="103">
        <v>22</v>
      </c>
      <c r="J22" s="74"/>
      <c r="K22" s="45">
        <v>3</v>
      </c>
      <c r="L22" s="45">
        <v>3</v>
      </c>
      <c r="M22" s="45">
        <v>0</v>
      </c>
      <c r="N22" s="45">
        <v>3</v>
      </c>
      <c r="O22" s="45">
        <v>1</v>
      </c>
      <c r="P22" s="46">
        <v>0</v>
      </c>
      <c r="Q22" s="46">
        <v>0</v>
      </c>
      <c r="R22" s="45">
        <v>1</v>
      </c>
      <c r="S22" s="45">
        <v>0</v>
      </c>
      <c r="T22" s="45">
        <v>3</v>
      </c>
      <c r="U22" s="45">
        <v>3</v>
      </c>
      <c r="V22" s="45">
        <v>2</v>
      </c>
      <c r="W22" s="46">
        <v>0.888889</v>
      </c>
      <c r="X22" s="46">
        <v>0.3333333333333333</v>
      </c>
      <c r="Y22" s="45">
        <v>0</v>
      </c>
      <c r="Z22" s="46">
        <v>0</v>
      </c>
      <c r="AA22" s="45">
        <v>0</v>
      </c>
      <c r="AB22" s="46">
        <v>0</v>
      </c>
      <c r="AC22" s="45">
        <v>0</v>
      </c>
      <c r="AD22" s="46">
        <v>0</v>
      </c>
      <c r="AE22" s="45">
        <v>0</v>
      </c>
      <c r="AF22" s="46">
        <v>0</v>
      </c>
      <c r="AG22" s="45">
        <v>0</v>
      </c>
      <c r="AH22" s="85" t="s">
        <v>916</v>
      </c>
      <c r="AI22" s="85" t="s">
        <v>916</v>
      </c>
    </row>
    <row r="23" spans="1:35" ht="15">
      <c r="A23" s="61" t="s">
        <v>1673</v>
      </c>
      <c r="B23" s="62" t="s">
        <v>1741</v>
      </c>
      <c r="C23" s="62" t="s">
        <v>59</v>
      </c>
      <c r="D23" s="102"/>
      <c r="E23" s="11"/>
      <c r="F23" s="12" t="s">
        <v>1673</v>
      </c>
      <c r="G23" s="60"/>
      <c r="H23" s="60"/>
      <c r="I23" s="103">
        <v>23</v>
      </c>
      <c r="J23" s="74"/>
      <c r="K23" s="45">
        <v>2</v>
      </c>
      <c r="L23" s="45">
        <v>1</v>
      </c>
      <c r="M23" s="45">
        <v>0</v>
      </c>
      <c r="N23" s="45">
        <v>1</v>
      </c>
      <c r="O23" s="45">
        <v>0</v>
      </c>
      <c r="P23" s="46">
        <v>0</v>
      </c>
      <c r="Q23" s="46">
        <v>0</v>
      </c>
      <c r="R23" s="45">
        <v>1</v>
      </c>
      <c r="S23" s="45">
        <v>0</v>
      </c>
      <c r="T23" s="45">
        <v>2</v>
      </c>
      <c r="U23" s="45">
        <v>1</v>
      </c>
      <c r="V23" s="45">
        <v>1</v>
      </c>
      <c r="W23" s="46">
        <v>0.5</v>
      </c>
      <c r="X23" s="46">
        <v>0.5</v>
      </c>
      <c r="Y23" s="45">
        <v>0</v>
      </c>
      <c r="Z23" s="46">
        <v>0</v>
      </c>
      <c r="AA23" s="45">
        <v>0</v>
      </c>
      <c r="AB23" s="46">
        <v>0</v>
      </c>
      <c r="AC23" s="45">
        <v>0</v>
      </c>
      <c r="AD23" s="46">
        <v>0</v>
      </c>
      <c r="AE23" s="45">
        <v>0</v>
      </c>
      <c r="AF23" s="46">
        <v>0</v>
      </c>
      <c r="AG23" s="45">
        <v>0</v>
      </c>
      <c r="AH23" s="85" t="s">
        <v>916</v>
      </c>
      <c r="AI23" s="85" t="s">
        <v>916</v>
      </c>
    </row>
    <row r="24" spans="1:35" ht="15">
      <c r="A24" s="61" t="s">
        <v>1674</v>
      </c>
      <c r="B24" s="62" t="s">
        <v>1742</v>
      </c>
      <c r="C24" s="62" t="s">
        <v>59</v>
      </c>
      <c r="D24" s="102"/>
      <c r="E24" s="11"/>
      <c r="F24" s="12" t="s">
        <v>1674</v>
      </c>
      <c r="G24" s="60"/>
      <c r="H24" s="60"/>
      <c r="I24" s="103">
        <v>24</v>
      </c>
      <c r="J24" s="74"/>
      <c r="K24" s="45">
        <v>2</v>
      </c>
      <c r="L24" s="45">
        <v>2</v>
      </c>
      <c r="M24" s="45">
        <v>0</v>
      </c>
      <c r="N24" s="45">
        <v>2</v>
      </c>
      <c r="O24" s="45">
        <v>1</v>
      </c>
      <c r="P24" s="46">
        <v>0</v>
      </c>
      <c r="Q24" s="46">
        <v>0</v>
      </c>
      <c r="R24" s="45">
        <v>1</v>
      </c>
      <c r="S24" s="45">
        <v>0</v>
      </c>
      <c r="T24" s="45">
        <v>2</v>
      </c>
      <c r="U24" s="45">
        <v>2</v>
      </c>
      <c r="V24" s="45">
        <v>1</v>
      </c>
      <c r="W24" s="46">
        <v>0.5</v>
      </c>
      <c r="X24" s="46">
        <v>0.5</v>
      </c>
      <c r="Y24" s="45">
        <v>0</v>
      </c>
      <c r="Z24" s="46">
        <v>0</v>
      </c>
      <c r="AA24" s="45">
        <v>0</v>
      </c>
      <c r="AB24" s="46">
        <v>0</v>
      </c>
      <c r="AC24" s="45">
        <v>0</v>
      </c>
      <c r="AD24" s="46">
        <v>0</v>
      </c>
      <c r="AE24" s="45">
        <v>0</v>
      </c>
      <c r="AF24" s="46">
        <v>0</v>
      </c>
      <c r="AG24" s="45">
        <v>0</v>
      </c>
      <c r="AH24" s="85" t="s">
        <v>916</v>
      </c>
      <c r="AI24" s="85" t="s">
        <v>916</v>
      </c>
    </row>
    <row r="25" spans="1:35" ht="15">
      <c r="A25" s="61" t="s">
        <v>1675</v>
      </c>
      <c r="B25" s="62" t="s">
        <v>1743</v>
      </c>
      <c r="C25" s="62" t="s">
        <v>59</v>
      </c>
      <c r="D25" s="102"/>
      <c r="E25" s="11"/>
      <c r="F25" s="12" t="s">
        <v>1675</v>
      </c>
      <c r="G25" s="60"/>
      <c r="H25" s="60"/>
      <c r="I25" s="103">
        <v>25</v>
      </c>
      <c r="J25" s="74"/>
      <c r="K25" s="45">
        <v>2</v>
      </c>
      <c r="L25" s="45">
        <v>1</v>
      </c>
      <c r="M25" s="45">
        <v>0</v>
      </c>
      <c r="N25" s="45">
        <v>1</v>
      </c>
      <c r="O25" s="45">
        <v>0</v>
      </c>
      <c r="P25" s="46">
        <v>0</v>
      </c>
      <c r="Q25" s="46">
        <v>0</v>
      </c>
      <c r="R25" s="45">
        <v>1</v>
      </c>
      <c r="S25" s="45">
        <v>0</v>
      </c>
      <c r="T25" s="45">
        <v>2</v>
      </c>
      <c r="U25" s="45">
        <v>1</v>
      </c>
      <c r="V25" s="45">
        <v>1</v>
      </c>
      <c r="W25" s="46">
        <v>0.5</v>
      </c>
      <c r="X25" s="46">
        <v>0.5</v>
      </c>
      <c r="Y25" s="45">
        <v>0</v>
      </c>
      <c r="Z25" s="46">
        <v>0</v>
      </c>
      <c r="AA25" s="45">
        <v>0</v>
      </c>
      <c r="AB25" s="46">
        <v>0</v>
      </c>
      <c r="AC25" s="45">
        <v>0</v>
      </c>
      <c r="AD25" s="46">
        <v>0</v>
      </c>
      <c r="AE25" s="45">
        <v>0</v>
      </c>
      <c r="AF25" s="46">
        <v>0</v>
      </c>
      <c r="AG25" s="45">
        <v>0</v>
      </c>
      <c r="AH25" s="85" t="s">
        <v>916</v>
      </c>
      <c r="AI25" s="85" t="s">
        <v>916</v>
      </c>
    </row>
    <row r="26" spans="1:35" ht="15">
      <c r="A26" s="61" t="s">
        <v>1676</v>
      </c>
      <c r="B26" s="62" t="s">
        <v>1744</v>
      </c>
      <c r="C26" s="62" t="s">
        <v>59</v>
      </c>
      <c r="D26" s="102"/>
      <c r="E26" s="11"/>
      <c r="F26" s="12" t="s">
        <v>1676</v>
      </c>
      <c r="G26" s="60"/>
      <c r="H26" s="60"/>
      <c r="I26" s="103">
        <v>26</v>
      </c>
      <c r="J26" s="74"/>
      <c r="K26" s="45">
        <v>2</v>
      </c>
      <c r="L26" s="45">
        <v>1</v>
      </c>
      <c r="M26" s="45">
        <v>0</v>
      </c>
      <c r="N26" s="45">
        <v>1</v>
      </c>
      <c r="O26" s="45">
        <v>0</v>
      </c>
      <c r="P26" s="46">
        <v>0</v>
      </c>
      <c r="Q26" s="46">
        <v>0</v>
      </c>
      <c r="R26" s="45">
        <v>1</v>
      </c>
      <c r="S26" s="45">
        <v>0</v>
      </c>
      <c r="T26" s="45">
        <v>2</v>
      </c>
      <c r="U26" s="45">
        <v>1</v>
      </c>
      <c r="V26" s="45">
        <v>1</v>
      </c>
      <c r="W26" s="46">
        <v>0.5</v>
      </c>
      <c r="X26" s="46">
        <v>0.5</v>
      </c>
      <c r="Y26" s="45">
        <v>0</v>
      </c>
      <c r="Z26" s="46">
        <v>0</v>
      </c>
      <c r="AA26" s="45">
        <v>0</v>
      </c>
      <c r="AB26" s="46">
        <v>0</v>
      </c>
      <c r="AC26" s="45">
        <v>0</v>
      </c>
      <c r="AD26" s="46">
        <v>0</v>
      </c>
      <c r="AE26" s="45">
        <v>0</v>
      </c>
      <c r="AF26" s="46">
        <v>0</v>
      </c>
      <c r="AG26" s="45">
        <v>0</v>
      </c>
      <c r="AH26" s="85" t="s">
        <v>916</v>
      </c>
      <c r="AI26" s="85" t="s">
        <v>916</v>
      </c>
    </row>
    <row r="27" spans="1:35" ht="15">
      <c r="A27" s="61" t="s">
        <v>1677</v>
      </c>
      <c r="B27" s="62" t="s">
        <v>1733</v>
      </c>
      <c r="C27" s="62" t="s">
        <v>61</v>
      </c>
      <c r="D27" s="102"/>
      <c r="E27" s="11"/>
      <c r="F27" s="12" t="s">
        <v>1677</v>
      </c>
      <c r="G27" s="60"/>
      <c r="H27" s="60"/>
      <c r="I27" s="103">
        <v>27</v>
      </c>
      <c r="J27" s="74"/>
      <c r="K27" s="45">
        <v>2</v>
      </c>
      <c r="L27" s="45">
        <v>1</v>
      </c>
      <c r="M27" s="45">
        <v>0</v>
      </c>
      <c r="N27" s="45">
        <v>1</v>
      </c>
      <c r="O27" s="45">
        <v>0</v>
      </c>
      <c r="P27" s="46">
        <v>0</v>
      </c>
      <c r="Q27" s="46">
        <v>0</v>
      </c>
      <c r="R27" s="45">
        <v>1</v>
      </c>
      <c r="S27" s="45">
        <v>0</v>
      </c>
      <c r="T27" s="45">
        <v>2</v>
      </c>
      <c r="U27" s="45">
        <v>1</v>
      </c>
      <c r="V27" s="45">
        <v>1</v>
      </c>
      <c r="W27" s="46">
        <v>0.5</v>
      </c>
      <c r="X27" s="46">
        <v>0.5</v>
      </c>
      <c r="Y27" s="45">
        <v>0</v>
      </c>
      <c r="Z27" s="46">
        <v>0</v>
      </c>
      <c r="AA27" s="45">
        <v>0</v>
      </c>
      <c r="AB27" s="46">
        <v>0</v>
      </c>
      <c r="AC27" s="45">
        <v>0</v>
      </c>
      <c r="AD27" s="46">
        <v>0</v>
      </c>
      <c r="AE27" s="45">
        <v>0</v>
      </c>
      <c r="AF27" s="46">
        <v>0</v>
      </c>
      <c r="AG27" s="45">
        <v>0</v>
      </c>
      <c r="AH27" s="85" t="s">
        <v>916</v>
      </c>
      <c r="AI27" s="85" t="s">
        <v>916</v>
      </c>
    </row>
    <row r="28" spans="1:35" ht="15">
      <c r="A28" s="61" t="s">
        <v>1678</v>
      </c>
      <c r="B28" s="62" t="s">
        <v>1734</v>
      </c>
      <c r="C28" s="62" t="s">
        <v>61</v>
      </c>
      <c r="D28" s="102"/>
      <c r="E28" s="11"/>
      <c r="F28" s="12" t="s">
        <v>1678</v>
      </c>
      <c r="G28" s="60"/>
      <c r="H28" s="60"/>
      <c r="I28" s="103">
        <v>28</v>
      </c>
      <c r="J28" s="74"/>
      <c r="K28" s="45">
        <v>2</v>
      </c>
      <c r="L28" s="45">
        <v>1</v>
      </c>
      <c r="M28" s="45">
        <v>0</v>
      </c>
      <c r="N28" s="45">
        <v>1</v>
      </c>
      <c r="O28" s="45">
        <v>0</v>
      </c>
      <c r="P28" s="46">
        <v>0</v>
      </c>
      <c r="Q28" s="46">
        <v>0</v>
      </c>
      <c r="R28" s="45">
        <v>1</v>
      </c>
      <c r="S28" s="45">
        <v>0</v>
      </c>
      <c r="T28" s="45">
        <v>2</v>
      </c>
      <c r="U28" s="45">
        <v>1</v>
      </c>
      <c r="V28" s="45">
        <v>1</v>
      </c>
      <c r="W28" s="46">
        <v>0.5</v>
      </c>
      <c r="X28" s="46">
        <v>0.5</v>
      </c>
      <c r="Y28" s="45">
        <v>0</v>
      </c>
      <c r="Z28" s="46">
        <v>0</v>
      </c>
      <c r="AA28" s="45">
        <v>0</v>
      </c>
      <c r="AB28" s="46">
        <v>0</v>
      </c>
      <c r="AC28" s="45">
        <v>0</v>
      </c>
      <c r="AD28" s="46">
        <v>0</v>
      </c>
      <c r="AE28" s="45">
        <v>0</v>
      </c>
      <c r="AF28" s="46">
        <v>0</v>
      </c>
      <c r="AG28" s="45">
        <v>0</v>
      </c>
      <c r="AH28" s="85" t="s">
        <v>916</v>
      </c>
      <c r="AI28" s="85" t="s">
        <v>916</v>
      </c>
    </row>
    <row r="29" spans="1:35" ht="15">
      <c r="A29" s="61" t="s">
        <v>1679</v>
      </c>
      <c r="B29" s="62" t="s">
        <v>1735</v>
      </c>
      <c r="C29" s="62" t="s">
        <v>61</v>
      </c>
      <c r="D29" s="102"/>
      <c r="E29" s="11"/>
      <c r="F29" s="12" t="s">
        <v>1679</v>
      </c>
      <c r="G29" s="60"/>
      <c r="H29" s="60"/>
      <c r="I29" s="103">
        <v>29</v>
      </c>
      <c r="J29" s="74"/>
      <c r="K29" s="45">
        <v>2</v>
      </c>
      <c r="L29" s="45">
        <v>2</v>
      </c>
      <c r="M29" s="45">
        <v>0</v>
      </c>
      <c r="N29" s="45">
        <v>2</v>
      </c>
      <c r="O29" s="45">
        <v>1</v>
      </c>
      <c r="P29" s="46">
        <v>0</v>
      </c>
      <c r="Q29" s="46">
        <v>0</v>
      </c>
      <c r="R29" s="45">
        <v>1</v>
      </c>
      <c r="S29" s="45">
        <v>0</v>
      </c>
      <c r="T29" s="45">
        <v>2</v>
      </c>
      <c r="U29" s="45">
        <v>2</v>
      </c>
      <c r="V29" s="45">
        <v>1</v>
      </c>
      <c r="W29" s="46">
        <v>0.5</v>
      </c>
      <c r="X29" s="46">
        <v>0.5</v>
      </c>
      <c r="Y29" s="45">
        <v>0</v>
      </c>
      <c r="Z29" s="46">
        <v>0</v>
      </c>
      <c r="AA29" s="45">
        <v>0</v>
      </c>
      <c r="AB29" s="46">
        <v>0</v>
      </c>
      <c r="AC29" s="45">
        <v>0</v>
      </c>
      <c r="AD29" s="46">
        <v>0</v>
      </c>
      <c r="AE29" s="45">
        <v>0</v>
      </c>
      <c r="AF29" s="46">
        <v>0</v>
      </c>
      <c r="AG29" s="45">
        <v>0</v>
      </c>
      <c r="AH29" s="85" t="s">
        <v>916</v>
      </c>
      <c r="AI29" s="85" t="s">
        <v>916</v>
      </c>
    </row>
    <row r="30" spans="1:35" ht="15">
      <c r="A30" s="61" t="s">
        <v>1680</v>
      </c>
      <c r="B30" s="62" t="s">
        <v>1736</v>
      </c>
      <c r="C30" s="62" t="s">
        <v>61</v>
      </c>
      <c r="D30" s="102"/>
      <c r="E30" s="11"/>
      <c r="F30" s="12" t="s">
        <v>1680</v>
      </c>
      <c r="G30" s="60"/>
      <c r="H30" s="60"/>
      <c r="I30" s="103">
        <v>30</v>
      </c>
      <c r="J30" s="74"/>
      <c r="K30" s="45">
        <v>2</v>
      </c>
      <c r="L30" s="45">
        <v>1</v>
      </c>
      <c r="M30" s="45">
        <v>0</v>
      </c>
      <c r="N30" s="45">
        <v>1</v>
      </c>
      <c r="O30" s="45">
        <v>0</v>
      </c>
      <c r="P30" s="46">
        <v>0</v>
      </c>
      <c r="Q30" s="46">
        <v>0</v>
      </c>
      <c r="R30" s="45">
        <v>1</v>
      </c>
      <c r="S30" s="45">
        <v>0</v>
      </c>
      <c r="T30" s="45">
        <v>2</v>
      </c>
      <c r="U30" s="45">
        <v>1</v>
      </c>
      <c r="V30" s="45">
        <v>1</v>
      </c>
      <c r="W30" s="46">
        <v>0.5</v>
      </c>
      <c r="X30" s="46">
        <v>0.5</v>
      </c>
      <c r="Y30" s="45">
        <v>0</v>
      </c>
      <c r="Z30" s="46">
        <v>0</v>
      </c>
      <c r="AA30" s="45">
        <v>0</v>
      </c>
      <c r="AB30" s="46">
        <v>0</v>
      </c>
      <c r="AC30" s="45">
        <v>0</v>
      </c>
      <c r="AD30" s="46">
        <v>0</v>
      </c>
      <c r="AE30" s="45">
        <v>0</v>
      </c>
      <c r="AF30" s="46">
        <v>0</v>
      </c>
      <c r="AG30" s="45">
        <v>0</v>
      </c>
      <c r="AH30" s="85" t="s">
        <v>916</v>
      </c>
      <c r="AI30" s="85" t="s">
        <v>916</v>
      </c>
    </row>
    <row r="31" spans="1:35" ht="15">
      <c r="A31" s="61" t="s">
        <v>1681</v>
      </c>
      <c r="B31" s="62" t="s">
        <v>1737</v>
      </c>
      <c r="C31" s="62" t="s">
        <v>61</v>
      </c>
      <c r="D31" s="102"/>
      <c r="E31" s="11"/>
      <c r="F31" s="12" t="s">
        <v>1681</v>
      </c>
      <c r="G31" s="60"/>
      <c r="H31" s="60"/>
      <c r="I31" s="103">
        <v>31</v>
      </c>
      <c r="J31" s="74"/>
      <c r="K31" s="45">
        <v>2</v>
      </c>
      <c r="L31" s="45">
        <v>1</v>
      </c>
      <c r="M31" s="45">
        <v>0</v>
      </c>
      <c r="N31" s="45">
        <v>1</v>
      </c>
      <c r="O31" s="45">
        <v>0</v>
      </c>
      <c r="P31" s="46">
        <v>0</v>
      </c>
      <c r="Q31" s="46">
        <v>0</v>
      </c>
      <c r="R31" s="45">
        <v>1</v>
      </c>
      <c r="S31" s="45">
        <v>0</v>
      </c>
      <c r="T31" s="45">
        <v>2</v>
      </c>
      <c r="U31" s="45">
        <v>1</v>
      </c>
      <c r="V31" s="45">
        <v>1</v>
      </c>
      <c r="W31" s="46">
        <v>0.5</v>
      </c>
      <c r="X31" s="46">
        <v>0.5</v>
      </c>
      <c r="Y31" s="45">
        <v>0</v>
      </c>
      <c r="Z31" s="46">
        <v>0</v>
      </c>
      <c r="AA31" s="45">
        <v>0</v>
      </c>
      <c r="AB31" s="46">
        <v>0</v>
      </c>
      <c r="AC31" s="45">
        <v>0</v>
      </c>
      <c r="AD31" s="46">
        <v>0</v>
      </c>
      <c r="AE31" s="45">
        <v>0</v>
      </c>
      <c r="AF31" s="46">
        <v>0</v>
      </c>
      <c r="AG31" s="45">
        <v>0</v>
      </c>
      <c r="AH31" s="85" t="s">
        <v>916</v>
      </c>
      <c r="AI31" s="85" t="s">
        <v>916</v>
      </c>
    </row>
    <row r="32" spans="1:35" ht="15">
      <c r="A32" s="61" t="s">
        <v>1682</v>
      </c>
      <c r="B32" s="62" t="s">
        <v>1738</v>
      </c>
      <c r="C32" s="62" t="s">
        <v>61</v>
      </c>
      <c r="D32" s="102"/>
      <c r="E32" s="11"/>
      <c r="F32" s="12" t="s">
        <v>1682</v>
      </c>
      <c r="G32" s="60"/>
      <c r="H32" s="60"/>
      <c r="I32" s="103">
        <v>32</v>
      </c>
      <c r="J32" s="74"/>
      <c r="K32" s="45">
        <v>2</v>
      </c>
      <c r="L32" s="45">
        <v>2</v>
      </c>
      <c r="M32" s="45">
        <v>0</v>
      </c>
      <c r="N32" s="45">
        <v>2</v>
      </c>
      <c r="O32" s="45">
        <v>1</v>
      </c>
      <c r="P32" s="46">
        <v>0</v>
      </c>
      <c r="Q32" s="46">
        <v>0</v>
      </c>
      <c r="R32" s="45">
        <v>1</v>
      </c>
      <c r="S32" s="45">
        <v>0</v>
      </c>
      <c r="T32" s="45">
        <v>2</v>
      </c>
      <c r="U32" s="45">
        <v>2</v>
      </c>
      <c r="V32" s="45">
        <v>1</v>
      </c>
      <c r="W32" s="46">
        <v>0.5</v>
      </c>
      <c r="X32" s="46">
        <v>0.5</v>
      </c>
      <c r="Y32" s="45">
        <v>0</v>
      </c>
      <c r="Z32" s="46">
        <v>0</v>
      </c>
      <c r="AA32" s="45">
        <v>0</v>
      </c>
      <c r="AB32" s="46">
        <v>0</v>
      </c>
      <c r="AC32" s="45">
        <v>0</v>
      </c>
      <c r="AD32" s="46">
        <v>0</v>
      </c>
      <c r="AE32" s="45">
        <v>0</v>
      </c>
      <c r="AF32" s="46">
        <v>0</v>
      </c>
      <c r="AG32" s="45">
        <v>0</v>
      </c>
      <c r="AH32" s="85" t="s">
        <v>916</v>
      </c>
      <c r="AI32" s="85" t="s">
        <v>916</v>
      </c>
    </row>
    <row r="33" spans="1:35" ht="15">
      <c r="A33" s="61" t="s">
        <v>1683</v>
      </c>
      <c r="B33" s="62" t="s">
        <v>1739</v>
      </c>
      <c r="C33" s="62" t="s">
        <v>61</v>
      </c>
      <c r="D33" s="102"/>
      <c r="E33" s="11"/>
      <c r="F33" s="12" t="s">
        <v>1683</v>
      </c>
      <c r="G33" s="60"/>
      <c r="H33" s="60"/>
      <c r="I33" s="103">
        <v>33</v>
      </c>
      <c r="J33" s="74"/>
      <c r="K33" s="45">
        <v>2</v>
      </c>
      <c r="L33" s="45">
        <v>2</v>
      </c>
      <c r="M33" s="45">
        <v>0</v>
      </c>
      <c r="N33" s="45">
        <v>2</v>
      </c>
      <c r="O33" s="45">
        <v>1</v>
      </c>
      <c r="P33" s="46">
        <v>0</v>
      </c>
      <c r="Q33" s="46">
        <v>0</v>
      </c>
      <c r="R33" s="45">
        <v>1</v>
      </c>
      <c r="S33" s="45">
        <v>0</v>
      </c>
      <c r="T33" s="45">
        <v>2</v>
      </c>
      <c r="U33" s="45">
        <v>2</v>
      </c>
      <c r="V33" s="45">
        <v>1</v>
      </c>
      <c r="W33" s="46">
        <v>0.5</v>
      </c>
      <c r="X33" s="46">
        <v>0.5</v>
      </c>
      <c r="Y33" s="45">
        <v>0</v>
      </c>
      <c r="Z33" s="46">
        <v>0</v>
      </c>
      <c r="AA33" s="45">
        <v>0</v>
      </c>
      <c r="AB33" s="46">
        <v>0</v>
      </c>
      <c r="AC33" s="45">
        <v>0</v>
      </c>
      <c r="AD33" s="46">
        <v>0</v>
      </c>
      <c r="AE33" s="45">
        <v>0</v>
      </c>
      <c r="AF33" s="46">
        <v>0</v>
      </c>
      <c r="AG33" s="45">
        <v>0</v>
      </c>
      <c r="AH33" s="85" t="s">
        <v>916</v>
      </c>
      <c r="AI33" s="85" t="s">
        <v>916</v>
      </c>
    </row>
    <row r="34" spans="1:35" ht="15">
      <c r="A34" s="61" t="s">
        <v>1684</v>
      </c>
      <c r="B34" s="62" t="s">
        <v>1740</v>
      </c>
      <c r="C34" s="62" t="s">
        <v>61</v>
      </c>
      <c r="D34" s="102"/>
      <c r="E34" s="11"/>
      <c r="F34" s="12" t="s">
        <v>1684</v>
      </c>
      <c r="G34" s="60"/>
      <c r="H34" s="60"/>
      <c r="I34" s="103">
        <v>34</v>
      </c>
      <c r="J34" s="74"/>
      <c r="K34" s="45">
        <v>2</v>
      </c>
      <c r="L34" s="45">
        <v>2</v>
      </c>
      <c r="M34" s="45">
        <v>0</v>
      </c>
      <c r="N34" s="45">
        <v>2</v>
      </c>
      <c r="O34" s="45">
        <v>1</v>
      </c>
      <c r="P34" s="46">
        <v>0</v>
      </c>
      <c r="Q34" s="46">
        <v>0</v>
      </c>
      <c r="R34" s="45">
        <v>1</v>
      </c>
      <c r="S34" s="45">
        <v>0</v>
      </c>
      <c r="T34" s="45">
        <v>2</v>
      </c>
      <c r="U34" s="45">
        <v>2</v>
      </c>
      <c r="V34" s="45">
        <v>1</v>
      </c>
      <c r="W34" s="46">
        <v>0.5</v>
      </c>
      <c r="X34" s="46">
        <v>0.5</v>
      </c>
      <c r="Y34" s="45">
        <v>0</v>
      </c>
      <c r="Z34" s="46">
        <v>0</v>
      </c>
      <c r="AA34" s="45">
        <v>0</v>
      </c>
      <c r="AB34" s="46">
        <v>0</v>
      </c>
      <c r="AC34" s="45">
        <v>0</v>
      </c>
      <c r="AD34" s="46">
        <v>0</v>
      </c>
      <c r="AE34" s="45">
        <v>0</v>
      </c>
      <c r="AF34" s="46">
        <v>0</v>
      </c>
      <c r="AG34" s="45">
        <v>0</v>
      </c>
      <c r="AH34" s="85" t="s">
        <v>916</v>
      </c>
      <c r="AI34" s="85" t="s">
        <v>916</v>
      </c>
    </row>
    <row r="35" spans="1:35" ht="15">
      <c r="A35" s="61" t="s">
        <v>1685</v>
      </c>
      <c r="B35" s="62" t="s">
        <v>1741</v>
      </c>
      <c r="C35" s="62" t="s">
        <v>61</v>
      </c>
      <c r="D35" s="102"/>
      <c r="E35" s="11"/>
      <c r="F35" s="12" t="s">
        <v>1685</v>
      </c>
      <c r="G35" s="60"/>
      <c r="H35" s="60"/>
      <c r="I35" s="103">
        <v>35</v>
      </c>
      <c r="J35" s="74"/>
      <c r="K35" s="45">
        <v>2</v>
      </c>
      <c r="L35" s="45">
        <v>1</v>
      </c>
      <c r="M35" s="45">
        <v>0</v>
      </c>
      <c r="N35" s="45">
        <v>1</v>
      </c>
      <c r="O35" s="45">
        <v>0</v>
      </c>
      <c r="P35" s="46">
        <v>0</v>
      </c>
      <c r="Q35" s="46">
        <v>0</v>
      </c>
      <c r="R35" s="45">
        <v>1</v>
      </c>
      <c r="S35" s="45">
        <v>0</v>
      </c>
      <c r="T35" s="45">
        <v>2</v>
      </c>
      <c r="U35" s="45">
        <v>1</v>
      </c>
      <c r="V35" s="45">
        <v>1</v>
      </c>
      <c r="W35" s="46">
        <v>0.5</v>
      </c>
      <c r="X35" s="46">
        <v>0.5</v>
      </c>
      <c r="Y35" s="45">
        <v>0</v>
      </c>
      <c r="Z35" s="46">
        <v>0</v>
      </c>
      <c r="AA35" s="45">
        <v>0</v>
      </c>
      <c r="AB35" s="46">
        <v>0</v>
      </c>
      <c r="AC35" s="45">
        <v>0</v>
      </c>
      <c r="AD35" s="46">
        <v>0</v>
      </c>
      <c r="AE35" s="45">
        <v>0</v>
      </c>
      <c r="AF35" s="46">
        <v>0</v>
      </c>
      <c r="AG35" s="45">
        <v>0</v>
      </c>
      <c r="AH35" s="85" t="s">
        <v>916</v>
      </c>
      <c r="AI35" s="85" t="s">
        <v>916</v>
      </c>
    </row>
    <row r="36" spans="1:35" ht="15">
      <c r="A36" s="61" t="s">
        <v>1686</v>
      </c>
      <c r="B36" s="62" t="s">
        <v>1742</v>
      </c>
      <c r="C36" s="62" t="s">
        <v>61</v>
      </c>
      <c r="D36" s="102"/>
      <c r="E36" s="11"/>
      <c r="F36" s="12" t="s">
        <v>1686</v>
      </c>
      <c r="G36" s="60"/>
      <c r="H36" s="60"/>
      <c r="I36" s="103">
        <v>36</v>
      </c>
      <c r="J36" s="74"/>
      <c r="K36" s="45">
        <v>2</v>
      </c>
      <c r="L36" s="45">
        <v>1</v>
      </c>
      <c r="M36" s="45">
        <v>0</v>
      </c>
      <c r="N36" s="45">
        <v>1</v>
      </c>
      <c r="O36" s="45">
        <v>0</v>
      </c>
      <c r="P36" s="46">
        <v>0</v>
      </c>
      <c r="Q36" s="46">
        <v>0</v>
      </c>
      <c r="R36" s="45">
        <v>1</v>
      </c>
      <c r="S36" s="45">
        <v>0</v>
      </c>
      <c r="T36" s="45">
        <v>2</v>
      </c>
      <c r="U36" s="45">
        <v>1</v>
      </c>
      <c r="V36" s="45">
        <v>1</v>
      </c>
      <c r="W36" s="46">
        <v>0.5</v>
      </c>
      <c r="X36" s="46">
        <v>0.5</v>
      </c>
      <c r="Y36" s="45">
        <v>0</v>
      </c>
      <c r="Z36" s="46">
        <v>0</v>
      </c>
      <c r="AA36" s="45">
        <v>0</v>
      </c>
      <c r="AB36" s="46">
        <v>0</v>
      </c>
      <c r="AC36" s="45">
        <v>0</v>
      </c>
      <c r="AD36" s="46">
        <v>0</v>
      </c>
      <c r="AE36" s="45">
        <v>0</v>
      </c>
      <c r="AF36" s="46">
        <v>0</v>
      </c>
      <c r="AG36" s="45">
        <v>0</v>
      </c>
      <c r="AH36" s="85" t="s">
        <v>916</v>
      </c>
      <c r="AI36" s="85" t="s">
        <v>916</v>
      </c>
    </row>
    <row r="37" spans="1:35" ht="15">
      <c r="A37" s="61" t="s">
        <v>1687</v>
      </c>
      <c r="B37" s="62" t="s">
        <v>1743</v>
      </c>
      <c r="C37" s="62" t="s">
        <v>61</v>
      </c>
      <c r="D37" s="102"/>
      <c r="E37" s="11"/>
      <c r="F37" s="12" t="s">
        <v>1687</v>
      </c>
      <c r="G37" s="60"/>
      <c r="H37" s="60"/>
      <c r="I37" s="103">
        <v>37</v>
      </c>
      <c r="J37" s="74"/>
      <c r="K37" s="45">
        <v>2</v>
      </c>
      <c r="L37" s="45">
        <v>1</v>
      </c>
      <c r="M37" s="45">
        <v>0</v>
      </c>
      <c r="N37" s="45">
        <v>1</v>
      </c>
      <c r="O37" s="45">
        <v>0</v>
      </c>
      <c r="P37" s="46">
        <v>0</v>
      </c>
      <c r="Q37" s="46">
        <v>0</v>
      </c>
      <c r="R37" s="45">
        <v>1</v>
      </c>
      <c r="S37" s="45">
        <v>0</v>
      </c>
      <c r="T37" s="45">
        <v>2</v>
      </c>
      <c r="U37" s="45">
        <v>1</v>
      </c>
      <c r="V37" s="45">
        <v>1</v>
      </c>
      <c r="W37" s="46">
        <v>0.5</v>
      </c>
      <c r="X37" s="46">
        <v>0.5</v>
      </c>
      <c r="Y37" s="45">
        <v>0</v>
      </c>
      <c r="Z37" s="46">
        <v>0</v>
      </c>
      <c r="AA37" s="45">
        <v>0</v>
      </c>
      <c r="AB37" s="46">
        <v>0</v>
      </c>
      <c r="AC37" s="45">
        <v>0</v>
      </c>
      <c r="AD37" s="46">
        <v>0</v>
      </c>
      <c r="AE37" s="45">
        <v>0</v>
      </c>
      <c r="AF37" s="46">
        <v>0</v>
      </c>
      <c r="AG37" s="45">
        <v>0</v>
      </c>
      <c r="AH37" s="85" t="s">
        <v>916</v>
      </c>
      <c r="AI37" s="85" t="s">
        <v>916</v>
      </c>
    </row>
    <row r="38" spans="1:35" ht="15">
      <c r="A38" s="61" t="s">
        <v>1688</v>
      </c>
      <c r="B38" s="62" t="s">
        <v>1744</v>
      </c>
      <c r="C38" s="62" t="s">
        <v>61</v>
      </c>
      <c r="D38" s="102"/>
      <c r="E38" s="11"/>
      <c r="F38" s="12" t="s">
        <v>1688</v>
      </c>
      <c r="G38" s="60"/>
      <c r="H38" s="60"/>
      <c r="I38" s="103">
        <v>38</v>
      </c>
      <c r="J38" s="74"/>
      <c r="K38" s="45">
        <v>2</v>
      </c>
      <c r="L38" s="45">
        <v>2</v>
      </c>
      <c r="M38" s="45">
        <v>0</v>
      </c>
      <c r="N38" s="45">
        <v>2</v>
      </c>
      <c r="O38" s="45">
        <v>1</v>
      </c>
      <c r="P38" s="46">
        <v>0</v>
      </c>
      <c r="Q38" s="46">
        <v>0</v>
      </c>
      <c r="R38" s="45">
        <v>1</v>
      </c>
      <c r="S38" s="45">
        <v>0</v>
      </c>
      <c r="T38" s="45">
        <v>2</v>
      </c>
      <c r="U38" s="45">
        <v>2</v>
      </c>
      <c r="V38" s="45">
        <v>1</v>
      </c>
      <c r="W38" s="46">
        <v>0.5</v>
      </c>
      <c r="X38" s="46">
        <v>0.5</v>
      </c>
      <c r="Y38" s="45">
        <v>0</v>
      </c>
      <c r="Z38" s="46">
        <v>0</v>
      </c>
      <c r="AA38" s="45">
        <v>0</v>
      </c>
      <c r="AB38" s="46">
        <v>0</v>
      </c>
      <c r="AC38" s="45">
        <v>0</v>
      </c>
      <c r="AD38" s="46">
        <v>0</v>
      </c>
      <c r="AE38" s="45">
        <v>0</v>
      </c>
      <c r="AF38" s="46">
        <v>0</v>
      </c>
      <c r="AG38" s="45">
        <v>0</v>
      </c>
      <c r="AH38" s="85" t="s">
        <v>916</v>
      </c>
      <c r="AI38" s="85" t="s">
        <v>916</v>
      </c>
    </row>
    <row r="39" spans="1:35" ht="15">
      <c r="A39" s="61" t="s">
        <v>1689</v>
      </c>
      <c r="B39" s="62" t="s">
        <v>1733</v>
      </c>
      <c r="C39" s="62" t="s">
        <v>63</v>
      </c>
      <c r="D39" s="102"/>
      <c r="E39" s="11"/>
      <c r="F39" s="12" t="s">
        <v>1689</v>
      </c>
      <c r="G39" s="60"/>
      <c r="H39" s="60"/>
      <c r="I39" s="103">
        <v>39</v>
      </c>
      <c r="J39" s="74"/>
      <c r="K39" s="45">
        <v>2</v>
      </c>
      <c r="L39" s="45">
        <v>2</v>
      </c>
      <c r="M39" s="45">
        <v>0</v>
      </c>
      <c r="N39" s="45">
        <v>2</v>
      </c>
      <c r="O39" s="45">
        <v>1</v>
      </c>
      <c r="P39" s="46">
        <v>0</v>
      </c>
      <c r="Q39" s="46">
        <v>0</v>
      </c>
      <c r="R39" s="45">
        <v>1</v>
      </c>
      <c r="S39" s="45">
        <v>0</v>
      </c>
      <c r="T39" s="45">
        <v>2</v>
      </c>
      <c r="U39" s="45">
        <v>2</v>
      </c>
      <c r="V39" s="45">
        <v>1</v>
      </c>
      <c r="W39" s="46">
        <v>0.5</v>
      </c>
      <c r="X39" s="46">
        <v>0.5</v>
      </c>
      <c r="Y39" s="45">
        <v>0</v>
      </c>
      <c r="Z39" s="46">
        <v>0</v>
      </c>
      <c r="AA39" s="45">
        <v>0</v>
      </c>
      <c r="AB39" s="46">
        <v>0</v>
      </c>
      <c r="AC39" s="45">
        <v>0</v>
      </c>
      <c r="AD39" s="46">
        <v>0</v>
      </c>
      <c r="AE39" s="45">
        <v>0</v>
      </c>
      <c r="AF39" s="46">
        <v>0</v>
      </c>
      <c r="AG39" s="45">
        <v>0</v>
      </c>
      <c r="AH39" s="85" t="s">
        <v>916</v>
      </c>
      <c r="AI39" s="85" t="s">
        <v>916</v>
      </c>
    </row>
    <row r="40" spans="1:35" ht="15">
      <c r="A40" s="61" t="s">
        <v>1690</v>
      </c>
      <c r="B40" s="62" t="s">
        <v>1734</v>
      </c>
      <c r="C40" s="62" t="s">
        <v>63</v>
      </c>
      <c r="D40" s="102"/>
      <c r="E40" s="11"/>
      <c r="F40" s="12" t="s">
        <v>1690</v>
      </c>
      <c r="G40" s="60"/>
      <c r="H40" s="60"/>
      <c r="I40" s="103">
        <v>40</v>
      </c>
      <c r="J40" s="74"/>
      <c r="K40" s="45">
        <v>2</v>
      </c>
      <c r="L40" s="45">
        <v>2</v>
      </c>
      <c r="M40" s="45">
        <v>0</v>
      </c>
      <c r="N40" s="45">
        <v>2</v>
      </c>
      <c r="O40" s="45">
        <v>1</v>
      </c>
      <c r="P40" s="46">
        <v>0</v>
      </c>
      <c r="Q40" s="46">
        <v>0</v>
      </c>
      <c r="R40" s="45">
        <v>1</v>
      </c>
      <c r="S40" s="45">
        <v>0</v>
      </c>
      <c r="T40" s="45">
        <v>2</v>
      </c>
      <c r="U40" s="45">
        <v>2</v>
      </c>
      <c r="V40" s="45">
        <v>1</v>
      </c>
      <c r="W40" s="46">
        <v>0.5</v>
      </c>
      <c r="X40" s="46">
        <v>0.5</v>
      </c>
      <c r="Y40" s="45">
        <v>0</v>
      </c>
      <c r="Z40" s="46">
        <v>0</v>
      </c>
      <c r="AA40" s="45">
        <v>0</v>
      </c>
      <c r="AB40" s="46">
        <v>0</v>
      </c>
      <c r="AC40" s="45">
        <v>0</v>
      </c>
      <c r="AD40" s="46">
        <v>0</v>
      </c>
      <c r="AE40" s="45">
        <v>0</v>
      </c>
      <c r="AF40" s="46">
        <v>0</v>
      </c>
      <c r="AG40" s="45">
        <v>0</v>
      </c>
      <c r="AH40" s="85" t="s">
        <v>916</v>
      </c>
      <c r="AI40" s="85" t="s">
        <v>916</v>
      </c>
    </row>
    <row r="41" spans="1:35" ht="15">
      <c r="A41" s="61" t="s">
        <v>1691</v>
      </c>
      <c r="B41" s="62" t="s">
        <v>1735</v>
      </c>
      <c r="C41" s="62" t="s">
        <v>63</v>
      </c>
      <c r="D41" s="102"/>
      <c r="E41" s="11"/>
      <c r="F41" s="12" t="s">
        <v>1691</v>
      </c>
      <c r="G41" s="60"/>
      <c r="H41" s="60"/>
      <c r="I41" s="103">
        <v>41</v>
      </c>
      <c r="J41" s="74"/>
      <c r="K41" s="45">
        <v>2</v>
      </c>
      <c r="L41" s="45">
        <v>2</v>
      </c>
      <c r="M41" s="45">
        <v>0</v>
      </c>
      <c r="N41" s="45">
        <v>2</v>
      </c>
      <c r="O41" s="45">
        <v>1</v>
      </c>
      <c r="P41" s="46">
        <v>0</v>
      </c>
      <c r="Q41" s="46">
        <v>0</v>
      </c>
      <c r="R41" s="45">
        <v>1</v>
      </c>
      <c r="S41" s="45">
        <v>0</v>
      </c>
      <c r="T41" s="45">
        <v>2</v>
      </c>
      <c r="U41" s="45">
        <v>2</v>
      </c>
      <c r="V41" s="45">
        <v>1</v>
      </c>
      <c r="W41" s="46">
        <v>0.5</v>
      </c>
      <c r="X41" s="46">
        <v>0.5</v>
      </c>
      <c r="Y41" s="45">
        <v>0</v>
      </c>
      <c r="Z41" s="46">
        <v>0</v>
      </c>
      <c r="AA41" s="45">
        <v>0</v>
      </c>
      <c r="AB41" s="46">
        <v>0</v>
      </c>
      <c r="AC41" s="45">
        <v>0</v>
      </c>
      <c r="AD41" s="46">
        <v>0</v>
      </c>
      <c r="AE41" s="45">
        <v>0</v>
      </c>
      <c r="AF41" s="46">
        <v>0</v>
      </c>
      <c r="AG41" s="45">
        <v>0</v>
      </c>
      <c r="AH41" s="85" t="s">
        <v>916</v>
      </c>
      <c r="AI41" s="85" t="s">
        <v>916</v>
      </c>
    </row>
    <row r="42" spans="1:35" ht="15">
      <c r="A42" s="61" t="s">
        <v>1692</v>
      </c>
      <c r="B42" s="62" t="s">
        <v>1736</v>
      </c>
      <c r="C42" s="62" t="s">
        <v>63</v>
      </c>
      <c r="D42" s="102"/>
      <c r="E42" s="11"/>
      <c r="F42" s="12" t="s">
        <v>1692</v>
      </c>
      <c r="G42" s="60"/>
      <c r="H42" s="60"/>
      <c r="I42" s="103">
        <v>42</v>
      </c>
      <c r="J42" s="74"/>
      <c r="K42" s="45">
        <v>2</v>
      </c>
      <c r="L42" s="45">
        <v>1</v>
      </c>
      <c r="M42" s="45">
        <v>0</v>
      </c>
      <c r="N42" s="45">
        <v>1</v>
      </c>
      <c r="O42" s="45">
        <v>0</v>
      </c>
      <c r="P42" s="46">
        <v>0</v>
      </c>
      <c r="Q42" s="46">
        <v>0</v>
      </c>
      <c r="R42" s="45">
        <v>1</v>
      </c>
      <c r="S42" s="45">
        <v>0</v>
      </c>
      <c r="T42" s="45">
        <v>2</v>
      </c>
      <c r="U42" s="45">
        <v>1</v>
      </c>
      <c r="V42" s="45">
        <v>1</v>
      </c>
      <c r="W42" s="46">
        <v>0.5</v>
      </c>
      <c r="X42" s="46">
        <v>0.5</v>
      </c>
      <c r="Y42" s="45">
        <v>0</v>
      </c>
      <c r="Z42" s="46">
        <v>0</v>
      </c>
      <c r="AA42" s="45">
        <v>0</v>
      </c>
      <c r="AB42" s="46">
        <v>0</v>
      </c>
      <c r="AC42" s="45">
        <v>0</v>
      </c>
      <c r="AD42" s="46">
        <v>0</v>
      </c>
      <c r="AE42" s="45">
        <v>0</v>
      </c>
      <c r="AF42" s="46">
        <v>0</v>
      </c>
      <c r="AG42" s="45">
        <v>0</v>
      </c>
      <c r="AH42" s="85" t="s">
        <v>916</v>
      </c>
      <c r="AI42" s="85" t="s">
        <v>916</v>
      </c>
    </row>
    <row r="43" spans="1:35" ht="15">
      <c r="A43" s="61" t="s">
        <v>1693</v>
      </c>
      <c r="B43" s="62" t="s">
        <v>1737</v>
      </c>
      <c r="C43" s="62" t="s">
        <v>63</v>
      </c>
      <c r="D43" s="102"/>
      <c r="E43" s="11"/>
      <c r="F43" s="12" t="s">
        <v>1693</v>
      </c>
      <c r="G43" s="60"/>
      <c r="H43" s="60"/>
      <c r="I43" s="103">
        <v>43</v>
      </c>
      <c r="J43" s="74"/>
      <c r="K43" s="45">
        <v>2</v>
      </c>
      <c r="L43" s="45">
        <v>1</v>
      </c>
      <c r="M43" s="45">
        <v>0</v>
      </c>
      <c r="N43" s="45">
        <v>1</v>
      </c>
      <c r="O43" s="45">
        <v>0</v>
      </c>
      <c r="P43" s="46">
        <v>0</v>
      </c>
      <c r="Q43" s="46">
        <v>0</v>
      </c>
      <c r="R43" s="45">
        <v>1</v>
      </c>
      <c r="S43" s="45">
        <v>0</v>
      </c>
      <c r="T43" s="45">
        <v>2</v>
      </c>
      <c r="U43" s="45">
        <v>1</v>
      </c>
      <c r="V43" s="45">
        <v>1</v>
      </c>
      <c r="W43" s="46">
        <v>0.5</v>
      </c>
      <c r="X43" s="46">
        <v>0.5</v>
      </c>
      <c r="Y43" s="45">
        <v>0</v>
      </c>
      <c r="Z43" s="46">
        <v>0</v>
      </c>
      <c r="AA43" s="45">
        <v>0</v>
      </c>
      <c r="AB43" s="46">
        <v>0</v>
      </c>
      <c r="AC43" s="45">
        <v>0</v>
      </c>
      <c r="AD43" s="46">
        <v>0</v>
      </c>
      <c r="AE43" s="45">
        <v>0</v>
      </c>
      <c r="AF43" s="46">
        <v>0</v>
      </c>
      <c r="AG43" s="45">
        <v>0</v>
      </c>
      <c r="AH43" s="85" t="s">
        <v>916</v>
      </c>
      <c r="AI43" s="85" t="s">
        <v>916</v>
      </c>
    </row>
    <row r="44" spans="1:35" ht="15">
      <c r="A44" s="61" t="s">
        <v>1694</v>
      </c>
      <c r="B44" s="62" t="s">
        <v>1738</v>
      </c>
      <c r="C44" s="62" t="s">
        <v>63</v>
      </c>
      <c r="D44" s="102"/>
      <c r="E44" s="11"/>
      <c r="F44" s="12" t="s">
        <v>1694</v>
      </c>
      <c r="G44" s="60"/>
      <c r="H44" s="60"/>
      <c r="I44" s="103">
        <v>44</v>
      </c>
      <c r="J44" s="74"/>
      <c r="K44" s="45">
        <v>2</v>
      </c>
      <c r="L44" s="45">
        <v>2</v>
      </c>
      <c r="M44" s="45">
        <v>0</v>
      </c>
      <c r="N44" s="45">
        <v>2</v>
      </c>
      <c r="O44" s="45">
        <v>1</v>
      </c>
      <c r="P44" s="46">
        <v>0</v>
      </c>
      <c r="Q44" s="46">
        <v>0</v>
      </c>
      <c r="R44" s="45">
        <v>1</v>
      </c>
      <c r="S44" s="45">
        <v>0</v>
      </c>
      <c r="T44" s="45">
        <v>2</v>
      </c>
      <c r="U44" s="45">
        <v>2</v>
      </c>
      <c r="V44" s="45">
        <v>1</v>
      </c>
      <c r="W44" s="46">
        <v>0.5</v>
      </c>
      <c r="X44" s="46">
        <v>0.5</v>
      </c>
      <c r="Y44" s="45">
        <v>0</v>
      </c>
      <c r="Z44" s="46">
        <v>0</v>
      </c>
      <c r="AA44" s="45">
        <v>0</v>
      </c>
      <c r="AB44" s="46">
        <v>0</v>
      </c>
      <c r="AC44" s="45">
        <v>0</v>
      </c>
      <c r="AD44" s="46">
        <v>0</v>
      </c>
      <c r="AE44" s="45">
        <v>0</v>
      </c>
      <c r="AF44" s="46">
        <v>0</v>
      </c>
      <c r="AG44" s="45">
        <v>0</v>
      </c>
      <c r="AH44" s="85" t="s">
        <v>916</v>
      </c>
      <c r="AI44" s="85" t="s">
        <v>916</v>
      </c>
    </row>
    <row r="45" spans="1:35" ht="15">
      <c r="A45" s="61" t="s">
        <v>1695</v>
      </c>
      <c r="B45" s="62" t="s">
        <v>1739</v>
      </c>
      <c r="C45" s="62" t="s">
        <v>63</v>
      </c>
      <c r="D45" s="102"/>
      <c r="E45" s="11"/>
      <c r="F45" s="12" t="s">
        <v>1695</v>
      </c>
      <c r="G45" s="60"/>
      <c r="H45" s="60"/>
      <c r="I45" s="103">
        <v>45</v>
      </c>
      <c r="J45" s="74"/>
      <c r="K45" s="45">
        <v>2</v>
      </c>
      <c r="L45" s="45">
        <v>1</v>
      </c>
      <c r="M45" s="45">
        <v>0</v>
      </c>
      <c r="N45" s="45">
        <v>1</v>
      </c>
      <c r="O45" s="45">
        <v>0</v>
      </c>
      <c r="P45" s="46">
        <v>0</v>
      </c>
      <c r="Q45" s="46">
        <v>0</v>
      </c>
      <c r="R45" s="45">
        <v>1</v>
      </c>
      <c r="S45" s="45">
        <v>0</v>
      </c>
      <c r="T45" s="45">
        <v>2</v>
      </c>
      <c r="U45" s="45">
        <v>1</v>
      </c>
      <c r="V45" s="45">
        <v>1</v>
      </c>
      <c r="W45" s="46">
        <v>0.5</v>
      </c>
      <c r="X45" s="46">
        <v>0.5</v>
      </c>
      <c r="Y45" s="45">
        <v>0</v>
      </c>
      <c r="Z45" s="46">
        <v>0</v>
      </c>
      <c r="AA45" s="45">
        <v>0</v>
      </c>
      <c r="AB45" s="46">
        <v>0</v>
      </c>
      <c r="AC45" s="45">
        <v>0</v>
      </c>
      <c r="AD45" s="46">
        <v>0</v>
      </c>
      <c r="AE45" s="45">
        <v>0</v>
      </c>
      <c r="AF45" s="46">
        <v>0</v>
      </c>
      <c r="AG45" s="45">
        <v>0</v>
      </c>
      <c r="AH45" s="85" t="s">
        <v>916</v>
      </c>
      <c r="AI45" s="85" t="s">
        <v>916</v>
      </c>
    </row>
    <row r="46" spans="1:35" ht="15">
      <c r="A46" s="61" t="s">
        <v>1696</v>
      </c>
      <c r="B46" s="62" t="s">
        <v>1740</v>
      </c>
      <c r="C46" s="62" t="s">
        <v>63</v>
      </c>
      <c r="D46" s="102"/>
      <c r="E46" s="11"/>
      <c r="F46" s="12" t="s">
        <v>1696</v>
      </c>
      <c r="G46" s="60"/>
      <c r="H46" s="60"/>
      <c r="I46" s="103">
        <v>46</v>
      </c>
      <c r="J46" s="74"/>
      <c r="K46" s="45">
        <v>2</v>
      </c>
      <c r="L46" s="45">
        <v>1</v>
      </c>
      <c r="M46" s="45">
        <v>0</v>
      </c>
      <c r="N46" s="45">
        <v>1</v>
      </c>
      <c r="O46" s="45">
        <v>0</v>
      </c>
      <c r="P46" s="46">
        <v>0</v>
      </c>
      <c r="Q46" s="46">
        <v>0</v>
      </c>
      <c r="R46" s="45">
        <v>1</v>
      </c>
      <c r="S46" s="45">
        <v>0</v>
      </c>
      <c r="T46" s="45">
        <v>2</v>
      </c>
      <c r="U46" s="45">
        <v>1</v>
      </c>
      <c r="V46" s="45">
        <v>1</v>
      </c>
      <c r="W46" s="46">
        <v>0.5</v>
      </c>
      <c r="X46" s="46">
        <v>0.5</v>
      </c>
      <c r="Y46" s="45">
        <v>0</v>
      </c>
      <c r="Z46" s="46">
        <v>0</v>
      </c>
      <c r="AA46" s="45">
        <v>0</v>
      </c>
      <c r="AB46" s="46">
        <v>0</v>
      </c>
      <c r="AC46" s="45">
        <v>0</v>
      </c>
      <c r="AD46" s="46">
        <v>0</v>
      </c>
      <c r="AE46" s="45">
        <v>0</v>
      </c>
      <c r="AF46" s="46">
        <v>0</v>
      </c>
      <c r="AG46" s="45">
        <v>0</v>
      </c>
      <c r="AH46" s="85" t="s">
        <v>916</v>
      </c>
      <c r="AI46" s="85" t="s">
        <v>916</v>
      </c>
    </row>
    <row r="47" spans="1:35" ht="15">
      <c r="A47" s="61" t="s">
        <v>1697</v>
      </c>
      <c r="B47" s="62" t="s">
        <v>1741</v>
      </c>
      <c r="C47" s="62" t="s">
        <v>63</v>
      </c>
      <c r="D47" s="102"/>
      <c r="E47" s="11"/>
      <c r="F47" s="12" t="s">
        <v>1697</v>
      </c>
      <c r="G47" s="60"/>
      <c r="H47" s="60"/>
      <c r="I47" s="103">
        <v>47</v>
      </c>
      <c r="J47" s="74"/>
      <c r="K47" s="45">
        <v>1</v>
      </c>
      <c r="L47" s="45">
        <v>1</v>
      </c>
      <c r="M47" s="45">
        <v>0</v>
      </c>
      <c r="N47" s="45">
        <v>1</v>
      </c>
      <c r="O47" s="45">
        <v>1</v>
      </c>
      <c r="P47" s="46" t="s">
        <v>1748</v>
      </c>
      <c r="Q47" s="46" t="s">
        <v>1748</v>
      </c>
      <c r="R47" s="45">
        <v>1</v>
      </c>
      <c r="S47" s="45">
        <v>1</v>
      </c>
      <c r="T47" s="45">
        <v>1</v>
      </c>
      <c r="U47" s="45">
        <v>1</v>
      </c>
      <c r="V47" s="45">
        <v>0</v>
      </c>
      <c r="W47" s="46">
        <v>0</v>
      </c>
      <c r="X47" s="46" t="s">
        <v>1748</v>
      </c>
      <c r="Y47" s="45">
        <v>0</v>
      </c>
      <c r="Z47" s="46">
        <v>0</v>
      </c>
      <c r="AA47" s="45">
        <v>0</v>
      </c>
      <c r="AB47" s="46">
        <v>0</v>
      </c>
      <c r="AC47" s="45">
        <v>0</v>
      </c>
      <c r="AD47" s="46">
        <v>0</v>
      </c>
      <c r="AE47" s="45">
        <v>0</v>
      </c>
      <c r="AF47" s="46">
        <v>0</v>
      </c>
      <c r="AG47" s="45">
        <v>0</v>
      </c>
      <c r="AH47" s="85" t="s">
        <v>916</v>
      </c>
      <c r="AI47" s="85" t="s">
        <v>916</v>
      </c>
    </row>
    <row r="48" spans="1:35" ht="15">
      <c r="A48" s="61" t="s">
        <v>1698</v>
      </c>
      <c r="B48" s="62" t="s">
        <v>1742</v>
      </c>
      <c r="C48" s="62" t="s">
        <v>63</v>
      </c>
      <c r="D48" s="102"/>
      <c r="E48" s="11"/>
      <c r="F48" s="12" t="s">
        <v>1698</v>
      </c>
      <c r="G48" s="60"/>
      <c r="H48" s="60"/>
      <c r="I48" s="103">
        <v>48</v>
      </c>
      <c r="J48" s="74"/>
      <c r="K48" s="45">
        <v>1</v>
      </c>
      <c r="L48" s="45">
        <v>1</v>
      </c>
      <c r="M48" s="45">
        <v>0</v>
      </c>
      <c r="N48" s="45">
        <v>1</v>
      </c>
      <c r="O48" s="45">
        <v>1</v>
      </c>
      <c r="P48" s="46" t="s">
        <v>1748</v>
      </c>
      <c r="Q48" s="46" t="s">
        <v>1748</v>
      </c>
      <c r="R48" s="45">
        <v>1</v>
      </c>
      <c r="S48" s="45">
        <v>1</v>
      </c>
      <c r="T48" s="45">
        <v>1</v>
      </c>
      <c r="U48" s="45">
        <v>1</v>
      </c>
      <c r="V48" s="45">
        <v>0</v>
      </c>
      <c r="W48" s="46">
        <v>0</v>
      </c>
      <c r="X48" s="46" t="s">
        <v>1748</v>
      </c>
      <c r="Y48" s="45">
        <v>0</v>
      </c>
      <c r="Z48" s="46">
        <v>0</v>
      </c>
      <c r="AA48" s="45">
        <v>0</v>
      </c>
      <c r="AB48" s="46">
        <v>0</v>
      </c>
      <c r="AC48" s="45">
        <v>0</v>
      </c>
      <c r="AD48" s="46">
        <v>0</v>
      </c>
      <c r="AE48" s="45">
        <v>0</v>
      </c>
      <c r="AF48" s="46">
        <v>0</v>
      </c>
      <c r="AG48" s="45">
        <v>0</v>
      </c>
      <c r="AH48" s="85" t="s">
        <v>916</v>
      </c>
      <c r="AI48" s="85" t="s">
        <v>916</v>
      </c>
    </row>
    <row r="49" spans="1:35" ht="15">
      <c r="A49" s="61" t="s">
        <v>1699</v>
      </c>
      <c r="B49" s="62" t="s">
        <v>1743</v>
      </c>
      <c r="C49" s="62" t="s">
        <v>63</v>
      </c>
      <c r="D49" s="102"/>
      <c r="E49" s="11"/>
      <c r="F49" s="12" t="s">
        <v>1699</v>
      </c>
      <c r="G49" s="60"/>
      <c r="H49" s="60"/>
      <c r="I49" s="103">
        <v>49</v>
      </c>
      <c r="J49" s="74"/>
      <c r="K49" s="45">
        <v>1</v>
      </c>
      <c r="L49" s="45">
        <v>1</v>
      </c>
      <c r="M49" s="45">
        <v>0</v>
      </c>
      <c r="N49" s="45">
        <v>1</v>
      </c>
      <c r="O49" s="45">
        <v>1</v>
      </c>
      <c r="P49" s="46" t="s">
        <v>1748</v>
      </c>
      <c r="Q49" s="46" t="s">
        <v>1748</v>
      </c>
      <c r="R49" s="45">
        <v>1</v>
      </c>
      <c r="S49" s="45">
        <v>1</v>
      </c>
      <c r="T49" s="45">
        <v>1</v>
      </c>
      <c r="U49" s="45">
        <v>1</v>
      </c>
      <c r="V49" s="45">
        <v>0</v>
      </c>
      <c r="W49" s="46">
        <v>0</v>
      </c>
      <c r="X49" s="46" t="s">
        <v>1748</v>
      </c>
      <c r="Y49" s="45">
        <v>0</v>
      </c>
      <c r="Z49" s="46">
        <v>0</v>
      </c>
      <c r="AA49" s="45">
        <v>0</v>
      </c>
      <c r="AB49" s="46">
        <v>0</v>
      </c>
      <c r="AC49" s="45">
        <v>0</v>
      </c>
      <c r="AD49" s="46">
        <v>0</v>
      </c>
      <c r="AE49" s="45">
        <v>0</v>
      </c>
      <c r="AF49" s="46">
        <v>0</v>
      </c>
      <c r="AG49" s="45">
        <v>0</v>
      </c>
      <c r="AH49" s="85" t="s">
        <v>916</v>
      </c>
      <c r="AI49" s="85" t="s">
        <v>916</v>
      </c>
    </row>
    <row r="50" spans="1:35" ht="15">
      <c r="A50" s="61" t="s">
        <v>1700</v>
      </c>
      <c r="B50" s="62" t="s">
        <v>1744</v>
      </c>
      <c r="C50" s="62" t="s">
        <v>63</v>
      </c>
      <c r="D50" s="102"/>
      <c r="E50" s="11"/>
      <c r="F50" s="12" t="s">
        <v>1700</v>
      </c>
      <c r="G50" s="60"/>
      <c r="H50" s="60"/>
      <c r="I50" s="103">
        <v>50</v>
      </c>
      <c r="J50" s="74"/>
      <c r="K50" s="45">
        <v>1</v>
      </c>
      <c r="L50" s="45">
        <v>1</v>
      </c>
      <c r="M50" s="45">
        <v>0</v>
      </c>
      <c r="N50" s="45">
        <v>1</v>
      </c>
      <c r="O50" s="45">
        <v>1</v>
      </c>
      <c r="P50" s="46" t="s">
        <v>1748</v>
      </c>
      <c r="Q50" s="46" t="s">
        <v>1748</v>
      </c>
      <c r="R50" s="45">
        <v>1</v>
      </c>
      <c r="S50" s="45">
        <v>1</v>
      </c>
      <c r="T50" s="45">
        <v>1</v>
      </c>
      <c r="U50" s="45">
        <v>1</v>
      </c>
      <c r="V50" s="45">
        <v>0</v>
      </c>
      <c r="W50" s="46">
        <v>0</v>
      </c>
      <c r="X50" s="46" t="s">
        <v>1748</v>
      </c>
      <c r="Y50" s="45">
        <v>0</v>
      </c>
      <c r="Z50" s="46">
        <v>0</v>
      </c>
      <c r="AA50" s="45">
        <v>0</v>
      </c>
      <c r="AB50" s="46">
        <v>0</v>
      </c>
      <c r="AC50" s="45">
        <v>0</v>
      </c>
      <c r="AD50" s="46">
        <v>0</v>
      </c>
      <c r="AE50" s="45">
        <v>0</v>
      </c>
      <c r="AF50" s="46">
        <v>0</v>
      </c>
      <c r="AG50" s="45">
        <v>0</v>
      </c>
      <c r="AH50" s="85" t="s">
        <v>916</v>
      </c>
      <c r="AI50" s="85" t="s">
        <v>916</v>
      </c>
    </row>
    <row r="51" spans="1:35" ht="15">
      <c r="A51" s="61" t="s">
        <v>1701</v>
      </c>
      <c r="B51" s="62" t="s">
        <v>1733</v>
      </c>
      <c r="C51" s="62" t="s">
        <v>57</v>
      </c>
      <c r="D51" s="102"/>
      <c r="E51" s="11"/>
      <c r="F51" s="12" t="s">
        <v>1701</v>
      </c>
      <c r="G51" s="60"/>
      <c r="H51" s="60"/>
      <c r="I51" s="103">
        <v>51</v>
      </c>
      <c r="J51" s="74"/>
      <c r="K51" s="45">
        <v>1</v>
      </c>
      <c r="L51" s="45">
        <v>1</v>
      </c>
      <c r="M51" s="45">
        <v>0</v>
      </c>
      <c r="N51" s="45">
        <v>1</v>
      </c>
      <c r="O51" s="45">
        <v>1</v>
      </c>
      <c r="P51" s="46" t="s">
        <v>1748</v>
      </c>
      <c r="Q51" s="46" t="s">
        <v>1748</v>
      </c>
      <c r="R51" s="45">
        <v>1</v>
      </c>
      <c r="S51" s="45">
        <v>1</v>
      </c>
      <c r="T51" s="45">
        <v>1</v>
      </c>
      <c r="U51" s="45">
        <v>1</v>
      </c>
      <c r="V51" s="45">
        <v>0</v>
      </c>
      <c r="W51" s="46">
        <v>0</v>
      </c>
      <c r="X51" s="46" t="s">
        <v>1748</v>
      </c>
      <c r="Y51" s="45">
        <v>0</v>
      </c>
      <c r="Z51" s="46">
        <v>0</v>
      </c>
      <c r="AA51" s="45">
        <v>0</v>
      </c>
      <c r="AB51" s="46">
        <v>0</v>
      </c>
      <c r="AC51" s="45">
        <v>0</v>
      </c>
      <c r="AD51" s="46">
        <v>0</v>
      </c>
      <c r="AE51" s="45">
        <v>0</v>
      </c>
      <c r="AF51" s="46">
        <v>0</v>
      </c>
      <c r="AG51" s="45">
        <v>0</v>
      </c>
      <c r="AH51" s="85" t="s">
        <v>916</v>
      </c>
      <c r="AI51" s="85" t="s">
        <v>916</v>
      </c>
    </row>
    <row r="52" spans="1:35" ht="15">
      <c r="A52" s="61" t="s">
        <v>1702</v>
      </c>
      <c r="B52" s="62" t="s">
        <v>1734</v>
      </c>
      <c r="C52" s="62" t="s">
        <v>57</v>
      </c>
      <c r="D52" s="102"/>
      <c r="E52" s="11"/>
      <c r="F52" s="12" t="s">
        <v>1702</v>
      </c>
      <c r="G52" s="60"/>
      <c r="H52" s="60"/>
      <c r="I52" s="103">
        <v>52</v>
      </c>
      <c r="J52" s="74"/>
      <c r="K52" s="45">
        <v>1</v>
      </c>
      <c r="L52" s="45">
        <v>1</v>
      </c>
      <c r="M52" s="45">
        <v>0</v>
      </c>
      <c r="N52" s="45">
        <v>1</v>
      </c>
      <c r="O52" s="45">
        <v>1</v>
      </c>
      <c r="P52" s="46" t="s">
        <v>1748</v>
      </c>
      <c r="Q52" s="46" t="s">
        <v>1748</v>
      </c>
      <c r="R52" s="45">
        <v>1</v>
      </c>
      <c r="S52" s="45">
        <v>1</v>
      </c>
      <c r="T52" s="45">
        <v>1</v>
      </c>
      <c r="U52" s="45">
        <v>1</v>
      </c>
      <c r="V52" s="45">
        <v>0</v>
      </c>
      <c r="W52" s="46">
        <v>0</v>
      </c>
      <c r="X52" s="46" t="s">
        <v>1748</v>
      </c>
      <c r="Y52" s="45">
        <v>0</v>
      </c>
      <c r="Z52" s="46">
        <v>0</v>
      </c>
      <c r="AA52" s="45">
        <v>0</v>
      </c>
      <c r="AB52" s="46">
        <v>0</v>
      </c>
      <c r="AC52" s="45">
        <v>0</v>
      </c>
      <c r="AD52" s="46">
        <v>0</v>
      </c>
      <c r="AE52" s="45">
        <v>0</v>
      </c>
      <c r="AF52" s="46">
        <v>0</v>
      </c>
      <c r="AG52" s="45">
        <v>0</v>
      </c>
      <c r="AH52" s="85" t="s">
        <v>916</v>
      </c>
      <c r="AI52" s="85" t="s">
        <v>916</v>
      </c>
    </row>
    <row r="53" spans="1:35" ht="15">
      <c r="A53" s="61" t="s">
        <v>1703</v>
      </c>
      <c r="B53" s="62" t="s">
        <v>1735</v>
      </c>
      <c r="C53" s="62" t="s">
        <v>57</v>
      </c>
      <c r="D53" s="102"/>
      <c r="E53" s="11"/>
      <c r="F53" s="12" t="s">
        <v>1703</v>
      </c>
      <c r="G53" s="60"/>
      <c r="H53" s="60"/>
      <c r="I53" s="103">
        <v>53</v>
      </c>
      <c r="J53" s="74"/>
      <c r="K53" s="45">
        <v>1</v>
      </c>
      <c r="L53" s="45">
        <v>1</v>
      </c>
      <c r="M53" s="45">
        <v>0</v>
      </c>
      <c r="N53" s="45">
        <v>1</v>
      </c>
      <c r="O53" s="45">
        <v>1</v>
      </c>
      <c r="P53" s="46" t="s">
        <v>1748</v>
      </c>
      <c r="Q53" s="46" t="s">
        <v>1748</v>
      </c>
      <c r="R53" s="45">
        <v>1</v>
      </c>
      <c r="S53" s="45">
        <v>1</v>
      </c>
      <c r="T53" s="45">
        <v>1</v>
      </c>
      <c r="U53" s="45">
        <v>1</v>
      </c>
      <c r="V53" s="45">
        <v>0</v>
      </c>
      <c r="W53" s="46">
        <v>0</v>
      </c>
      <c r="X53" s="46" t="s">
        <v>1748</v>
      </c>
      <c r="Y53" s="45">
        <v>0</v>
      </c>
      <c r="Z53" s="46">
        <v>0</v>
      </c>
      <c r="AA53" s="45">
        <v>0</v>
      </c>
      <c r="AB53" s="46">
        <v>0</v>
      </c>
      <c r="AC53" s="45">
        <v>0</v>
      </c>
      <c r="AD53" s="46">
        <v>0</v>
      </c>
      <c r="AE53" s="45">
        <v>0</v>
      </c>
      <c r="AF53" s="46">
        <v>0</v>
      </c>
      <c r="AG53" s="45">
        <v>0</v>
      </c>
      <c r="AH53" s="85" t="s">
        <v>916</v>
      </c>
      <c r="AI53" s="85" t="s">
        <v>916</v>
      </c>
    </row>
    <row r="54" spans="1:35" ht="15">
      <c r="A54" s="61" t="s">
        <v>1704</v>
      </c>
      <c r="B54" s="62" t="s">
        <v>1736</v>
      </c>
      <c r="C54" s="62" t="s">
        <v>57</v>
      </c>
      <c r="D54" s="102"/>
      <c r="E54" s="11"/>
      <c r="F54" s="12" t="s">
        <v>1704</v>
      </c>
      <c r="G54" s="60"/>
      <c r="H54" s="60"/>
      <c r="I54" s="103">
        <v>54</v>
      </c>
      <c r="J54" s="74"/>
      <c r="K54" s="45">
        <v>1</v>
      </c>
      <c r="L54" s="45">
        <v>1</v>
      </c>
      <c r="M54" s="45">
        <v>0</v>
      </c>
      <c r="N54" s="45">
        <v>1</v>
      </c>
      <c r="O54" s="45">
        <v>1</v>
      </c>
      <c r="P54" s="46" t="s">
        <v>1748</v>
      </c>
      <c r="Q54" s="46" t="s">
        <v>1748</v>
      </c>
      <c r="R54" s="45">
        <v>1</v>
      </c>
      <c r="S54" s="45">
        <v>1</v>
      </c>
      <c r="T54" s="45">
        <v>1</v>
      </c>
      <c r="U54" s="45">
        <v>1</v>
      </c>
      <c r="V54" s="45">
        <v>0</v>
      </c>
      <c r="W54" s="46">
        <v>0</v>
      </c>
      <c r="X54" s="46" t="s">
        <v>1748</v>
      </c>
      <c r="Y54" s="45">
        <v>0</v>
      </c>
      <c r="Z54" s="46">
        <v>0</v>
      </c>
      <c r="AA54" s="45">
        <v>0</v>
      </c>
      <c r="AB54" s="46">
        <v>0</v>
      </c>
      <c r="AC54" s="45">
        <v>0</v>
      </c>
      <c r="AD54" s="46">
        <v>0</v>
      </c>
      <c r="AE54" s="45">
        <v>0</v>
      </c>
      <c r="AF54" s="46">
        <v>0</v>
      </c>
      <c r="AG54" s="45">
        <v>0</v>
      </c>
      <c r="AH54" s="85" t="s">
        <v>916</v>
      </c>
      <c r="AI54" s="85" t="s">
        <v>916</v>
      </c>
    </row>
    <row r="55" spans="1:35" ht="15">
      <c r="A55" s="61" t="s">
        <v>1705</v>
      </c>
      <c r="B55" s="62" t="s">
        <v>1737</v>
      </c>
      <c r="C55" s="62" t="s">
        <v>57</v>
      </c>
      <c r="D55" s="102"/>
      <c r="E55" s="11"/>
      <c r="F55" s="12" t="s">
        <v>1705</v>
      </c>
      <c r="G55" s="60"/>
      <c r="H55" s="60"/>
      <c r="I55" s="103">
        <v>55</v>
      </c>
      <c r="J55" s="74"/>
      <c r="K55" s="45">
        <v>1</v>
      </c>
      <c r="L55" s="45">
        <v>1</v>
      </c>
      <c r="M55" s="45">
        <v>0</v>
      </c>
      <c r="N55" s="45">
        <v>1</v>
      </c>
      <c r="O55" s="45">
        <v>1</v>
      </c>
      <c r="P55" s="46" t="s">
        <v>1748</v>
      </c>
      <c r="Q55" s="46" t="s">
        <v>1748</v>
      </c>
      <c r="R55" s="45">
        <v>1</v>
      </c>
      <c r="S55" s="45">
        <v>1</v>
      </c>
      <c r="T55" s="45">
        <v>1</v>
      </c>
      <c r="U55" s="45">
        <v>1</v>
      </c>
      <c r="V55" s="45">
        <v>0</v>
      </c>
      <c r="W55" s="46">
        <v>0</v>
      </c>
      <c r="X55" s="46" t="s">
        <v>1748</v>
      </c>
      <c r="Y55" s="45">
        <v>0</v>
      </c>
      <c r="Z55" s="46">
        <v>0</v>
      </c>
      <c r="AA55" s="45">
        <v>0</v>
      </c>
      <c r="AB55" s="46">
        <v>0</v>
      </c>
      <c r="AC55" s="45">
        <v>0</v>
      </c>
      <c r="AD55" s="46">
        <v>0</v>
      </c>
      <c r="AE55" s="45">
        <v>0</v>
      </c>
      <c r="AF55" s="46">
        <v>0</v>
      </c>
      <c r="AG55" s="45">
        <v>0</v>
      </c>
      <c r="AH55" s="85" t="s">
        <v>916</v>
      </c>
      <c r="AI55" s="85" t="s">
        <v>916</v>
      </c>
    </row>
    <row r="56" spans="1:35" ht="15">
      <c r="A56" s="61" t="s">
        <v>1706</v>
      </c>
      <c r="B56" s="62" t="s">
        <v>1738</v>
      </c>
      <c r="C56" s="62" t="s">
        <v>57</v>
      </c>
      <c r="D56" s="102"/>
      <c r="E56" s="11"/>
      <c r="F56" s="12" t="s">
        <v>1706</v>
      </c>
      <c r="G56" s="60"/>
      <c r="H56" s="60"/>
      <c r="I56" s="103">
        <v>56</v>
      </c>
      <c r="J56" s="74"/>
      <c r="K56" s="45">
        <v>1</v>
      </c>
      <c r="L56" s="45">
        <v>1</v>
      </c>
      <c r="M56" s="45">
        <v>0</v>
      </c>
      <c r="N56" s="45">
        <v>1</v>
      </c>
      <c r="O56" s="45">
        <v>1</v>
      </c>
      <c r="P56" s="46" t="s">
        <v>1748</v>
      </c>
      <c r="Q56" s="46" t="s">
        <v>1748</v>
      </c>
      <c r="R56" s="45">
        <v>1</v>
      </c>
      <c r="S56" s="45">
        <v>1</v>
      </c>
      <c r="T56" s="45">
        <v>1</v>
      </c>
      <c r="U56" s="45">
        <v>1</v>
      </c>
      <c r="V56" s="45">
        <v>0</v>
      </c>
      <c r="W56" s="46">
        <v>0</v>
      </c>
      <c r="X56" s="46" t="s">
        <v>1748</v>
      </c>
      <c r="Y56" s="45">
        <v>0</v>
      </c>
      <c r="Z56" s="46">
        <v>0</v>
      </c>
      <c r="AA56" s="45">
        <v>0</v>
      </c>
      <c r="AB56" s="46">
        <v>0</v>
      </c>
      <c r="AC56" s="45">
        <v>0</v>
      </c>
      <c r="AD56" s="46">
        <v>0</v>
      </c>
      <c r="AE56" s="45">
        <v>0</v>
      </c>
      <c r="AF56" s="46">
        <v>0</v>
      </c>
      <c r="AG56" s="45">
        <v>0</v>
      </c>
      <c r="AH56" s="85" t="s">
        <v>916</v>
      </c>
      <c r="AI56" s="85" t="s">
        <v>916</v>
      </c>
    </row>
    <row r="57" spans="1:35" ht="15">
      <c r="A57" s="61" t="s">
        <v>1707</v>
      </c>
      <c r="B57" s="62" t="s">
        <v>1739</v>
      </c>
      <c r="C57" s="62" t="s">
        <v>57</v>
      </c>
      <c r="D57" s="102"/>
      <c r="E57" s="11"/>
      <c r="F57" s="12" t="s">
        <v>1707</v>
      </c>
      <c r="G57" s="60"/>
      <c r="H57" s="60"/>
      <c r="I57" s="103">
        <v>57</v>
      </c>
      <c r="J57" s="74"/>
      <c r="K57" s="45">
        <v>1</v>
      </c>
      <c r="L57" s="45">
        <v>1</v>
      </c>
      <c r="M57" s="45">
        <v>0</v>
      </c>
      <c r="N57" s="45">
        <v>1</v>
      </c>
      <c r="O57" s="45">
        <v>1</v>
      </c>
      <c r="P57" s="46" t="s">
        <v>1748</v>
      </c>
      <c r="Q57" s="46" t="s">
        <v>1748</v>
      </c>
      <c r="R57" s="45">
        <v>1</v>
      </c>
      <c r="S57" s="45">
        <v>1</v>
      </c>
      <c r="T57" s="45">
        <v>1</v>
      </c>
      <c r="U57" s="45">
        <v>1</v>
      </c>
      <c r="V57" s="45">
        <v>0</v>
      </c>
      <c r="W57" s="46">
        <v>0</v>
      </c>
      <c r="X57" s="46" t="s">
        <v>1748</v>
      </c>
      <c r="Y57" s="45">
        <v>0</v>
      </c>
      <c r="Z57" s="46">
        <v>0</v>
      </c>
      <c r="AA57" s="45">
        <v>0</v>
      </c>
      <c r="AB57" s="46">
        <v>0</v>
      </c>
      <c r="AC57" s="45">
        <v>0</v>
      </c>
      <c r="AD57" s="46">
        <v>0</v>
      </c>
      <c r="AE57" s="45">
        <v>0</v>
      </c>
      <c r="AF57" s="46">
        <v>0</v>
      </c>
      <c r="AG57" s="45">
        <v>0</v>
      </c>
      <c r="AH57" s="85" t="s">
        <v>916</v>
      </c>
      <c r="AI57" s="85" t="s">
        <v>916</v>
      </c>
    </row>
    <row r="58" spans="1:35" ht="15">
      <c r="A58" s="61" t="s">
        <v>1708</v>
      </c>
      <c r="B58" s="62" t="s">
        <v>1740</v>
      </c>
      <c r="C58" s="62" t="s">
        <v>57</v>
      </c>
      <c r="D58" s="102"/>
      <c r="E58" s="11"/>
      <c r="F58" s="12" t="s">
        <v>1708</v>
      </c>
      <c r="G58" s="60"/>
      <c r="H58" s="60"/>
      <c r="I58" s="103">
        <v>58</v>
      </c>
      <c r="J58" s="74"/>
      <c r="K58" s="45">
        <v>1</v>
      </c>
      <c r="L58" s="45">
        <v>1</v>
      </c>
      <c r="M58" s="45">
        <v>0</v>
      </c>
      <c r="N58" s="45">
        <v>1</v>
      </c>
      <c r="O58" s="45">
        <v>1</v>
      </c>
      <c r="P58" s="46" t="s">
        <v>1748</v>
      </c>
      <c r="Q58" s="46" t="s">
        <v>1748</v>
      </c>
      <c r="R58" s="45">
        <v>1</v>
      </c>
      <c r="S58" s="45">
        <v>1</v>
      </c>
      <c r="T58" s="45">
        <v>1</v>
      </c>
      <c r="U58" s="45">
        <v>1</v>
      </c>
      <c r="V58" s="45">
        <v>0</v>
      </c>
      <c r="W58" s="46">
        <v>0</v>
      </c>
      <c r="X58" s="46" t="s">
        <v>1748</v>
      </c>
      <c r="Y58" s="45">
        <v>0</v>
      </c>
      <c r="Z58" s="46">
        <v>0</v>
      </c>
      <c r="AA58" s="45">
        <v>0</v>
      </c>
      <c r="AB58" s="46">
        <v>0</v>
      </c>
      <c r="AC58" s="45">
        <v>0</v>
      </c>
      <c r="AD58" s="46">
        <v>0</v>
      </c>
      <c r="AE58" s="45">
        <v>0</v>
      </c>
      <c r="AF58" s="46">
        <v>0</v>
      </c>
      <c r="AG58" s="45">
        <v>0</v>
      </c>
      <c r="AH58" s="85" t="s">
        <v>916</v>
      </c>
      <c r="AI58" s="85" t="s">
        <v>916</v>
      </c>
    </row>
    <row r="59" spans="1:35" ht="15">
      <c r="A59" s="61" t="s">
        <v>1709</v>
      </c>
      <c r="B59" s="62" t="s">
        <v>1741</v>
      </c>
      <c r="C59" s="62" t="s">
        <v>57</v>
      </c>
      <c r="D59" s="102"/>
      <c r="E59" s="11"/>
      <c r="F59" s="12" t="s">
        <v>1709</v>
      </c>
      <c r="G59" s="60"/>
      <c r="H59" s="60"/>
      <c r="I59" s="103">
        <v>59</v>
      </c>
      <c r="J59" s="74"/>
      <c r="K59" s="45">
        <v>1</v>
      </c>
      <c r="L59" s="45">
        <v>1</v>
      </c>
      <c r="M59" s="45">
        <v>0</v>
      </c>
      <c r="N59" s="45">
        <v>1</v>
      </c>
      <c r="O59" s="45">
        <v>1</v>
      </c>
      <c r="P59" s="46" t="s">
        <v>1748</v>
      </c>
      <c r="Q59" s="46" t="s">
        <v>1748</v>
      </c>
      <c r="R59" s="45">
        <v>1</v>
      </c>
      <c r="S59" s="45">
        <v>1</v>
      </c>
      <c r="T59" s="45">
        <v>1</v>
      </c>
      <c r="U59" s="45">
        <v>1</v>
      </c>
      <c r="V59" s="45">
        <v>0</v>
      </c>
      <c r="W59" s="46">
        <v>0</v>
      </c>
      <c r="X59" s="46" t="s">
        <v>1748</v>
      </c>
      <c r="Y59" s="45">
        <v>0</v>
      </c>
      <c r="Z59" s="46">
        <v>0</v>
      </c>
      <c r="AA59" s="45">
        <v>0</v>
      </c>
      <c r="AB59" s="46">
        <v>0</v>
      </c>
      <c r="AC59" s="45">
        <v>0</v>
      </c>
      <c r="AD59" s="46">
        <v>0</v>
      </c>
      <c r="AE59" s="45">
        <v>0</v>
      </c>
      <c r="AF59" s="46">
        <v>0</v>
      </c>
      <c r="AG59" s="45">
        <v>0</v>
      </c>
      <c r="AH59" s="85" t="s">
        <v>916</v>
      </c>
      <c r="AI59" s="85" t="s">
        <v>916</v>
      </c>
    </row>
    <row r="60" spans="1:35" ht="15">
      <c r="A60" s="61" t="s">
        <v>1710</v>
      </c>
      <c r="B60" s="62" t="s">
        <v>1742</v>
      </c>
      <c r="C60" s="62" t="s">
        <v>57</v>
      </c>
      <c r="D60" s="102"/>
      <c r="E60" s="11"/>
      <c r="F60" s="12" t="s">
        <v>1710</v>
      </c>
      <c r="G60" s="60"/>
      <c r="H60" s="60"/>
      <c r="I60" s="103">
        <v>60</v>
      </c>
      <c r="J60" s="74"/>
      <c r="K60" s="45">
        <v>1</v>
      </c>
      <c r="L60" s="45">
        <v>1</v>
      </c>
      <c r="M60" s="45">
        <v>0</v>
      </c>
      <c r="N60" s="45">
        <v>1</v>
      </c>
      <c r="O60" s="45">
        <v>1</v>
      </c>
      <c r="P60" s="46" t="s">
        <v>1748</v>
      </c>
      <c r="Q60" s="46" t="s">
        <v>1748</v>
      </c>
      <c r="R60" s="45">
        <v>1</v>
      </c>
      <c r="S60" s="45">
        <v>1</v>
      </c>
      <c r="T60" s="45">
        <v>1</v>
      </c>
      <c r="U60" s="45">
        <v>1</v>
      </c>
      <c r="V60" s="45">
        <v>0</v>
      </c>
      <c r="W60" s="46">
        <v>0</v>
      </c>
      <c r="X60" s="46" t="s">
        <v>1748</v>
      </c>
      <c r="Y60" s="45">
        <v>0</v>
      </c>
      <c r="Z60" s="46">
        <v>0</v>
      </c>
      <c r="AA60" s="45">
        <v>0</v>
      </c>
      <c r="AB60" s="46">
        <v>0</v>
      </c>
      <c r="AC60" s="45">
        <v>0</v>
      </c>
      <c r="AD60" s="46">
        <v>0</v>
      </c>
      <c r="AE60" s="45">
        <v>0</v>
      </c>
      <c r="AF60" s="46">
        <v>0</v>
      </c>
      <c r="AG60" s="45">
        <v>0</v>
      </c>
      <c r="AH60" s="85" t="s">
        <v>916</v>
      </c>
      <c r="AI60" s="85" t="s">
        <v>916</v>
      </c>
    </row>
    <row r="61" spans="1:35" ht="15">
      <c r="A61" s="61" t="s">
        <v>1711</v>
      </c>
      <c r="B61" s="62" t="s">
        <v>1743</v>
      </c>
      <c r="C61" s="62" t="s">
        <v>57</v>
      </c>
      <c r="D61" s="102"/>
      <c r="E61" s="11"/>
      <c r="F61" s="12" t="s">
        <v>1711</v>
      </c>
      <c r="G61" s="60"/>
      <c r="H61" s="60"/>
      <c r="I61" s="103">
        <v>61</v>
      </c>
      <c r="J61" s="74"/>
      <c r="K61" s="45">
        <v>1</v>
      </c>
      <c r="L61" s="45">
        <v>1</v>
      </c>
      <c r="M61" s="45">
        <v>0</v>
      </c>
      <c r="N61" s="45">
        <v>1</v>
      </c>
      <c r="O61" s="45">
        <v>1</v>
      </c>
      <c r="P61" s="46" t="s">
        <v>1748</v>
      </c>
      <c r="Q61" s="46" t="s">
        <v>1748</v>
      </c>
      <c r="R61" s="45">
        <v>1</v>
      </c>
      <c r="S61" s="45">
        <v>1</v>
      </c>
      <c r="T61" s="45">
        <v>1</v>
      </c>
      <c r="U61" s="45">
        <v>1</v>
      </c>
      <c r="V61" s="45">
        <v>0</v>
      </c>
      <c r="W61" s="46">
        <v>0</v>
      </c>
      <c r="X61" s="46" t="s">
        <v>1748</v>
      </c>
      <c r="Y61" s="45">
        <v>0</v>
      </c>
      <c r="Z61" s="46">
        <v>0</v>
      </c>
      <c r="AA61" s="45">
        <v>0</v>
      </c>
      <c r="AB61" s="46">
        <v>0</v>
      </c>
      <c r="AC61" s="45">
        <v>0</v>
      </c>
      <c r="AD61" s="46">
        <v>0</v>
      </c>
      <c r="AE61" s="45">
        <v>0</v>
      </c>
      <c r="AF61" s="46">
        <v>0</v>
      </c>
      <c r="AG61" s="45">
        <v>0</v>
      </c>
      <c r="AH61" s="85" t="s">
        <v>916</v>
      </c>
      <c r="AI61" s="85" t="s">
        <v>916</v>
      </c>
    </row>
    <row r="62" spans="1:35" ht="15">
      <c r="A62" s="61" t="s">
        <v>1712</v>
      </c>
      <c r="B62" s="62" t="s">
        <v>1744</v>
      </c>
      <c r="C62" s="62" t="s">
        <v>57</v>
      </c>
      <c r="D62" s="102"/>
      <c r="E62" s="11"/>
      <c r="F62" s="12" t="s">
        <v>1712</v>
      </c>
      <c r="G62" s="60"/>
      <c r="H62" s="60"/>
      <c r="I62" s="103">
        <v>62</v>
      </c>
      <c r="J62" s="74"/>
      <c r="K62" s="45">
        <v>1</v>
      </c>
      <c r="L62" s="45">
        <v>1</v>
      </c>
      <c r="M62" s="45">
        <v>0</v>
      </c>
      <c r="N62" s="45">
        <v>1</v>
      </c>
      <c r="O62" s="45">
        <v>1</v>
      </c>
      <c r="P62" s="46" t="s">
        <v>1748</v>
      </c>
      <c r="Q62" s="46" t="s">
        <v>1748</v>
      </c>
      <c r="R62" s="45">
        <v>1</v>
      </c>
      <c r="S62" s="45">
        <v>1</v>
      </c>
      <c r="T62" s="45">
        <v>1</v>
      </c>
      <c r="U62" s="45">
        <v>1</v>
      </c>
      <c r="V62" s="45">
        <v>0</v>
      </c>
      <c r="W62" s="46">
        <v>0</v>
      </c>
      <c r="X62" s="46" t="s">
        <v>1748</v>
      </c>
      <c r="Y62" s="45">
        <v>0</v>
      </c>
      <c r="Z62" s="46">
        <v>0</v>
      </c>
      <c r="AA62" s="45">
        <v>0</v>
      </c>
      <c r="AB62" s="46">
        <v>0</v>
      </c>
      <c r="AC62" s="45">
        <v>0</v>
      </c>
      <c r="AD62" s="46">
        <v>0</v>
      </c>
      <c r="AE62" s="45">
        <v>0</v>
      </c>
      <c r="AF62" s="46">
        <v>0</v>
      </c>
      <c r="AG62" s="45">
        <v>0</v>
      </c>
      <c r="AH62" s="85" t="s">
        <v>916</v>
      </c>
      <c r="AI62" s="85" t="s">
        <v>916</v>
      </c>
    </row>
    <row r="63" spans="1:35" ht="15">
      <c r="A63" s="61" t="s">
        <v>1713</v>
      </c>
      <c r="B63" s="62" t="s">
        <v>1733</v>
      </c>
      <c r="C63" s="62" t="s">
        <v>55</v>
      </c>
      <c r="D63" s="102"/>
      <c r="E63" s="11"/>
      <c r="F63" s="12" t="s">
        <v>1713</v>
      </c>
      <c r="G63" s="60"/>
      <c r="H63" s="60"/>
      <c r="I63" s="103">
        <v>63</v>
      </c>
      <c r="J63" s="74"/>
      <c r="K63" s="45">
        <v>1</v>
      </c>
      <c r="L63" s="45">
        <v>1</v>
      </c>
      <c r="M63" s="45">
        <v>0</v>
      </c>
      <c r="N63" s="45">
        <v>1</v>
      </c>
      <c r="O63" s="45">
        <v>1</v>
      </c>
      <c r="P63" s="46" t="s">
        <v>1748</v>
      </c>
      <c r="Q63" s="46" t="s">
        <v>1748</v>
      </c>
      <c r="R63" s="45">
        <v>1</v>
      </c>
      <c r="S63" s="45">
        <v>1</v>
      </c>
      <c r="T63" s="45">
        <v>1</v>
      </c>
      <c r="U63" s="45">
        <v>1</v>
      </c>
      <c r="V63" s="45">
        <v>0</v>
      </c>
      <c r="W63" s="46">
        <v>0</v>
      </c>
      <c r="X63" s="46" t="s">
        <v>1748</v>
      </c>
      <c r="Y63" s="45">
        <v>0</v>
      </c>
      <c r="Z63" s="46">
        <v>0</v>
      </c>
      <c r="AA63" s="45">
        <v>0</v>
      </c>
      <c r="AB63" s="46">
        <v>0</v>
      </c>
      <c r="AC63" s="45">
        <v>0</v>
      </c>
      <c r="AD63" s="46">
        <v>0</v>
      </c>
      <c r="AE63" s="45">
        <v>0</v>
      </c>
      <c r="AF63" s="46">
        <v>0</v>
      </c>
      <c r="AG63" s="45">
        <v>0</v>
      </c>
      <c r="AH63" s="85" t="s">
        <v>916</v>
      </c>
      <c r="AI63" s="85" t="s">
        <v>916</v>
      </c>
    </row>
    <row r="64" spans="1:35" ht="15">
      <c r="A64" s="61" t="s">
        <v>1714</v>
      </c>
      <c r="B64" s="62" t="s">
        <v>1734</v>
      </c>
      <c r="C64" s="62" t="s">
        <v>55</v>
      </c>
      <c r="D64" s="102"/>
      <c r="E64" s="11"/>
      <c r="F64" s="12" t="s">
        <v>1714</v>
      </c>
      <c r="G64" s="60"/>
      <c r="H64" s="60"/>
      <c r="I64" s="103">
        <v>64</v>
      </c>
      <c r="J64" s="74"/>
      <c r="K64" s="45">
        <v>1</v>
      </c>
      <c r="L64" s="45">
        <v>1</v>
      </c>
      <c r="M64" s="45">
        <v>0</v>
      </c>
      <c r="N64" s="45">
        <v>1</v>
      </c>
      <c r="O64" s="45">
        <v>1</v>
      </c>
      <c r="P64" s="46" t="s">
        <v>1748</v>
      </c>
      <c r="Q64" s="46" t="s">
        <v>1748</v>
      </c>
      <c r="R64" s="45">
        <v>1</v>
      </c>
      <c r="S64" s="45">
        <v>1</v>
      </c>
      <c r="T64" s="45">
        <v>1</v>
      </c>
      <c r="U64" s="45">
        <v>1</v>
      </c>
      <c r="V64" s="45">
        <v>0</v>
      </c>
      <c r="W64" s="46">
        <v>0</v>
      </c>
      <c r="X64" s="46" t="s">
        <v>1748</v>
      </c>
      <c r="Y64" s="45">
        <v>0</v>
      </c>
      <c r="Z64" s="46">
        <v>0</v>
      </c>
      <c r="AA64" s="45">
        <v>0</v>
      </c>
      <c r="AB64" s="46">
        <v>0</v>
      </c>
      <c r="AC64" s="45">
        <v>0</v>
      </c>
      <c r="AD64" s="46">
        <v>0</v>
      </c>
      <c r="AE64" s="45">
        <v>0</v>
      </c>
      <c r="AF64" s="46">
        <v>0</v>
      </c>
      <c r="AG64" s="45">
        <v>0</v>
      </c>
      <c r="AH64" s="85" t="s">
        <v>916</v>
      </c>
      <c r="AI64" s="85" t="s">
        <v>916</v>
      </c>
    </row>
    <row r="65" spans="1:35" ht="15">
      <c r="A65" s="61" t="s">
        <v>1715</v>
      </c>
      <c r="B65" s="62" t="s">
        <v>1735</v>
      </c>
      <c r="C65" s="62" t="s">
        <v>55</v>
      </c>
      <c r="D65" s="102"/>
      <c r="E65" s="11"/>
      <c r="F65" s="12" t="s">
        <v>1715</v>
      </c>
      <c r="G65" s="60"/>
      <c r="H65" s="60"/>
      <c r="I65" s="103">
        <v>65</v>
      </c>
      <c r="J65" s="74"/>
      <c r="K65" s="45">
        <v>1</v>
      </c>
      <c r="L65" s="45">
        <v>1</v>
      </c>
      <c r="M65" s="45">
        <v>0</v>
      </c>
      <c r="N65" s="45">
        <v>1</v>
      </c>
      <c r="O65" s="45">
        <v>1</v>
      </c>
      <c r="P65" s="46" t="s">
        <v>1748</v>
      </c>
      <c r="Q65" s="46" t="s">
        <v>1748</v>
      </c>
      <c r="R65" s="45">
        <v>1</v>
      </c>
      <c r="S65" s="45">
        <v>1</v>
      </c>
      <c r="T65" s="45">
        <v>1</v>
      </c>
      <c r="U65" s="45">
        <v>1</v>
      </c>
      <c r="V65" s="45">
        <v>0</v>
      </c>
      <c r="W65" s="46">
        <v>0</v>
      </c>
      <c r="X65" s="46" t="s">
        <v>1748</v>
      </c>
      <c r="Y65" s="45">
        <v>0</v>
      </c>
      <c r="Z65" s="46">
        <v>0</v>
      </c>
      <c r="AA65" s="45">
        <v>0</v>
      </c>
      <c r="AB65" s="46">
        <v>0</v>
      </c>
      <c r="AC65" s="45">
        <v>0</v>
      </c>
      <c r="AD65" s="46">
        <v>0</v>
      </c>
      <c r="AE65" s="45">
        <v>0</v>
      </c>
      <c r="AF65" s="46">
        <v>0</v>
      </c>
      <c r="AG65" s="45">
        <v>0</v>
      </c>
      <c r="AH65" s="85" t="s">
        <v>916</v>
      </c>
      <c r="AI65" s="85" t="s">
        <v>916</v>
      </c>
    </row>
    <row r="66" spans="1:35" ht="15">
      <c r="A66" s="61" t="s">
        <v>1716</v>
      </c>
      <c r="B66" s="62" t="s">
        <v>1736</v>
      </c>
      <c r="C66" s="62" t="s">
        <v>55</v>
      </c>
      <c r="D66" s="102"/>
      <c r="E66" s="11"/>
      <c r="F66" s="12" t="s">
        <v>1716</v>
      </c>
      <c r="G66" s="60"/>
      <c r="H66" s="60"/>
      <c r="I66" s="103">
        <v>66</v>
      </c>
      <c r="J66" s="74"/>
      <c r="K66" s="45">
        <v>1</v>
      </c>
      <c r="L66" s="45">
        <v>1</v>
      </c>
      <c r="M66" s="45">
        <v>0</v>
      </c>
      <c r="N66" s="45">
        <v>1</v>
      </c>
      <c r="O66" s="45">
        <v>1</v>
      </c>
      <c r="P66" s="46" t="s">
        <v>1748</v>
      </c>
      <c r="Q66" s="46" t="s">
        <v>1748</v>
      </c>
      <c r="R66" s="45">
        <v>1</v>
      </c>
      <c r="S66" s="45">
        <v>1</v>
      </c>
      <c r="T66" s="45">
        <v>1</v>
      </c>
      <c r="U66" s="45">
        <v>1</v>
      </c>
      <c r="V66" s="45">
        <v>0</v>
      </c>
      <c r="W66" s="46">
        <v>0</v>
      </c>
      <c r="X66" s="46" t="s">
        <v>1748</v>
      </c>
      <c r="Y66" s="45">
        <v>0</v>
      </c>
      <c r="Z66" s="46">
        <v>0</v>
      </c>
      <c r="AA66" s="45">
        <v>0</v>
      </c>
      <c r="AB66" s="46">
        <v>0</v>
      </c>
      <c r="AC66" s="45">
        <v>0</v>
      </c>
      <c r="AD66" s="46">
        <v>0</v>
      </c>
      <c r="AE66" s="45">
        <v>0</v>
      </c>
      <c r="AF66" s="46">
        <v>0</v>
      </c>
      <c r="AG66" s="45">
        <v>0</v>
      </c>
      <c r="AH66" s="85" t="s">
        <v>916</v>
      </c>
      <c r="AI66" s="85" t="s">
        <v>916</v>
      </c>
    </row>
    <row r="67" spans="1:35" ht="15">
      <c r="A67" s="61" t="s">
        <v>1717</v>
      </c>
      <c r="B67" s="62" t="s">
        <v>1737</v>
      </c>
      <c r="C67" s="62" t="s">
        <v>55</v>
      </c>
      <c r="D67" s="102"/>
      <c r="E67" s="11"/>
      <c r="F67" s="12" t="s">
        <v>1717</v>
      </c>
      <c r="G67" s="60"/>
      <c r="H67" s="60"/>
      <c r="I67" s="103">
        <v>67</v>
      </c>
      <c r="J67" s="74"/>
      <c r="K67" s="45">
        <v>1</v>
      </c>
      <c r="L67" s="45">
        <v>1</v>
      </c>
      <c r="M67" s="45">
        <v>0</v>
      </c>
      <c r="N67" s="45">
        <v>1</v>
      </c>
      <c r="O67" s="45">
        <v>1</v>
      </c>
      <c r="P67" s="46" t="s">
        <v>1748</v>
      </c>
      <c r="Q67" s="46" t="s">
        <v>1748</v>
      </c>
      <c r="R67" s="45">
        <v>1</v>
      </c>
      <c r="S67" s="45">
        <v>1</v>
      </c>
      <c r="T67" s="45">
        <v>1</v>
      </c>
      <c r="U67" s="45">
        <v>1</v>
      </c>
      <c r="V67" s="45">
        <v>0</v>
      </c>
      <c r="W67" s="46">
        <v>0</v>
      </c>
      <c r="X67" s="46" t="s">
        <v>1748</v>
      </c>
      <c r="Y67" s="45">
        <v>0</v>
      </c>
      <c r="Z67" s="46">
        <v>0</v>
      </c>
      <c r="AA67" s="45">
        <v>0</v>
      </c>
      <c r="AB67" s="46">
        <v>0</v>
      </c>
      <c r="AC67" s="45">
        <v>0</v>
      </c>
      <c r="AD67" s="46">
        <v>0</v>
      </c>
      <c r="AE67" s="45">
        <v>0</v>
      </c>
      <c r="AF67" s="46">
        <v>0</v>
      </c>
      <c r="AG67" s="45">
        <v>0</v>
      </c>
      <c r="AH67" s="85" t="s">
        <v>916</v>
      </c>
      <c r="AI67" s="85" t="s">
        <v>916</v>
      </c>
    </row>
    <row r="68" spans="1:35" ht="15">
      <c r="A68" s="61" t="s">
        <v>1718</v>
      </c>
      <c r="B68" s="62" t="s">
        <v>1738</v>
      </c>
      <c r="C68" s="62" t="s">
        <v>55</v>
      </c>
      <c r="D68" s="102"/>
      <c r="E68" s="11"/>
      <c r="F68" s="12" t="s">
        <v>1718</v>
      </c>
      <c r="G68" s="60"/>
      <c r="H68" s="60"/>
      <c r="I68" s="103">
        <v>68</v>
      </c>
      <c r="J68" s="74"/>
      <c r="K68" s="45">
        <v>1</v>
      </c>
      <c r="L68" s="45">
        <v>1</v>
      </c>
      <c r="M68" s="45">
        <v>0</v>
      </c>
      <c r="N68" s="45">
        <v>1</v>
      </c>
      <c r="O68" s="45">
        <v>1</v>
      </c>
      <c r="P68" s="46" t="s">
        <v>1748</v>
      </c>
      <c r="Q68" s="46" t="s">
        <v>1748</v>
      </c>
      <c r="R68" s="45">
        <v>1</v>
      </c>
      <c r="S68" s="45">
        <v>1</v>
      </c>
      <c r="T68" s="45">
        <v>1</v>
      </c>
      <c r="U68" s="45">
        <v>1</v>
      </c>
      <c r="V68" s="45">
        <v>0</v>
      </c>
      <c r="W68" s="46">
        <v>0</v>
      </c>
      <c r="X68" s="46" t="s">
        <v>1748</v>
      </c>
      <c r="Y68" s="45">
        <v>0</v>
      </c>
      <c r="Z68" s="46">
        <v>0</v>
      </c>
      <c r="AA68" s="45">
        <v>0</v>
      </c>
      <c r="AB68" s="46">
        <v>0</v>
      </c>
      <c r="AC68" s="45">
        <v>0</v>
      </c>
      <c r="AD68" s="46">
        <v>0</v>
      </c>
      <c r="AE68" s="45">
        <v>0</v>
      </c>
      <c r="AF68" s="46">
        <v>0</v>
      </c>
      <c r="AG68" s="45">
        <v>0</v>
      </c>
      <c r="AH68" s="85" t="s">
        <v>916</v>
      </c>
      <c r="AI68" s="85" t="s">
        <v>916</v>
      </c>
    </row>
    <row r="69" spans="1:35" ht="15">
      <c r="A69" s="61" t="s">
        <v>1719</v>
      </c>
      <c r="B69" s="62" t="s">
        <v>1739</v>
      </c>
      <c r="C69" s="62" t="s">
        <v>55</v>
      </c>
      <c r="D69" s="102"/>
      <c r="E69" s="11"/>
      <c r="F69" s="12" t="s">
        <v>1719</v>
      </c>
      <c r="G69" s="60"/>
      <c r="H69" s="60"/>
      <c r="I69" s="103">
        <v>69</v>
      </c>
      <c r="J69" s="74"/>
      <c r="K69" s="45">
        <v>1</v>
      </c>
      <c r="L69" s="45">
        <v>1</v>
      </c>
      <c r="M69" s="45">
        <v>0</v>
      </c>
      <c r="N69" s="45">
        <v>1</v>
      </c>
      <c r="O69" s="45">
        <v>1</v>
      </c>
      <c r="P69" s="46" t="s">
        <v>1748</v>
      </c>
      <c r="Q69" s="46" t="s">
        <v>1748</v>
      </c>
      <c r="R69" s="45">
        <v>1</v>
      </c>
      <c r="S69" s="45">
        <v>1</v>
      </c>
      <c r="T69" s="45">
        <v>1</v>
      </c>
      <c r="U69" s="45">
        <v>1</v>
      </c>
      <c r="V69" s="45">
        <v>0</v>
      </c>
      <c r="W69" s="46">
        <v>0</v>
      </c>
      <c r="X69" s="46" t="s">
        <v>1748</v>
      </c>
      <c r="Y69" s="45">
        <v>0</v>
      </c>
      <c r="Z69" s="46">
        <v>0</v>
      </c>
      <c r="AA69" s="45">
        <v>0</v>
      </c>
      <c r="AB69" s="46">
        <v>0</v>
      </c>
      <c r="AC69" s="45">
        <v>0</v>
      </c>
      <c r="AD69" s="46">
        <v>0</v>
      </c>
      <c r="AE69" s="45">
        <v>0</v>
      </c>
      <c r="AF69" s="46">
        <v>0</v>
      </c>
      <c r="AG69" s="45">
        <v>0</v>
      </c>
      <c r="AH69" s="85" t="s">
        <v>916</v>
      </c>
      <c r="AI69" s="85" t="s">
        <v>916</v>
      </c>
    </row>
    <row r="70" spans="1:35" ht="15">
      <c r="A70" s="61" t="s">
        <v>1720</v>
      </c>
      <c r="B70" s="62" t="s">
        <v>1740</v>
      </c>
      <c r="C70" s="62" t="s">
        <v>55</v>
      </c>
      <c r="D70" s="102"/>
      <c r="E70" s="11"/>
      <c r="F70" s="12" t="s">
        <v>1720</v>
      </c>
      <c r="G70" s="60"/>
      <c r="H70" s="60"/>
      <c r="I70" s="103">
        <v>70</v>
      </c>
      <c r="J70" s="74"/>
      <c r="K70" s="45">
        <v>1</v>
      </c>
      <c r="L70" s="45">
        <v>1</v>
      </c>
      <c r="M70" s="45">
        <v>0</v>
      </c>
      <c r="N70" s="45">
        <v>1</v>
      </c>
      <c r="O70" s="45">
        <v>1</v>
      </c>
      <c r="P70" s="46" t="s">
        <v>1748</v>
      </c>
      <c r="Q70" s="46" t="s">
        <v>1748</v>
      </c>
      <c r="R70" s="45">
        <v>1</v>
      </c>
      <c r="S70" s="45">
        <v>1</v>
      </c>
      <c r="T70" s="45">
        <v>1</v>
      </c>
      <c r="U70" s="45">
        <v>1</v>
      </c>
      <c r="V70" s="45">
        <v>0</v>
      </c>
      <c r="W70" s="46">
        <v>0</v>
      </c>
      <c r="X70" s="46" t="s">
        <v>1748</v>
      </c>
      <c r="Y70" s="45">
        <v>0</v>
      </c>
      <c r="Z70" s="46">
        <v>0</v>
      </c>
      <c r="AA70" s="45">
        <v>0</v>
      </c>
      <c r="AB70" s="46">
        <v>0</v>
      </c>
      <c r="AC70" s="45">
        <v>0</v>
      </c>
      <c r="AD70" s="46">
        <v>0</v>
      </c>
      <c r="AE70" s="45">
        <v>0</v>
      </c>
      <c r="AF70" s="46">
        <v>0</v>
      </c>
      <c r="AG70" s="45">
        <v>0</v>
      </c>
      <c r="AH70" s="85" t="s">
        <v>916</v>
      </c>
      <c r="AI70" s="85" t="s">
        <v>916</v>
      </c>
    </row>
    <row r="71" spans="1:35" ht="15">
      <c r="A71" s="61" t="s">
        <v>1721</v>
      </c>
      <c r="B71" s="62" t="s">
        <v>1741</v>
      </c>
      <c r="C71" s="62" t="s">
        <v>55</v>
      </c>
      <c r="D71" s="102"/>
      <c r="E71" s="11"/>
      <c r="F71" s="12" t="s">
        <v>1721</v>
      </c>
      <c r="G71" s="60"/>
      <c r="H71" s="60"/>
      <c r="I71" s="103">
        <v>71</v>
      </c>
      <c r="J71" s="74"/>
      <c r="K71" s="45">
        <v>1</v>
      </c>
      <c r="L71" s="45">
        <v>1</v>
      </c>
      <c r="M71" s="45">
        <v>0</v>
      </c>
      <c r="N71" s="45">
        <v>1</v>
      </c>
      <c r="O71" s="45">
        <v>1</v>
      </c>
      <c r="P71" s="46" t="s">
        <v>1748</v>
      </c>
      <c r="Q71" s="46" t="s">
        <v>1748</v>
      </c>
      <c r="R71" s="45">
        <v>1</v>
      </c>
      <c r="S71" s="45">
        <v>1</v>
      </c>
      <c r="T71" s="45">
        <v>1</v>
      </c>
      <c r="U71" s="45">
        <v>1</v>
      </c>
      <c r="V71" s="45">
        <v>0</v>
      </c>
      <c r="W71" s="46">
        <v>0</v>
      </c>
      <c r="X71" s="46" t="s">
        <v>1748</v>
      </c>
      <c r="Y71" s="45">
        <v>0</v>
      </c>
      <c r="Z71" s="46">
        <v>0</v>
      </c>
      <c r="AA71" s="45">
        <v>0</v>
      </c>
      <c r="AB71" s="46">
        <v>0</v>
      </c>
      <c r="AC71" s="45">
        <v>0</v>
      </c>
      <c r="AD71" s="46">
        <v>0</v>
      </c>
      <c r="AE71" s="45">
        <v>0</v>
      </c>
      <c r="AF71" s="46">
        <v>0</v>
      </c>
      <c r="AG71" s="45">
        <v>0</v>
      </c>
      <c r="AH71" s="85" t="s">
        <v>916</v>
      </c>
      <c r="AI71" s="85" t="s">
        <v>916</v>
      </c>
    </row>
    <row r="72" spans="1:35" ht="15">
      <c r="A72" s="61" t="s">
        <v>1722</v>
      </c>
      <c r="B72" s="62" t="s">
        <v>1742</v>
      </c>
      <c r="C72" s="62" t="s">
        <v>55</v>
      </c>
      <c r="D72" s="102"/>
      <c r="E72" s="11"/>
      <c r="F72" s="12" t="s">
        <v>1722</v>
      </c>
      <c r="G72" s="60"/>
      <c r="H72" s="60"/>
      <c r="I72" s="103">
        <v>72</v>
      </c>
      <c r="J72" s="74"/>
      <c r="K72" s="45">
        <v>1</v>
      </c>
      <c r="L72" s="45">
        <v>1</v>
      </c>
      <c r="M72" s="45">
        <v>0</v>
      </c>
      <c r="N72" s="45">
        <v>1</v>
      </c>
      <c r="O72" s="45">
        <v>1</v>
      </c>
      <c r="P72" s="46" t="s">
        <v>1748</v>
      </c>
      <c r="Q72" s="46" t="s">
        <v>1748</v>
      </c>
      <c r="R72" s="45">
        <v>1</v>
      </c>
      <c r="S72" s="45">
        <v>1</v>
      </c>
      <c r="T72" s="45">
        <v>1</v>
      </c>
      <c r="U72" s="45">
        <v>1</v>
      </c>
      <c r="V72" s="45">
        <v>0</v>
      </c>
      <c r="W72" s="46">
        <v>0</v>
      </c>
      <c r="X72" s="46" t="s">
        <v>1748</v>
      </c>
      <c r="Y72" s="45">
        <v>0</v>
      </c>
      <c r="Z72" s="46">
        <v>0</v>
      </c>
      <c r="AA72" s="45">
        <v>0</v>
      </c>
      <c r="AB72" s="46">
        <v>0</v>
      </c>
      <c r="AC72" s="45">
        <v>0</v>
      </c>
      <c r="AD72" s="46">
        <v>0</v>
      </c>
      <c r="AE72" s="45">
        <v>0</v>
      </c>
      <c r="AF72" s="46">
        <v>0</v>
      </c>
      <c r="AG72" s="45">
        <v>0</v>
      </c>
      <c r="AH72" s="85" t="s">
        <v>916</v>
      </c>
      <c r="AI72" s="85" t="s">
        <v>916</v>
      </c>
    </row>
    <row r="73" spans="1:35" ht="15">
      <c r="A73" s="61" t="s">
        <v>1723</v>
      </c>
      <c r="B73" s="62" t="s">
        <v>1743</v>
      </c>
      <c r="C73" s="62" t="s">
        <v>55</v>
      </c>
      <c r="D73" s="102"/>
      <c r="E73" s="11"/>
      <c r="F73" s="12" t="s">
        <v>1723</v>
      </c>
      <c r="G73" s="60"/>
      <c r="H73" s="60"/>
      <c r="I73" s="103">
        <v>73</v>
      </c>
      <c r="J73" s="74"/>
      <c r="K73" s="45">
        <v>1</v>
      </c>
      <c r="L73" s="45">
        <v>1</v>
      </c>
      <c r="M73" s="45">
        <v>0</v>
      </c>
      <c r="N73" s="45">
        <v>1</v>
      </c>
      <c r="O73" s="45">
        <v>1</v>
      </c>
      <c r="P73" s="46" t="s">
        <v>1748</v>
      </c>
      <c r="Q73" s="46" t="s">
        <v>1748</v>
      </c>
      <c r="R73" s="45">
        <v>1</v>
      </c>
      <c r="S73" s="45">
        <v>1</v>
      </c>
      <c r="T73" s="45">
        <v>1</v>
      </c>
      <c r="U73" s="45">
        <v>1</v>
      </c>
      <c r="V73" s="45">
        <v>0</v>
      </c>
      <c r="W73" s="46">
        <v>0</v>
      </c>
      <c r="X73" s="46" t="s">
        <v>1748</v>
      </c>
      <c r="Y73" s="45">
        <v>0</v>
      </c>
      <c r="Z73" s="46">
        <v>0</v>
      </c>
      <c r="AA73" s="45">
        <v>0</v>
      </c>
      <c r="AB73" s="46">
        <v>0</v>
      </c>
      <c r="AC73" s="45">
        <v>0</v>
      </c>
      <c r="AD73" s="46">
        <v>0</v>
      </c>
      <c r="AE73" s="45">
        <v>0</v>
      </c>
      <c r="AF73" s="46">
        <v>0</v>
      </c>
      <c r="AG73" s="45">
        <v>0</v>
      </c>
      <c r="AH73" s="85" t="s">
        <v>916</v>
      </c>
      <c r="AI73" s="85" t="s">
        <v>916</v>
      </c>
    </row>
    <row r="74" spans="1:35" ht="15">
      <c r="A74" s="61" t="s">
        <v>1724</v>
      </c>
      <c r="B74" s="62" t="s">
        <v>1744</v>
      </c>
      <c r="C74" s="62" t="s">
        <v>55</v>
      </c>
      <c r="D74" s="102"/>
      <c r="E74" s="11"/>
      <c r="F74" s="12" t="s">
        <v>1724</v>
      </c>
      <c r="G74" s="60"/>
      <c r="H74" s="60"/>
      <c r="I74" s="103">
        <v>74</v>
      </c>
      <c r="J74" s="74"/>
      <c r="K74" s="45">
        <v>1</v>
      </c>
      <c r="L74" s="45">
        <v>1</v>
      </c>
      <c r="M74" s="45">
        <v>0</v>
      </c>
      <c r="N74" s="45">
        <v>1</v>
      </c>
      <c r="O74" s="45">
        <v>1</v>
      </c>
      <c r="P74" s="46" t="s">
        <v>1748</v>
      </c>
      <c r="Q74" s="46" t="s">
        <v>1748</v>
      </c>
      <c r="R74" s="45">
        <v>1</v>
      </c>
      <c r="S74" s="45">
        <v>1</v>
      </c>
      <c r="T74" s="45">
        <v>1</v>
      </c>
      <c r="U74" s="45">
        <v>1</v>
      </c>
      <c r="V74" s="45">
        <v>0</v>
      </c>
      <c r="W74" s="46">
        <v>0</v>
      </c>
      <c r="X74" s="46" t="s">
        <v>1748</v>
      </c>
      <c r="Y74" s="45">
        <v>0</v>
      </c>
      <c r="Z74" s="46">
        <v>0</v>
      </c>
      <c r="AA74" s="45">
        <v>0</v>
      </c>
      <c r="AB74" s="46">
        <v>0</v>
      </c>
      <c r="AC74" s="45">
        <v>0</v>
      </c>
      <c r="AD74" s="46">
        <v>0</v>
      </c>
      <c r="AE74" s="45">
        <v>0</v>
      </c>
      <c r="AF74" s="46">
        <v>0</v>
      </c>
      <c r="AG74" s="45">
        <v>0</v>
      </c>
      <c r="AH74" s="85" t="s">
        <v>916</v>
      </c>
      <c r="AI74" s="85" t="s">
        <v>916</v>
      </c>
    </row>
    <row r="75" spans="1:35" ht="15">
      <c r="A75" s="61" t="s">
        <v>1725</v>
      </c>
      <c r="B75" s="62" t="s">
        <v>1733</v>
      </c>
      <c r="C75" s="62" t="s">
        <v>58</v>
      </c>
      <c r="D75" s="102"/>
      <c r="E75" s="11"/>
      <c r="F75" s="12" t="s">
        <v>1725</v>
      </c>
      <c r="G75" s="60"/>
      <c r="H75" s="60"/>
      <c r="I75" s="103">
        <v>75</v>
      </c>
      <c r="J75" s="74"/>
      <c r="K75" s="45">
        <v>1</v>
      </c>
      <c r="L75" s="45">
        <v>1</v>
      </c>
      <c r="M75" s="45">
        <v>0</v>
      </c>
      <c r="N75" s="45">
        <v>1</v>
      </c>
      <c r="O75" s="45">
        <v>1</v>
      </c>
      <c r="P75" s="46" t="s">
        <v>1748</v>
      </c>
      <c r="Q75" s="46" t="s">
        <v>1748</v>
      </c>
      <c r="R75" s="45">
        <v>1</v>
      </c>
      <c r="S75" s="45">
        <v>1</v>
      </c>
      <c r="T75" s="45">
        <v>1</v>
      </c>
      <c r="U75" s="45">
        <v>1</v>
      </c>
      <c r="V75" s="45">
        <v>0</v>
      </c>
      <c r="W75" s="46">
        <v>0</v>
      </c>
      <c r="X75" s="46" t="s">
        <v>1748</v>
      </c>
      <c r="Y75" s="45">
        <v>0</v>
      </c>
      <c r="Z75" s="46">
        <v>0</v>
      </c>
      <c r="AA75" s="45">
        <v>0</v>
      </c>
      <c r="AB75" s="46">
        <v>0</v>
      </c>
      <c r="AC75" s="45">
        <v>0</v>
      </c>
      <c r="AD75" s="46">
        <v>0</v>
      </c>
      <c r="AE75" s="45">
        <v>0</v>
      </c>
      <c r="AF75" s="46">
        <v>0</v>
      </c>
      <c r="AG75" s="45">
        <v>0</v>
      </c>
      <c r="AH75" s="85" t="s">
        <v>916</v>
      </c>
      <c r="AI75" s="85" t="s">
        <v>916</v>
      </c>
    </row>
    <row r="76" spans="1:35" ht="15">
      <c r="A76" s="61" t="s">
        <v>1726</v>
      </c>
      <c r="B76" s="62" t="s">
        <v>1734</v>
      </c>
      <c r="C76" s="62" t="s">
        <v>58</v>
      </c>
      <c r="D76" s="102"/>
      <c r="E76" s="11"/>
      <c r="F76" s="12" t="s">
        <v>1726</v>
      </c>
      <c r="G76" s="60"/>
      <c r="H76" s="60"/>
      <c r="I76" s="103">
        <v>76</v>
      </c>
      <c r="J76" s="74"/>
      <c r="K76" s="45">
        <v>1</v>
      </c>
      <c r="L76" s="45">
        <v>1</v>
      </c>
      <c r="M76" s="45">
        <v>0</v>
      </c>
      <c r="N76" s="45">
        <v>1</v>
      </c>
      <c r="O76" s="45">
        <v>1</v>
      </c>
      <c r="P76" s="46" t="s">
        <v>1748</v>
      </c>
      <c r="Q76" s="46" t="s">
        <v>1748</v>
      </c>
      <c r="R76" s="45">
        <v>1</v>
      </c>
      <c r="S76" s="45">
        <v>1</v>
      </c>
      <c r="T76" s="45">
        <v>1</v>
      </c>
      <c r="U76" s="45">
        <v>1</v>
      </c>
      <c r="V76" s="45">
        <v>0</v>
      </c>
      <c r="W76" s="46">
        <v>0</v>
      </c>
      <c r="X76" s="46" t="s">
        <v>1748</v>
      </c>
      <c r="Y76" s="45">
        <v>0</v>
      </c>
      <c r="Z76" s="46">
        <v>0</v>
      </c>
      <c r="AA76" s="45">
        <v>0</v>
      </c>
      <c r="AB76" s="46">
        <v>0</v>
      </c>
      <c r="AC76" s="45">
        <v>0</v>
      </c>
      <c r="AD76" s="46">
        <v>0</v>
      </c>
      <c r="AE76" s="45">
        <v>0</v>
      </c>
      <c r="AF76" s="46">
        <v>0</v>
      </c>
      <c r="AG76" s="45">
        <v>0</v>
      </c>
      <c r="AH76" s="85" t="s">
        <v>916</v>
      </c>
      <c r="AI76" s="85" t="s">
        <v>916</v>
      </c>
    </row>
    <row r="77" spans="1:35" ht="15">
      <c r="A77" s="61" t="s">
        <v>1727</v>
      </c>
      <c r="B77" s="62" t="s">
        <v>1735</v>
      </c>
      <c r="C77" s="62" t="s">
        <v>58</v>
      </c>
      <c r="D77" s="102"/>
      <c r="E77" s="11"/>
      <c r="F77" s="12" t="s">
        <v>1727</v>
      </c>
      <c r="G77" s="60"/>
      <c r="H77" s="60"/>
      <c r="I77" s="103">
        <v>77</v>
      </c>
      <c r="J77" s="74"/>
      <c r="K77" s="45">
        <v>1</v>
      </c>
      <c r="L77" s="45">
        <v>1</v>
      </c>
      <c r="M77" s="45">
        <v>0</v>
      </c>
      <c r="N77" s="45">
        <v>1</v>
      </c>
      <c r="O77" s="45">
        <v>1</v>
      </c>
      <c r="P77" s="46" t="s">
        <v>1748</v>
      </c>
      <c r="Q77" s="46" t="s">
        <v>1748</v>
      </c>
      <c r="R77" s="45">
        <v>1</v>
      </c>
      <c r="S77" s="45">
        <v>1</v>
      </c>
      <c r="T77" s="45">
        <v>1</v>
      </c>
      <c r="U77" s="45">
        <v>1</v>
      </c>
      <c r="V77" s="45">
        <v>0</v>
      </c>
      <c r="W77" s="46">
        <v>0</v>
      </c>
      <c r="X77" s="46" t="s">
        <v>1748</v>
      </c>
      <c r="Y77" s="45">
        <v>0</v>
      </c>
      <c r="Z77" s="46">
        <v>0</v>
      </c>
      <c r="AA77" s="45">
        <v>0</v>
      </c>
      <c r="AB77" s="46">
        <v>0</v>
      </c>
      <c r="AC77" s="45">
        <v>0</v>
      </c>
      <c r="AD77" s="46">
        <v>0</v>
      </c>
      <c r="AE77" s="45">
        <v>0</v>
      </c>
      <c r="AF77" s="46">
        <v>0</v>
      </c>
      <c r="AG77" s="45">
        <v>0</v>
      </c>
      <c r="AH77" s="85" t="s">
        <v>916</v>
      </c>
      <c r="AI77" s="85" t="s">
        <v>916</v>
      </c>
    </row>
    <row r="78" spans="1:35" ht="15">
      <c r="A78" s="61" t="s">
        <v>1728</v>
      </c>
      <c r="B78" s="62" t="s">
        <v>1736</v>
      </c>
      <c r="C78" s="62" t="s">
        <v>58</v>
      </c>
      <c r="D78" s="102"/>
      <c r="E78" s="11"/>
      <c r="F78" s="12" t="s">
        <v>1728</v>
      </c>
      <c r="G78" s="60"/>
      <c r="H78" s="60"/>
      <c r="I78" s="103">
        <v>78</v>
      </c>
      <c r="J78" s="74"/>
      <c r="K78" s="45">
        <v>1</v>
      </c>
      <c r="L78" s="45">
        <v>1</v>
      </c>
      <c r="M78" s="45">
        <v>0</v>
      </c>
      <c r="N78" s="45">
        <v>1</v>
      </c>
      <c r="O78" s="45">
        <v>1</v>
      </c>
      <c r="P78" s="46" t="s">
        <v>1748</v>
      </c>
      <c r="Q78" s="46" t="s">
        <v>1748</v>
      </c>
      <c r="R78" s="45">
        <v>1</v>
      </c>
      <c r="S78" s="45">
        <v>1</v>
      </c>
      <c r="T78" s="45">
        <v>1</v>
      </c>
      <c r="U78" s="45">
        <v>1</v>
      </c>
      <c r="V78" s="45">
        <v>0</v>
      </c>
      <c r="W78" s="46">
        <v>0</v>
      </c>
      <c r="X78" s="46" t="s">
        <v>1748</v>
      </c>
      <c r="Y78" s="45">
        <v>0</v>
      </c>
      <c r="Z78" s="46">
        <v>0</v>
      </c>
      <c r="AA78" s="45">
        <v>0</v>
      </c>
      <c r="AB78" s="46">
        <v>0</v>
      </c>
      <c r="AC78" s="45">
        <v>0</v>
      </c>
      <c r="AD78" s="46">
        <v>0</v>
      </c>
      <c r="AE78" s="45">
        <v>0</v>
      </c>
      <c r="AF78" s="46">
        <v>0</v>
      </c>
      <c r="AG78" s="45">
        <v>0</v>
      </c>
      <c r="AH78" s="85" t="s">
        <v>916</v>
      </c>
      <c r="AI78" s="85" t="s">
        <v>916</v>
      </c>
    </row>
    <row r="79" spans="1:35" ht="15">
      <c r="A79" s="61" t="s">
        <v>1729</v>
      </c>
      <c r="B79" s="62" t="s">
        <v>1737</v>
      </c>
      <c r="C79" s="62" t="s">
        <v>58</v>
      </c>
      <c r="D79" s="102"/>
      <c r="E79" s="11"/>
      <c r="F79" s="12" t="s">
        <v>1729</v>
      </c>
      <c r="G79" s="60"/>
      <c r="H79" s="60"/>
      <c r="I79" s="103">
        <v>79</v>
      </c>
      <c r="J79" s="74"/>
      <c r="K79" s="45">
        <v>1</v>
      </c>
      <c r="L79" s="45">
        <v>1</v>
      </c>
      <c r="M79" s="45">
        <v>0</v>
      </c>
      <c r="N79" s="45">
        <v>1</v>
      </c>
      <c r="O79" s="45">
        <v>1</v>
      </c>
      <c r="P79" s="46" t="s">
        <v>1748</v>
      </c>
      <c r="Q79" s="46" t="s">
        <v>1748</v>
      </c>
      <c r="R79" s="45">
        <v>1</v>
      </c>
      <c r="S79" s="45">
        <v>1</v>
      </c>
      <c r="T79" s="45">
        <v>1</v>
      </c>
      <c r="U79" s="45">
        <v>1</v>
      </c>
      <c r="V79" s="45">
        <v>0</v>
      </c>
      <c r="W79" s="46">
        <v>0</v>
      </c>
      <c r="X79" s="46" t="s">
        <v>1748</v>
      </c>
      <c r="Y79" s="45">
        <v>0</v>
      </c>
      <c r="Z79" s="46">
        <v>0</v>
      </c>
      <c r="AA79" s="45">
        <v>0</v>
      </c>
      <c r="AB79" s="46">
        <v>0</v>
      </c>
      <c r="AC79" s="45">
        <v>0</v>
      </c>
      <c r="AD79" s="46">
        <v>0</v>
      </c>
      <c r="AE79" s="45">
        <v>0</v>
      </c>
      <c r="AF79" s="46">
        <v>0</v>
      </c>
      <c r="AG79" s="45">
        <v>0</v>
      </c>
      <c r="AH79" s="85" t="s">
        <v>916</v>
      </c>
      <c r="AI79" s="85" t="s">
        <v>916</v>
      </c>
    </row>
    <row r="80" spans="1:35" ht="15">
      <c r="A80" s="61" t="s">
        <v>1730</v>
      </c>
      <c r="B80" s="62" t="s">
        <v>1738</v>
      </c>
      <c r="C80" s="62" t="s">
        <v>58</v>
      </c>
      <c r="D80" s="102"/>
      <c r="E80" s="11"/>
      <c r="F80" s="12" t="s">
        <v>1730</v>
      </c>
      <c r="G80" s="60"/>
      <c r="H80" s="60"/>
      <c r="I80" s="103">
        <v>80</v>
      </c>
      <c r="J80" s="74"/>
      <c r="K80" s="45">
        <v>1</v>
      </c>
      <c r="L80" s="45">
        <v>1</v>
      </c>
      <c r="M80" s="45">
        <v>0</v>
      </c>
      <c r="N80" s="45">
        <v>1</v>
      </c>
      <c r="O80" s="45">
        <v>1</v>
      </c>
      <c r="P80" s="46" t="s">
        <v>1748</v>
      </c>
      <c r="Q80" s="46" t="s">
        <v>1748</v>
      </c>
      <c r="R80" s="45">
        <v>1</v>
      </c>
      <c r="S80" s="45">
        <v>1</v>
      </c>
      <c r="T80" s="45">
        <v>1</v>
      </c>
      <c r="U80" s="45">
        <v>1</v>
      </c>
      <c r="V80" s="45">
        <v>0</v>
      </c>
      <c r="W80" s="46">
        <v>0</v>
      </c>
      <c r="X80" s="46" t="s">
        <v>1748</v>
      </c>
      <c r="Y80" s="45">
        <v>0</v>
      </c>
      <c r="Z80" s="46">
        <v>0</v>
      </c>
      <c r="AA80" s="45">
        <v>0</v>
      </c>
      <c r="AB80" s="46">
        <v>0</v>
      </c>
      <c r="AC80" s="45">
        <v>0</v>
      </c>
      <c r="AD80" s="46">
        <v>0</v>
      </c>
      <c r="AE80" s="45">
        <v>0</v>
      </c>
      <c r="AF80" s="46">
        <v>0</v>
      </c>
      <c r="AG80" s="45">
        <v>0</v>
      </c>
      <c r="AH80" s="85" t="s">
        <v>916</v>
      </c>
      <c r="AI80" s="85" t="s">
        <v>916</v>
      </c>
    </row>
    <row r="81" spans="1:35" ht="15">
      <c r="A81" s="61" t="s">
        <v>1731</v>
      </c>
      <c r="B81" s="62" t="s">
        <v>1739</v>
      </c>
      <c r="C81" s="62" t="s">
        <v>58</v>
      </c>
      <c r="D81" s="102"/>
      <c r="E81" s="11"/>
      <c r="F81" s="12" t="s">
        <v>1731</v>
      </c>
      <c r="G81" s="60"/>
      <c r="H81" s="60"/>
      <c r="I81" s="103">
        <v>81</v>
      </c>
      <c r="J81" s="74"/>
      <c r="K81" s="45">
        <v>1</v>
      </c>
      <c r="L81" s="45">
        <v>1</v>
      </c>
      <c r="M81" s="45">
        <v>0</v>
      </c>
      <c r="N81" s="45">
        <v>1</v>
      </c>
      <c r="O81" s="45">
        <v>1</v>
      </c>
      <c r="P81" s="46" t="s">
        <v>1748</v>
      </c>
      <c r="Q81" s="46" t="s">
        <v>1748</v>
      </c>
      <c r="R81" s="45">
        <v>1</v>
      </c>
      <c r="S81" s="45">
        <v>1</v>
      </c>
      <c r="T81" s="45">
        <v>1</v>
      </c>
      <c r="U81" s="45">
        <v>1</v>
      </c>
      <c r="V81" s="45">
        <v>0</v>
      </c>
      <c r="W81" s="46">
        <v>0</v>
      </c>
      <c r="X81" s="46" t="s">
        <v>1748</v>
      </c>
      <c r="Y81" s="45">
        <v>0</v>
      </c>
      <c r="Z81" s="46">
        <v>0</v>
      </c>
      <c r="AA81" s="45">
        <v>0</v>
      </c>
      <c r="AB81" s="46">
        <v>0</v>
      </c>
      <c r="AC81" s="45">
        <v>0</v>
      </c>
      <c r="AD81" s="46">
        <v>0</v>
      </c>
      <c r="AE81" s="45">
        <v>0</v>
      </c>
      <c r="AF81" s="46">
        <v>0</v>
      </c>
      <c r="AG81" s="45">
        <v>0</v>
      </c>
      <c r="AH81" s="85" t="s">
        <v>916</v>
      </c>
      <c r="AI81" s="85" t="s">
        <v>916</v>
      </c>
    </row>
    <row r="82" spans="1:35" ht="15">
      <c r="A82" s="61" t="s">
        <v>1732</v>
      </c>
      <c r="B82" s="62" t="s">
        <v>1740</v>
      </c>
      <c r="C82" s="62" t="s">
        <v>58</v>
      </c>
      <c r="D82" s="102"/>
      <c r="E82" s="11"/>
      <c r="F82" s="12" t="s">
        <v>1732</v>
      </c>
      <c r="G82" s="60"/>
      <c r="H82" s="60"/>
      <c r="I82" s="103">
        <v>82</v>
      </c>
      <c r="J82" s="74"/>
      <c r="K82" s="45">
        <v>1</v>
      </c>
      <c r="L82" s="45">
        <v>1</v>
      </c>
      <c r="M82" s="45">
        <v>0</v>
      </c>
      <c r="N82" s="45">
        <v>1</v>
      </c>
      <c r="O82" s="45">
        <v>1</v>
      </c>
      <c r="P82" s="46" t="s">
        <v>1748</v>
      </c>
      <c r="Q82" s="46" t="s">
        <v>1748</v>
      </c>
      <c r="R82" s="45">
        <v>1</v>
      </c>
      <c r="S82" s="45">
        <v>1</v>
      </c>
      <c r="T82" s="45">
        <v>1</v>
      </c>
      <c r="U82" s="45">
        <v>1</v>
      </c>
      <c r="V82" s="45">
        <v>0</v>
      </c>
      <c r="W82" s="46">
        <v>0</v>
      </c>
      <c r="X82" s="46" t="s">
        <v>1748</v>
      </c>
      <c r="Y82" s="45">
        <v>0</v>
      </c>
      <c r="Z82" s="46">
        <v>0</v>
      </c>
      <c r="AA82" s="45">
        <v>0</v>
      </c>
      <c r="AB82" s="46">
        <v>0</v>
      </c>
      <c r="AC82" s="45">
        <v>0</v>
      </c>
      <c r="AD82" s="46">
        <v>0</v>
      </c>
      <c r="AE82" s="45">
        <v>0</v>
      </c>
      <c r="AF82" s="46">
        <v>0</v>
      </c>
      <c r="AG82" s="45">
        <v>0</v>
      </c>
      <c r="AH82" s="85" t="s">
        <v>916</v>
      </c>
      <c r="AI82" s="85" t="s">
        <v>916</v>
      </c>
    </row>
  </sheetData>
  <dataValidations count="8">
    <dataValidation allowBlank="1" showInputMessage="1" promptTitle="Group Vertex Color" prompt="To select a color to use for all vertices in the group, right-click and select Select Color on the right-click menu." sqref="B3:B8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2">
      <formula1>ValidGroupShapes</formula1>
    </dataValidation>
    <dataValidation allowBlank="1" showInputMessage="1" showErrorMessage="1" promptTitle="Group Name" prompt="Enter the name of the group." sqref="A3:A8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2">
      <formula1>ValidBooleansDefaultFalse</formula1>
    </dataValidation>
    <dataValidation allowBlank="1" sqref="K3:K82"/>
    <dataValidation allowBlank="1" showInputMessage="1" showErrorMessage="1" promptTitle="Group Label" prompt="Enter an optional group label." errorTitle="Invalid Group Collapsed" error="You have entered an unrecognized &quot;group collapsed.&quot;  Try selecting from the drop-down list instead." sqref="F3:F8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01"/>
  <sheetViews>
    <sheetView workbookViewId="0" topLeftCell="A1">
      <selection activeCell="A2" sqref="A2"/>
    </sheetView>
  </sheetViews>
  <sheetFormatPr defaultColWidth="8.8515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76" t="s">
        <v>1653</v>
      </c>
      <c r="B2" s="85" t="s">
        <v>287</v>
      </c>
      <c r="C2" s="76">
        <f>VLOOKUP(GroupVertices[[#This Row],[Vertex]],Vertices[],MATCH("ID",Vertices[[#Headers],[Vertex]:[Top Word Pairs in Content by Salience]],0),FALSE)</f>
        <v>64</v>
      </c>
    </row>
    <row r="3" spans="1:3" ht="15">
      <c r="A3" s="77" t="s">
        <v>1653</v>
      </c>
      <c r="B3" s="85" t="s">
        <v>286</v>
      </c>
      <c r="C3" s="76">
        <f>VLOOKUP(GroupVertices[[#This Row],[Vertex]],Vertices[],MATCH("ID",Vertices[[#Headers],[Vertex]:[Top Word Pairs in Content by Salience]],0),FALSE)</f>
        <v>13</v>
      </c>
    </row>
    <row r="4" spans="1:3" ht="15">
      <c r="A4" s="77" t="s">
        <v>1653</v>
      </c>
      <c r="B4" s="85" t="s">
        <v>268</v>
      </c>
      <c r="C4" s="76">
        <f>VLOOKUP(GroupVertices[[#This Row],[Vertex]],Vertices[],MATCH("ID",Vertices[[#Headers],[Vertex]:[Top Word Pairs in Content by Salience]],0),FALSE)</f>
        <v>36</v>
      </c>
    </row>
    <row r="5" spans="1:3" ht="15">
      <c r="A5" s="77" t="s">
        <v>1653</v>
      </c>
      <c r="B5" s="85" t="s">
        <v>266</v>
      </c>
      <c r="C5" s="76">
        <f>VLOOKUP(GroupVertices[[#This Row],[Vertex]],Vertices[],MATCH("ID",Vertices[[#Headers],[Vertex]:[Top Word Pairs in Content by Salience]],0),FALSE)</f>
        <v>31</v>
      </c>
    </row>
    <row r="6" spans="1:3" ht="15">
      <c r="A6" s="77" t="s">
        <v>1653</v>
      </c>
      <c r="B6" s="85" t="s">
        <v>265</v>
      </c>
      <c r="C6" s="76">
        <f>VLOOKUP(GroupVertices[[#This Row],[Vertex]],Vertices[],MATCH("ID",Vertices[[#Headers],[Vertex]:[Top Word Pairs in Content by Salience]],0),FALSE)</f>
        <v>30</v>
      </c>
    </row>
    <row r="7" spans="1:3" ht="15">
      <c r="A7" s="77" t="s">
        <v>1653</v>
      </c>
      <c r="B7" s="85" t="s">
        <v>264</v>
      </c>
      <c r="C7" s="76">
        <f>VLOOKUP(GroupVertices[[#This Row],[Vertex]],Vertices[],MATCH("ID",Vertices[[#Headers],[Vertex]:[Top Word Pairs in Content by Salience]],0),FALSE)</f>
        <v>29</v>
      </c>
    </row>
    <row r="8" spans="1:3" ht="15">
      <c r="A8" s="77" t="s">
        <v>1653</v>
      </c>
      <c r="B8" s="85" t="s">
        <v>263</v>
      </c>
      <c r="C8" s="76">
        <f>VLOOKUP(GroupVertices[[#This Row],[Vertex]],Vertices[],MATCH("ID",Vertices[[#Headers],[Vertex]:[Top Word Pairs in Content by Salience]],0),FALSE)</f>
        <v>28</v>
      </c>
    </row>
    <row r="9" spans="1:3" ht="15">
      <c r="A9" s="77" t="s">
        <v>1653</v>
      </c>
      <c r="B9" s="85" t="s">
        <v>262</v>
      </c>
      <c r="C9" s="76">
        <f>VLOOKUP(GroupVertices[[#This Row],[Vertex]],Vertices[],MATCH("ID",Vertices[[#Headers],[Vertex]:[Top Word Pairs in Content by Salience]],0),FALSE)</f>
        <v>27</v>
      </c>
    </row>
    <row r="10" spans="1:3" ht="15">
      <c r="A10" s="77" t="s">
        <v>1653</v>
      </c>
      <c r="B10" s="85" t="s">
        <v>260</v>
      </c>
      <c r="C10" s="76">
        <f>VLOOKUP(GroupVertices[[#This Row],[Vertex]],Vertices[],MATCH("ID",Vertices[[#Headers],[Vertex]:[Top Word Pairs in Content by Salience]],0),FALSE)</f>
        <v>25</v>
      </c>
    </row>
    <row r="11" spans="1:3" ht="15">
      <c r="A11" s="77" t="s">
        <v>1653</v>
      </c>
      <c r="B11" s="85" t="s">
        <v>259</v>
      </c>
      <c r="C11" s="76">
        <f>VLOOKUP(GroupVertices[[#This Row],[Vertex]],Vertices[],MATCH("ID",Vertices[[#Headers],[Vertex]:[Top Word Pairs in Content by Salience]],0),FALSE)</f>
        <v>24</v>
      </c>
    </row>
    <row r="12" spans="1:3" ht="15">
      <c r="A12" s="77" t="s">
        <v>1653</v>
      </c>
      <c r="B12" s="85" t="s">
        <v>258</v>
      </c>
      <c r="C12" s="76">
        <f>VLOOKUP(GroupVertices[[#This Row],[Vertex]],Vertices[],MATCH("ID",Vertices[[#Headers],[Vertex]:[Top Word Pairs in Content by Salience]],0),FALSE)</f>
        <v>23</v>
      </c>
    </row>
    <row r="13" spans="1:3" ht="15">
      <c r="A13" s="77" t="s">
        <v>1653</v>
      </c>
      <c r="B13" s="85" t="s">
        <v>257</v>
      </c>
      <c r="C13" s="76">
        <f>VLOOKUP(GroupVertices[[#This Row],[Vertex]],Vertices[],MATCH("ID",Vertices[[#Headers],[Vertex]:[Top Word Pairs in Content by Salience]],0),FALSE)</f>
        <v>22</v>
      </c>
    </row>
    <row r="14" spans="1:3" ht="15">
      <c r="A14" s="77" t="s">
        <v>1653</v>
      </c>
      <c r="B14" s="85" t="s">
        <v>256</v>
      </c>
      <c r="C14" s="76">
        <f>VLOOKUP(GroupVertices[[#This Row],[Vertex]],Vertices[],MATCH("ID",Vertices[[#Headers],[Vertex]:[Top Word Pairs in Content by Salience]],0),FALSE)</f>
        <v>21</v>
      </c>
    </row>
    <row r="15" spans="1:3" ht="15">
      <c r="A15" s="77" t="s">
        <v>1653</v>
      </c>
      <c r="B15" s="85" t="s">
        <v>255</v>
      </c>
      <c r="C15" s="76">
        <f>VLOOKUP(GroupVertices[[#This Row],[Vertex]],Vertices[],MATCH("ID",Vertices[[#Headers],[Vertex]:[Top Word Pairs in Content by Salience]],0),FALSE)</f>
        <v>20</v>
      </c>
    </row>
    <row r="16" spans="1:3" ht="15">
      <c r="A16" s="77" t="s">
        <v>1653</v>
      </c>
      <c r="B16" s="85" t="s">
        <v>253</v>
      </c>
      <c r="C16" s="76">
        <f>VLOOKUP(GroupVertices[[#This Row],[Vertex]],Vertices[],MATCH("ID",Vertices[[#Headers],[Vertex]:[Top Word Pairs in Content by Salience]],0),FALSE)</f>
        <v>17</v>
      </c>
    </row>
    <row r="17" spans="1:3" ht="15">
      <c r="A17" s="77" t="s">
        <v>1653</v>
      </c>
      <c r="B17" s="85" t="s">
        <v>252</v>
      </c>
      <c r="C17" s="76">
        <f>VLOOKUP(GroupVertices[[#This Row],[Vertex]],Vertices[],MATCH("ID",Vertices[[#Headers],[Vertex]:[Top Word Pairs in Content by Salience]],0),FALSE)</f>
        <v>16</v>
      </c>
    </row>
    <row r="18" spans="1:3" ht="15">
      <c r="A18" s="77" t="s">
        <v>1653</v>
      </c>
      <c r="B18" s="85" t="s">
        <v>250</v>
      </c>
      <c r="C18" s="76">
        <f>VLOOKUP(GroupVertices[[#This Row],[Vertex]],Vertices[],MATCH("ID",Vertices[[#Headers],[Vertex]:[Top Word Pairs in Content by Salience]],0),FALSE)</f>
        <v>12</v>
      </c>
    </row>
    <row r="19" spans="1:3" ht="15">
      <c r="A19" s="77" t="s">
        <v>1654</v>
      </c>
      <c r="B19" s="85" t="s">
        <v>379</v>
      </c>
      <c r="C19" s="76">
        <f>VLOOKUP(GroupVertices[[#This Row],[Vertex]],Vertices[],MATCH("ID",Vertices[[#Headers],[Vertex]:[Top Word Pairs in Content by Salience]],0),FALSE)</f>
        <v>194</v>
      </c>
    </row>
    <row r="20" spans="1:3" ht="15">
      <c r="A20" s="77" t="s">
        <v>1654</v>
      </c>
      <c r="B20" s="85" t="s">
        <v>443</v>
      </c>
      <c r="C20" s="76">
        <f>VLOOKUP(GroupVertices[[#This Row],[Vertex]],Vertices[],MATCH("ID",Vertices[[#Headers],[Vertex]:[Top Word Pairs in Content by Salience]],0),FALSE)</f>
        <v>196</v>
      </c>
    </row>
    <row r="21" spans="1:3" ht="15">
      <c r="A21" s="77" t="s">
        <v>1654</v>
      </c>
      <c r="B21" s="85" t="s">
        <v>442</v>
      </c>
      <c r="C21" s="76">
        <f>VLOOKUP(GroupVertices[[#This Row],[Vertex]],Vertices[],MATCH("ID",Vertices[[#Headers],[Vertex]:[Top Word Pairs in Content by Salience]],0),FALSE)</f>
        <v>195</v>
      </c>
    </row>
    <row r="22" spans="1:3" ht="15">
      <c r="A22" s="77" t="s">
        <v>1654</v>
      </c>
      <c r="B22" s="85" t="s">
        <v>387</v>
      </c>
      <c r="C22" s="76">
        <f>VLOOKUP(GroupVertices[[#This Row],[Vertex]],Vertices[],MATCH("ID",Vertices[[#Headers],[Vertex]:[Top Word Pairs in Content by Salience]],0),FALSE)</f>
        <v>9</v>
      </c>
    </row>
    <row r="23" spans="1:3" ht="15">
      <c r="A23" s="77" t="s">
        <v>1654</v>
      </c>
      <c r="B23" s="85" t="s">
        <v>315</v>
      </c>
      <c r="C23" s="76">
        <f>VLOOKUP(GroupVertices[[#This Row],[Vertex]],Vertices[],MATCH("ID",Vertices[[#Headers],[Vertex]:[Top Word Pairs in Content by Salience]],0),FALSE)</f>
        <v>102</v>
      </c>
    </row>
    <row r="24" spans="1:3" ht="15">
      <c r="A24" s="77" t="s">
        <v>1654</v>
      </c>
      <c r="B24" s="85" t="s">
        <v>408</v>
      </c>
      <c r="C24" s="76">
        <f>VLOOKUP(GroupVertices[[#This Row],[Vertex]],Vertices[],MATCH("ID",Vertices[[#Headers],[Vertex]:[Top Word Pairs in Content by Salience]],0),FALSE)</f>
        <v>87</v>
      </c>
    </row>
    <row r="25" spans="1:3" ht="15">
      <c r="A25" s="77" t="s">
        <v>1654</v>
      </c>
      <c r="B25" s="85" t="s">
        <v>299</v>
      </c>
      <c r="C25" s="76">
        <f>VLOOKUP(GroupVertices[[#This Row],[Vertex]],Vertices[],MATCH("ID",Vertices[[#Headers],[Vertex]:[Top Word Pairs in Content by Salience]],0),FALSE)</f>
        <v>59</v>
      </c>
    </row>
    <row r="26" spans="1:3" ht="15">
      <c r="A26" s="77" t="s">
        <v>1654</v>
      </c>
      <c r="B26" s="85" t="s">
        <v>314</v>
      </c>
      <c r="C26" s="76">
        <f>VLOOKUP(GroupVertices[[#This Row],[Vertex]],Vertices[],MATCH("ID",Vertices[[#Headers],[Vertex]:[Top Word Pairs in Content by Salience]],0),FALSE)</f>
        <v>101</v>
      </c>
    </row>
    <row r="27" spans="1:3" ht="15">
      <c r="A27" s="77" t="s">
        <v>1654</v>
      </c>
      <c r="B27" s="85" t="s">
        <v>313</v>
      </c>
      <c r="C27" s="76">
        <f>VLOOKUP(GroupVertices[[#This Row],[Vertex]],Vertices[],MATCH("ID",Vertices[[#Headers],[Vertex]:[Top Word Pairs in Content by Salience]],0),FALSE)</f>
        <v>100</v>
      </c>
    </row>
    <row r="28" spans="1:3" ht="15">
      <c r="A28" s="77" t="s">
        <v>1654</v>
      </c>
      <c r="B28" s="85" t="s">
        <v>303</v>
      </c>
      <c r="C28" s="76">
        <f>VLOOKUP(GroupVertices[[#This Row],[Vertex]],Vertices[],MATCH("ID",Vertices[[#Headers],[Vertex]:[Top Word Pairs in Content by Salience]],0),FALSE)</f>
        <v>86</v>
      </c>
    </row>
    <row r="29" spans="1:3" ht="15">
      <c r="A29" s="77" t="s">
        <v>1654</v>
      </c>
      <c r="B29" s="85" t="s">
        <v>285</v>
      </c>
      <c r="C29" s="76">
        <f>VLOOKUP(GroupVertices[[#This Row],[Vertex]],Vertices[],MATCH("ID",Vertices[[#Headers],[Vertex]:[Top Word Pairs in Content by Salience]],0),FALSE)</f>
        <v>63</v>
      </c>
    </row>
    <row r="30" spans="1:3" ht="15">
      <c r="A30" s="77" t="s">
        <v>1654</v>
      </c>
      <c r="B30" s="85" t="s">
        <v>386</v>
      </c>
      <c r="C30" s="76">
        <f>VLOOKUP(GroupVertices[[#This Row],[Vertex]],Vertices[],MATCH("ID",Vertices[[#Headers],[Vertex]:[Top Word Pairs in Content by Salience]],0),FALSE)</f>
        <v>6</v>
      </c>
    </row>
    <row r="31" spans="1:3" ht="15">
      <c r="A31" s="77" t="s">
        <v>1654</v>
      </c>
      <c r="B31" s="85" t="s">
        <v>282</v>
      </c>
      <c r="C31" s="76">
        <f>VLOOKUP(GroupVertices[[#This Row],[Vertex]],Vertices[],MATCH("ID",Vertices[[#Headers],[Vertex]:[Top Word Pairs in Content by Salience]],0),FALSE)</f>
        <v>58</v>
      </c>
    </row>
    <row r="32" spans="1:3" ht="15">
      <c r="A32" s="77" t="s">
        <v>1654</v>
      </c>
      <c r="B32" s="85" t="s">
        <v>245</v>
      </c>
      <c r="C32" s="76">
        <f>VLOOKUP(GroupVertices[[#This Row],[Vertex]],Vertices[],MATCH("ID",Vertices[[#Headers],[Vertex]:[Top Word Pairs in Content by Salience]],0),FALSE)</f>
        <v>5</v>
      </c>
    </row>
    <row r="33" spans="1:3" ht="15">
      <c r="A33" s="77" t="s">
        <v>1654</v>
      </c>
      <c r="B33" s="85" t="s">
        <v>246</v>
      </c>
      <c r="C33" s="76">
        <f>VLOOKUP(GroupVertices[[#This Row],[Vertex]],Vertices[],MATCH("ID",Vertices[[#Headers],[Vertex]:[Top Word Pairs in Content by Salience]],0),FALSE)</f>
        <v>3</v>
      </c>
    </row>
    <row r="34" spans="1:3" ht="15">
      <c r="A34" s="77" t="s">
        <v>1654</v>
      </c>
      <c r="B34" s="85" t="s">
        <v>385</v>
      </c>
      <c r="C34" s="76">
        <f>VLOOKUP(GroupVertices[[#This Row],[Vertex]],Vertices[],MATCH("ID",Vertices[[#Headers],[Vertex]:[Top Word Pairs in Content by Salience]],0),FALSE)</f>
        <v>4</v>
      </c>
    </row>
    <row r="35" spans="1:3" ht="15">
      <c r="A35" s="77" t="s">
        <v>1655</v>
      </c>
      <c r="B35" s="85" t="s">
        <v>323</v>
      </c>
      <c r="C35" s="76">
        <f>VLOOKUP(GroupVertices[[#This Row],[Vertex]],Vertices[],MATCH("ID",Vertices[[#Headers],[Vertex]:[Top Word Pairs in Content by Salience]],0),FALSE)</f>
        <v>92</v>
      </c>
    </row>
    <row r="36" spans="1:3" ht="15">
      <c r="A36" s="77" t="s">
        <v>1655</v>
      </c>
      <c r="B36" s="85" t="s">
        <v>425</v>
      </c>
      <c r="C36" s="76">
        <f>VLOOKUP(GroupVertices[[#This Row],[Vertex]],Vertices[],MATCH("ID",Vertices[[#Headers],[Vertex]:[Top Word Pairs in Content by Salience]],0),FALSE)</f>
        <v>125</v>
      </c>
    </row>
    <row r="37" spans="1:3" ht="15">
      <c r="A37" s="77" t="s">
        <v>1655</v>
      </c>
      <c r="B37" s="85" t="s">
        <v>424</v>
      </c>
      <c r="C37" s="76">
        <f>VLOOKUP(GroupVertices[[#This Row],[Vertex]],Vertices[],MATCH("ID",Vertices[[#Headers],[Vertex]:[Top Word Pairs in Content by Salience]],0),FALSE)</f>
        <v>124</v>
      </c>
    </row>
    <row r="38" spans="1:3" ht="15">
      <c r="A38" s="77" t="s">
        <v>1655</v>
      </c>
      <c r="B38" s="85" t="s">
        <v>423</v>
      </c>
      <c r="C38" s="76">
        <f>VLOOKUP(GroupVertices[[#This Row],[Vertex]],Vertices[],MATCH("ID",Vertices[[#Headers],[Vertex]:[Top Word Pairs in Content by Salience]],0),FALSE)</f>
        <v>123</v>
      </c>
    </row>
    <row r="39" spans="1:3" ht="15">
      <c r="A39" s="77" t="s">
        <v>1655</v>
      </c>
      <c r="B39" s="85" t="s">
        <v>422</v>
      </c>
      <c r="C39" s="76">
        <f>VLOOKUP(GroupVertices[[#This Row],[Vertex]],Vertices[],MATCH("ID",Vertices[[#Headers],[Vertex]:[Top Word Pairs in Content by Salience]],0),FALSE)</f>
        <v>122</v>
      </c>
    </row>
    <row r="40" spans="1:3" ht="15">
      <c r="A40" s="77" t="s">
        <v>1655</v>
      </c>
      <c r="B40" s="85" t="s">
        <v>421</v>
      </c>
      <c r="C40" s="76">
        <f>VLOOKUP(GroupVertices[[#This Row],[Vertex]],Vertices[],MATCH("ID",Vertices[[#Headers],[Vertex]:[Top Word Pairs in Content by Salience]],0),FALSE)</f>
        <v>121</v>
      </c>
    </row>
    <row r="41" spans="1:3" ht="15">
      <c r="A41" s="77" t="s">
        <v>1655</v>
      </c>
      <c r="B41" s="85" t="s">
        <v>420</v>
      </c>
      <c r="C41" s="76">
        <f>VLOOKUP(GroupVertices[[#This Row],[Vertex]],Vertices[],MATCH("ID",Vertices[[#Headers],[Vertex]:[Top Word Pairs in Content by Salience]],0),FALSE)</f>
        <v>120</v>
      </c>
    </row>
    <row r="42" spans="1:3" ht="15">
      <c r="A42" s="77" t="s">
        <v>1655</v>
      </c>
      <c r="B42" s="85" t="s">
        <v>419</v>
      </c>
      <c r="C42" s="76">
        <f>VLOOKUP(GroupVertices[[#This Row],[Vertex]],Vertices[],MATCH("ID",Vertices[[#Headers],[Vertex]:[Top Word Pairs in Content by Salience]],0),FALSE)</f>
        <v>119</v>
      </c>
    </row>
    <row r="43" spans="1:3" ht="15">
      <c r="A43" s="77" t="s">
        <v>1655</v>
      </c>
      <c r="B43" s="85" t="s">
        <v>418</v>
      </c>
      <c r="C43" s="76">
        <f>VLOOKUP(GroupVertices[[#This Row],[Vertex]],Vertices[],MATCH("ID",Vertices[[#Headers],[Vertex]:[Top Word Pairs in Content by Salience]],0),FALSE)</f>
        <v>118</v>
      </c>
    </row>
    <row r="44" spans="1:3" ht="15">
      <c r="A44" s="77" t="s">
        <v>1655</v>
      </c>
      <c r="B44" s="85" t="s">
        <v>417</v>
      </c>
      <c r="C44" s="76">
        <f>VLOOKUP(GroupVertices[[#This Row],[Vertex]],Vertices[],MATCH("ID",Vertices[[#Headers],[Vertex]:[Top Word Pairs in Content by Salience]],0),FALSE)</f>
        <v>117</v>
      </c>
    </row>
    <row r="45" spans="1:3" ht="15">
      <c r="A45" s="77" t="s">
        <v>1655</v>
      </c>
      <c r="B45" s="85" t="s">
        <v>416</v>
      </c>
      <c r="C45" s="76">
        <f>VLOOKUP(GroupVertices[[#This Row],[Vertex]],Vertices[],MATCH("ID",Vertices[[#Headers],[Vertex]:[Top Word Pairs in Content by Salience]],0),FALSE)</f>
        <v>116</v>
      </c>
    </row>
    <row r="46" spans="1:3" ht="15">
      <c r="A46" s="77" t="s">
        <v>1655</v>
      </c>
      <c r="B46" s="85" t="s">
        <v>410</v>
      </c>
      <c r="C46" s="76">
        <f>VLOOKUP(GroupVertices[[#This Row],[Vertex]],Vertices[],MATCH("ID",Vertices[[#Headers],[Vertex]:[Top Word Pairs in Content by Salience]],0),FALSE)</f>
        <v>91</v>
      </c>
    </row>
    <row r="47" spans="1:3" ht="15">
      <c r="A47" s="77" t="s">
        <v>1655</v>
      </c>
      <c r="B47" s="85" t="s">
        <v>409</v>
      </c>
      <c r="C47" s="76">
        <f>VLOOKUP(GroupVertices[[#This Row],[Vertex]],Vertices[],MATCH("ID",Vertices[[#Headers],[Vertex]:[Top Word Pairs in Content by Salience]],0),FALSE)</f>
        <v>90</v>
      </c>
    </row>
    <row r="48" spans="1:3" ht="15">
      <c r="A48" s="77" t="s">
        <v>1655</v>
      </c>
      <c r="B48" s="85" t="s">
        <v>306</v>
      </c>
      <c r="C48" s="76">
        <f>VLOOKUP(GroupVertices[[#This Row],[Vertex]],Vertices[],MATCH("ID",Vertices[[#Headers],[Vertex]:[Top Word Pairs in Content by Salience]],0),FALSE)</f>
        <v>89</v>
      </c>
    </row>
    <row r="49" spans="1:3" ht="15">
      <c r="A49" s="77" t="s">
        <v>1656</v>
      </c>
      <c r="B49" s="85" t="s">
        <v>284</v>
      </c>
      <c r="C49" s="76">
        <f>VLOOKUP(GroupVertices[[#This Row],[Vertex]],Vertices[],MATCH("ID",Vertices[[#Headers],[Vertex]:[Top Word Pairs in Content by Salience]],0),FALSE)</f>
        <v>62</v>
      </c>
    </row>
    <row r="50" spans="1:3" ht="15">
      <c r="A50" s="77" t="s">
        <v>1656</v>
      </c>
      <c r="B50" s="85" t="s">
        <v>395</v>
      </c>
      <c r="C50" s="76">
        <f>VLOOKUP(GroupVertices[[#This Row],[Vertex]],Vertices[],MATCH("ID",Vertices[[#Headers],[Vertex]:[Top Word Pairs in Content by Salience]],0),FALSE)</f>
        <v>41</v>
      </c>
    </row>
    <row r="51" spans="1:3" ht="15">
      <c r="A51" s="77" t="s">
        <v>1656</v>
      </c>
      <c r="B51" s="85" t="s">
        <v>283</v>
      </c>
      <c r="C51" s="76">
        <f>VLOOKUP(GroupVertices[[#This Row],[Vertex]],Vertices[],MATCH("ID",Vertices[[#Headers],[Vertex]:[Top Word Pairs in Content by Salience]],0),FALSE)</f>
        <v>60</v>
      </c>
    </row>
    <row r="52" spans="1:3" ht="15">
      <c r="A52" s="77" t="s">
        <v>1656</v>
      </c>
      <c r="B52" s="85" t="s">
        <v>402</v>
      </c>
      <c r="C52" s="76">
        <f>VLOOKUP(GroupVertices[[#This Row],[Vertex]],Vertices[],MATCH("ID",Vertices[[#Headers],[Vertex]:[Top Word Pairs in Content by Salience]],0),FALSE)</f>
        <v>61</v>
      </c>
    </row>
    <row r="53" spans="1:3" ht="15">
      <c r="A53" s="77" t="s">
        <v>1656</v>
      </c>
      <c r="B53" s="85" t="s">
        <v>272</v>
      </c>
      <c r="C53" s="76">
        <f>VLOOKUP(GroupVertices[[#This Row],[Vertex]],Vertices[],MATCH("ID",Vertices[[#Headers],[Vertex]:[Top Word Pairs in Content by Salience]],0),FALSE)</f>
        <v>42</v>
      </c>
    </row>
    <row r="54" spans="1:3" ht="15">
      <c r="A54" s="77" t="s">
        <v>1656</v>
      </c>
      <c r="B54" s="85" t="s">
        <v>396</v>
      </c>
      <c r="C54" s="76">
        <f>VLOOKUP(GroupVertices[[#This Row],[Vertex]],Vertices[],MATCH("ID",Vertices[[#Headers],[Vertex]:[Top Word Pairs in Content by Salience]],0),FALSE)</f>
        <v>43</v>
      </c>
    </row>
    <row r="55" spans="1:3" ht="15">
      <c r="A55" s="77" t="s">
        <v>1656</v>
      </c>
      <c r="B55" s="85" t="s">
        <v>271</v>
      </c>
      <c r="C55" s="76">
        <f>VLOOKUP(GroupVertices[[#This Row],[Vertex]],Vertices[],MATCH("ID",Vertices[[#Headers],[Vertex]:[Top Word Pairs in Content by Salience]],0),FALSE)</f>
        <v>39</v>
      </c>
    </row>
    <row r="56" spans="1:3" ht="15">
      <c r="A56" s="77" t="s">
        <v>1656</v>
      </c>
      <c r="B56" s="85" t="s">
        <v>394</v>
      </c>
      <c r="C56" s="76">
        <f>VLOOKUP(GroupVertices[[#This Row],[Vertex]],Vertices[],MATCH("ID",Vertices[[#Headers],[Vertex]:[Top Word Pairs in Content by Salience]],0),FALSE)</f>
        <v>40</v>
      </c>
    </row>
    <row r="57" spans="1:3" ht="15">
      <c r="A57" s="77" t="s">
        <v>1657</v>
      </c>
      <c r="B57" s="85" t="s">
        <v>280</v>
      </c>
      <c r="C57" s="76">
        <f>VLOOKUP(GroupVertices[[#This Row],[Vertex]],Vertices[],MATCH("ID",Vertices[[#Headers],[Vertex]:[Top Word Pairs in Content by Salience]],0),FALSE)</f>
        <v>53</v>
      </c>
    </row>
    <row r="58" spans="1:3" ht="15">
      <c r="A58" s="77" t="s">
        <v>1657</v>
      </c>
      <c r="B58" s="85" t="s">
        <v>398</v>
      </c>
      <c r="C58" s="76">
        <f>VLOOKUP(GroupVertices[[#This Row],[Vertex]],Vertices[],MATCH("ID",Vertices[[#Headers],[Vertex]:[Top Word Pairs in Content by Salience]],0),FALSE)</f>
        <v>49</v>
      </c>
    </row>
    <row r="59" spans="1:3" ht="15">
      <c r="A59" s="77" t="s">
        <v>1657</v>
      </c>
      <c r="B59" s="85" t="s">
        <v>279</v>
      </c>
      <c r="C59" s="76">
        <f>VLOOKUP(GroupVertices[[#This Row],[Vertex]],Vertices[],MATCH("ID",Vertices[[#Headers],[Vertex]:[Top Word Pairs in Content by Salience]],0),FALSE)</f>
        <v>48</v>
      </c>
    </row>
    <row r="60" spans="1:3" ht="15">
      <c r="A60" s="77" t="s">
        <v>1657</v>
      </c>
      <c r="B60" s="85" t="s">
        <v>397</v>
      </c>
      <c r="C60" s="76">
        <f>VLOOKUP(GroupVertices[[#This Row],[Vertex]],Vertices[],MATCH("ID",Vertices[[#Headers],[Vertex]:[Top Word Pairs in Content by Salience]],0),FALSE)</f>
        <v>47</v>
      </c>
    </row>
    <row r="61" spans="1:3" ht="15">
      <c r="A61" s="77" t="s">
        <v>1657</v>
      </c>
      <c r="B61" s="85" t="s">
        <v>278</v>
      </c>
      <c r="C61" s="76">
        <f>VLOOKUP(GroupVertices[[#This Row],[Vertex]],Vertices[],MATCH("ID",Vertices[[#Headers],[Vertex]:[Top Word Pairs in Content by Salience]],0),FALSE)</f>
        <v>52</v>
      </c>
    </row>
    <row r="62" spans="1:3" ht="15">
      <c r="A62" s="77" t="s">
        <v>1657</v>
      </c>
      <c r="B62" s="85" t="s">
        <v>277</v>
      </c>
      <c r="C62" s="76">
        <f>VLOOKUP(GroupVertices[[#This Row],[Vertex]],Vertices[],MATCH("ID",Vertices[[#Headers],[Vertex]:[Top Word Pairs in Content by Salience]],0),FALSE)</f>
        <v>51</v>
      </c>
    </row>
    <row r="63" spans="1:3" ht="15">
      <c r="A63" s="77" t="s">
        <v>1657</v>
      </c>
      <c r="B63" s="85" t="s">
        <v>276</v>
      </c>
      <c r="C63" s="76">
        <f>VLOOKUP(GroupVertices[[#This Row],[Vertex]],Vertices[],MATCH("ID",Vertices[[#Headers],[Vertex]:[Top Word Pairs in Content by Salience]],0),FALSE)</f>
        <v>50</v>
      </c>
    </row>
    <row r="64" spans="1:3" ht="15">
      <c r="A64" s="77" t="s">
        <v>1657</v>
      </c>
      <c r="B64" s="85" t="s">
        <v>275</v>
      </c>
      <c r="C64" s="76">
        <f>VLOOKUP(GroupVertices[[#This Row],[Vertex]],Vertices[],MATCH("ID",Vertices[[#Headers],[Vertex]:[Top Word Pairs in Content by Salience]],0),FALSE)</f>
        <v>46</v>
      </c>
    </row>
    <row r="65" spans="1:3" ht="15">
      <c r="A65" s="77" t="s">
        <v>1658</v>
      </c>
      <c r="B65" s="85" t="s">
        <v>382</v>
      </c>
      <c r="C65" s="76">
        <f>VLOOKUP(GroupVertices[[#This Row],[Vertex]],Vertices[],MATCH("ID",Vertices[[#Headers],[Vertex]:[Top Word Pairs in Content by Salience]],0),FALSE)</f>
        <v>200</v>
      </c>
    </row>
    <row r="66" spans="1:3" ht="15">
      <c r="A66" s="77" t="s">
        <v>1658</v>
      </c>
      <c r="B66" s="85" t="s">
        <v>428</v>
      </c>
      <c r="C66" s="76">
        <f>VLOOKUP(GroupVertices[[#This Row],[Vertex]],Vertices[],MATCH("ID",Vertices[[#Headers],[Vertex]:[Top Word Pairs in Content by Salience]],0),FALSE)</f>
        <v>131</v>
      </c>
    </row>
    <row r="67" spans="1:3" ht="15">
      <c r="A67" s="77" t="s">
        <v>1658</v>
      </c>
      <c r="B67" s="85" t="s">
        <v>327</v>
      </c>
      <c r="C67" s="76">
        <f>VLOOKUP(GroupVertices[[#This Row],[Vertex]],Vertices[],MATCH("ID",Vertices[[#Headers],[Vertex]:[Top Word Pairs in Content by Salience]],0),FALSE)</f>
        <v>129</v>
      </c>
    </row>
    <row r="68" spans="1:3" ht="15">
      <c r="A68" s="77" t="s">
        <v>1658</v>
      </c>
      <c r="B68" s="85" t="s">
        <v>427</v>
      </c>
      <c r="C68" s="76">
        <f>VLOOKUP(GroupVertices[[#This Row],[Vertex]],Vertices[],MATCH("ID",Vertices[[#Headers],[Vertex]:[Top Word Pairs in Content by Salience]],0),FALSE)</f>
        <v>130</v>
      </c>
    </row>
    <row r="69" spans="1:3" ht="15">
      <c r="A69" s="77" t="s">
        <v>1659</v>
      </c>
      <c r="B69" s="85" t="s">
        <v>374</v>
      </c>
      <c r="C69" s="76">
        <f>VLOOKUP(GroupVertices[[#This Row],[Vertex]],Vertices[],MATCH("ID",Vertices[[#Headers],[Vertex]:[Top Word Pairs in Content by Salience]],0),FALSE)</f>
        <v>187</v>
      </c>
    </row>
    <row r="70" spans="1:3" ht="15">
      <c r="A70" s="77" t="s">
        <v>1659</v>
      </c>
      <c r="B70" s="85" t="s">
        <v>388</v>
      </c>
      <c r="C70" s="76">
        <f>VLOOKUP(GroupVertices[[#This Row],[Vertex]],Vertices[],MATCH("ID",Vertices[[#Headers],[Vertex]:[Top Word Pairs in Content by Salience]],0),FALSE)</f>
        <v>10</v>
      </c>
    </row>
    <row r="71" spans="1:3" ht="15">
      <c r="A71" s="77" t="s">
        <v>1659</v>
      </c>
      <c r="B71" s="85" t="s">
        <v>249</v>
      </c>
      <c r="C71" s="76">
        <f>VLOOKUP(GroupVertices[[#This Row],[Vertex]],Vertices[],MATCH("ID",Vertices[[#Headers],[Vertex]:[Top Word Pairs in Content by Salience]],0),FALSE)</f>
        <v>11</v>
      </c>
    </row>
    <row r="72" spans="1:3" ht="15">
      <c r="A72" s="77" t="s">
        <v>1659</v>
      </c>
      <c r="B72" s="85" t="s">
        <v>248</v>
      </c>
      <c r="C72" s="76">
        <f>VLOOKUP(GroupVertices[[#This Row],[Vertex]],Vertices[],MATCH("ID",Vertices[[#Headers],[Vertex]:[Top Word Pairs in Content by Salience]],0),FALSE)</f>
        <v>8</v>
      </c>
    </row>
    <row r="73" spans="1:3" ht="15">
      <c r="A73" s="77" t="s">
        <v>1660</v>
      </c>
      <c r="B73" s="85" t="s">
        <v>358</v>
      </c>
      <c r="C73" s="76">
        <f>VLOOKUP(GroupVertices[[#This Row],[Vertex]],Vertices[],MATCH("ID",Vertices[[#Headers],[Vertex]:[Top Word Pairs in Content by Salience]],0),FALSE)</f>
        <v>161</v>
      </c>
    </row>
    <row r="74" spans="1:3" ht="15">
      <c r="A74" s="77" t="s">
        <v>1660</v>
      </c>
      <c r="B74" s="85" t="s">
        <v>432</v>
      </c>
      <c r="C74" s="76">
        <f>VLOOKUP(GroupVertices[[#This Row],[Vertex]],Vertices[],MATCH("ID",Vertices[[#Headers],[Vertex]:[Top Word Pairs in Content by Salience]],0),FALSE)</f>
        <v>164</v>
      </c>
    </row>
    <row r="75" spans="1:3" ht="15">
      <c r="A75" s="77" t="s">
        <v>1660</v>
      </c>
      <c r="B75" s="85" t="s">
        <v>431</v>
      </c>
      <c r="C75" s="76">
        <f>VLOOKUP(GroupVertices[[#This Row],[Vertex]],Vertices[],MATCH("ID",Vertices[[#Headers],[Vertex]:[Top Word Pairs in Content by Salience]],0),FALSE)</f>
        <v>163</v>
      </c>
    </row>
    <row r="76" spans="1:3" ht="15">
      <c r="A76" s="77" t="s">
        <v>1660</v>
      </c>
      <c r="B76" s="85" t="s">
        <v>430</v>
      </c>
      <c r="C76" s="76">
        <f>VLOOKUP(GroupVertices[[#This Row],[Vertex]],Vertices[],MATCH("ID",Vertices[[#Headers],[Vertex]:[Top Word Pairs in Content by Salience]],0),FALSE)</f>
        <v>162</v>
      </c>
    </row>
    <row r="77" spans="1:3" ht="15">
      <c r="A77" s="77" t="s">
        <v>1661</v>
      </c>
      <c r="B77" s="85" t="s">
        <v>350</v>
      </c>
      <c r="C77" s="76">
        <f>VLOOKUP(GroupVertices[[#This Row],[Vertex]],Vertices[],MATCH("ID",Vertices[[#Headers],[Vertex]:[Top Word Pairs in Content by Salience]],0),FALSE)</f>
        <v>152</v>
      </c>
    </row>
    <row r="78" spans="1:3" ht="15">
      <c r="A78" s="77" t="s">
        <v>1661</v>
      </c>
      <c r="B78" s="85" t="s">
        <v>349</v>
      </c>
      <c r="C78" s="76">
        <f>VLOOKUP(GroupVertices[[#This Row],[Vertex]],Vertices[],MATCH("ID",Vertices[[#Headers],[Vertex]:[Top Word Pairs in Content by Salience]],0),FALSE)</f>
        <v>66</v>
      </c>
    </row>
    <row r="79" spans="1:3" ht="15">
      <c r="A79" s="77" t="s">
        <v>1661</v>
      </c>
      <c r="B79" s="85" t="s">
        <v>347</v>
      </c>
      <c r="C79" s="76">
        <f>VLOOKUP(GroupVertices[[#This Row],[Vertex]],Vertices[],MATCH("ID",Vertices[[#Headers],[Vertex]:[Top Word Pairs in Content by Salience]],0),FALSE)</f>
        <v>150</v>
      </c>
    </row>
    <row r="80" spans="1:3" ht="15">
      <c r="A80" s="77" t="s">
        <v>1661</v>
      </c>
      <c r="B80" s="85" t="s">
        <v>288</v>
      </c>
      <c r="C80" s="76">
        <f>VLOOKUP(GroupVertices[[#This Row],[Vertex]],Vertices[],MATCH("ID",Vertices[[#Headers],[Vertex]:[Top Word Pairs in Content by Salience]],0),FALSE)</f>
        <v>65</v>
      </c>
    </row>
    <row r="81" spans="1:3" ht="15">
      <c r="A81" s="77" t="s">
        <v>1662</v>
      </c>
      <c r="B81" s="85" t="s">
        <v>326</v>
      </c>
      <c r="C81" s="76">
        <f>VLOOKUP(GroupVertices[[#This Row],[Vertex]],Vertices[],MATCH("ID",Vertices[[#Headers],[Vertex]:[Top Word Pairs in Content by Salience]],0),FALSE)</f>
        <v>128</v>
      </c>
    </row>
    <row r="82" spans="1:3" ht="15">
      <c r="A82" s="77" t="s">
        <v>1662</v>
      </c>
      <c r="B82" s="85" t="s">
        <v>415</v>
      </c>
      <c r="C82" s="76">
        <f>VLOOKUP(GroupVertices[[#This Row],[Vertex]],Vertices[],MATCH("ID",Vertices[[#Headers],[Vertex]:[Top Word Pairs in Content by Salience]],0),FALSE)</f>
        <v>114</v>
      </c>
    </row>
    <row r="83" spans="1:3" ht="15">
      <c r="A83" s="77" t="s">
        <v>1662</v>
      </c>
      <c r="B83" s="85" t="s">
        <v>325</v>
      </c>
      <c r="C83" s="76">
        <f>VLOOKUP(GroupVertices[[#This Row],[Vertex]],Vertices[],MATCH("ID",Vertices[[#Headers],[Vertex]:[Top Word Pairs in Content by Salience]],0),FALSE)</f>
        <v>115</v>
      </c>
    </row>
    <row r="84" spans="1:3" ht="15">
      <c r="A84" s="77" t="s">
        <v>1662</v>
      </c>
      <c r="B84" s="85" t="s">
        <v>322</v>
      </c>
      <c r="C84" s="76">
        <f>VLOOKUP(GroupVertices[[#This Row],[Vertex]],Vertices[],MATCH("ID",Vertices[[#Headers],[Vertex]:[Top Word Pairs in Content by Salience]],0),FALSE)</f>
        <v>113</v>
      </c>
    </row>
    <row r="85" spans="1:3" ht="15">
      <c r="A85" s="77" t="s">
        <v>1663</v>
      </c>
      <c r="B85" s="85" t="s">
        <v>293</v>
      </c>
      <c r="C85" s="76">
        <f>VLOOKUP(GroupVertices[[#This Row],[Vertex]],Vertices[],MATCH("ID",Vertices[[#Headers],[Vertex]:[Top Word Pairs in Content by Salience]],0),FALSE)</f>
        <v>74</v>
      </c>
    </row>
    <row r="86" spans="1:3" ht="15">
      <c r="A86" s="77" t="s">
        <v>1663</v>
      </c>
      <c r="B86" s="85" t="s">
        <v>406</v>
      </c>
      <c r="C86" s="76">
        <f>VLOOKUP(GroupVertices[[#This Row],[Vertex]],Vertices[],MATCH("ID",Vertices[[#Headers],[Vertex]:[Top Word Pairs in Content by Salience]],0),FALSE)</f>
        <v>75</v>
      </c>
    </row>
    <row r="87" spans="1:3" ht="15">
      <c r="A87" s="77" t="s">
        <v>1663</v>
      </c>
      <c r="B87" s="85" t="s">
        <v>403</v>
      </c>
      <c r="C87" s="76">
        <f>VLOOKUP(GroupVertices[[#This Row],[Vertex]],Vertices[],MATCH("ID",Vertices[[#Headers],[Vertex]:[Top Word Pairs in Content by Salience]],0),FALSE)</f>
        <v>68</v>
      </c>
    </row>
    <row r="88" spans="1:3" ht="15">
      <c r="A88" s="77" t="s">
        <v>1663</v>
      </c>
      <c r="B88" s="85" t="s">
        <v>289</v>
      </c>
      <c r="C88" s="76">
        <f>VLOOKUP(GroupVertices[[#This Row],[Vertex]],Vertices[],MATCH("ID",Vertices[[#Headers],[Vertex]:[Top Word Pairs in Content by Salience]],0),FALSE)</f>
        <v>67</v>
      </c>
    </row>
    <row r="89" spans="1:3" ht="15">
      <c r="A89" s="77" t="s">
        <v>1664</v>
      </c>
      <c r="B89" s="85" t="s">
        <v>281</v>
      </c>
      <c r="C89" s="76">
        <f>VLOOKUP(GroupVertices[[#This Row],[Vertex]],Vertices[],MATCH("ID",Vertices[[#Headers],[Vertex]:[Top Word Pairs in Content by Salience]],0),FALSE)</f>
        <v>54</v>
      </c>
    </row>
    <row r="90" spans="1:3" ht="15">
      <c r="A90" s="77" t="s">
        <v>1664</v>
      </c>
      <c r="B90" s="85" t="s">
        <v>401</v>
      </c>
      <c r="C90" s="76">
        <f>VLOOKUP(GroupVertices[[#This Row],[Vertex]],Vertices[],MATCH("ID",Vertices[[#Headers],[Vertex]:[Top Word Pairs in Content by Salience]],0),FALSE)</f>
        <v>57</v>
      </c>
    </row>
    <row r="91" spans="1:3" ht="15">
      <c r="A91" s="77" t="s">
        <v>1664</v>
      </c>
      <c r="B91" s="85" t="s">
        <v>400</v>
      </c>
      <c r="C91" s="76">
        <f>VLOOKUP(GroupVertices[[#This Row],[Vertex]],Vertices[],MATCH("ID",Vertices[[#Headers],[Vertex]:[Top Word Pairs in Content by Salience]],0),FALSE)</f>
        <v>56</v>
      </c>
    </row>
    <row r="92" spans="1:3" ht="15">
      <c r="A92" s="77" t="s">
        <v>1664</v>
      </c>
      <c r="B92" s="85" t="s">
        <v>399</v>
      </c>
      <c r="C92" s="76">
        <f>VLOOKUP(GroupVertices[[#This Row],[Vertex]],Vertices[],MATCH("ID",Vertices[[#Headers],[Vertex]:[Top Word Pairs in Content by Salience]],0),FALSE)</f>
        <v>55</v>
      </c>
    </row>
    <row r="93" spans="1:3" ht="15">
      <c r="A93" s="77" t="s">
        <v>1665</v>
      </c>
      <c r="B93" s="85" t="s">
        <v>267</v>
      </c>
      <c r="C93" s="76">
        <f>VLOOKUP(GroupVertices[[#This Row],[Vertex]],Vertices[],MATCH("ID",Vertices[[#Headers],[Vertex]:[Top Word Pairs in Content by Salience]],0),FALSE)</f>
        <v>32</v>
      </c>
    </row>
    <row r="94" spans="1:3" ht="15">
      <c r="A94" s="77" t="s">
        <v>1665</v>
      </c>
      <c r="B94" s="85" t="s">
        <v>393</v>
      </c>
      <c r="C94" s="76">
        <f>VLOOKUP(GroupVertices[[#This Row],[Vertex]],Vertices[],MATCH("ID",Vertices[[#Headers],[Vertex]:[Top Word Pairs in Content by Salience]],0),FALSE)</f>
        <v>35</v>
      </c>
    </row>
    <row r="95" spans="1:3" ht="15">
      <c r="A95" s="77" t="s">
        <v>1665</v>
      </c>
      <c r="B95" s="85" t="s">
        <v>392</v>
      </c>
      <c r="C95" s="76">
        <f>VLOOKUP(GroupVertices[[#This Row],[Vertex]],Vertices[],MATCH("ID",Vertices[[#Headers],[Vertex]:[Top Word Pairs in Content by Salience]],0),FALSE)</f>
        <v>34</v>
      </c>
    </row>
    <row r="96" spans="1:3" ht="15">
      <c r="A96" s="77" t="s">
        <v>1665</v>
      </c>
      <c r="B96" s="85" t="s">
        <v>391</v>
      </c>
      <c r="C96" s="76">
        <f>VLOOKUP(GroupVertices[[#This Row],[Vertex]],Vertices[],MATCH("ID",Vertices[[#Headers],[Vertex]:[Top Word Pairs in Content by Salience]],0),FALSE)</f>
        <v>33</v>
      </c>
    </row>
    <row r="97" spans="1:3" ht="15">
      <c r="A97" s="77" t="s">
        <v>1666</v>
      </c>
      <c r="B97" s="85" t="s">
        <v>378</v>
      </c>
      <c r="C97" s="76">
        <f>VLOOKUP(GroupVertices[[#This Row],[Vertex]],Vertices[],MATCH("ID",Vertices[[#Headers],[Vertex]:[Top Word Pairs in Content by Salience]],0),FALSE)</f>
        <v>191</v>
      </c>
    </row>
    <row r="98" spans="1:3" ht="15">
      <c r="A98" s="77" t="s">
        <v>1666</v>
      </c>
      <c r="B98" s="85" t="s">
        <v>441</v>
      </c>
      <c r="C98" s="76">
        <f>VLOOKUP(GroupVertices[[#This Row],[Vertex]],Vertices[],MATCH("ID",Vertices[[#Headers],[Vertex]:[Top Word Pairs in Content by Salience]],0),FALSE)</f>
        <v>193</v>
      </c>
    </row>
    <row r="99" spans="1:3" ht="15">
      <c r="A99" s="77" t="s">
        <v>1666</v>
      </c>
      <c r="B99" s="85" t="s">
        <v>440</v>
      </c>
      <c r="C99" s="76">
        <f>VLOOKUP(GroupVertices[[#This Row],[Vertex]],Vertices[],MATCH("ID",Vertices[[#Headers],[Vertex]:[Top Word Pairs in Content by Salience]],0),FALSE)</f>
        <v>192</v>
      </c>
    </row>
    <row r="100" spans="1:3" ht="15">
      <c r="A100" s="77" t="s">
        <v>1667</v>
      </c>
      <c r="B100" s="85" t="s">
        <v>372</v>
      </c>
      <c r="C100" s="76">
        <f>VLOOKUP(GroupVertices[[#This Row],[Vertex]],Vertices[],MATCH("ID",Vertices[[#Headers],[Vertex]:[Top Word Pairs in Content by Salience]],0),FALSE)</f>
        <v>183</v>
      </c>
    </row>
    <row r="101" spans="1:3" ht="15">
      <c r="A101" s="77" t="s">
        <v>1667</v>
      </c>
      <c r="B101" s="85" t="s">
        <v>439</v>
      </c>
      <c r="C101" s="76">
        <f>VLOOKUP(GroupVertices[[#This Row],[Vertex]],Vertices[],MATCH("ID",Vertices[[#Headers],[Vertex]:[Top Word Pairs in Content by Salience]],0),FALSE)</f>
        <v>185</v>
      </c>
    </row>
    <row r="102" spans="1:3" ht="15">
      <c r="A102" s="77" t="s">
        <v>1667</v>
      </c>
      <c r="B102" s="85" t="s">
        <v>438</v>
      </c>
      <c r="C102" s="76">
        <f>VLOOKUP(GroupVertices[[#This Row],[Vertex]],Vertices[],MATCH("ID",Vertices[[#Headers],[Vertex]:[Top Word Pairs in Content by Salience]],0),FALSE)</f>
        <v>184</v>
      </c>
    </row>
    <row r="103" spans="1:3" ht="15">
      <c r="A103" s="77" t="s">
        <v>1668</v>
      </c>
      <c r="B103" s="85" t="s">
        <v>370</v>
      </c>
      <c r="C103" s="76">
        <f>VLOOKUP(GroupVertices[[#This Row],[Vertex]],Vertices[],MATCH("ID",Vertices[[#Headers],[Vertex]:[Top Word Pairs in Content by Salience]],0),FALSE)</f>
        <v>180</v>
      </c>
    </row>
    <row r="104" spans="1:3" ht="15">
      <c r="A104" s="77" t="s">
        <v>1668</v>
      </c>
      <c r="B104" s="85" t="s">
        <v>369</v>
      </c>
      <c r="C104" s="76">
        <f>VLOOKUP(GroupVertices[[#This Row],[Vertex]],Vertices[],MATCH("ID",Vertices[[#Headers],[Vertex]:[Top Word Pairs in Content by Salience]],0),FALSE)</f>
        <v>175</v>
      </c>
    </row>
    <row r="105" spans="1:3" ht="15">
      <c r="A105" s="77" t="s">
        <v>1668</v>
      </c>
      <c r="B105" s="85" t="s">
        <v>366</v>
      </c>
      <c r="C105" s="76">
        <f>VLOOKUP(GroupVertices[[#This Row],[Vertex]],Vertices[],MATCH("ID",Vertices[[#Headers],[Vertex]:[Top Word Pairs in Content by Salience]],0),FALSE)</f>
        <v>174</v>
      </c>
    </row>
    <row r="106" spans="1:3" ht="15">
      <c r="A106" s="77" t="s">
        <v>1669</v>
      </c>
      <c r="B106" s="85" t="s">
        <v>346</v>
      </c>
      <c r="C106" s="76">
        <f>VLOOKUP(GroupVertices[[#This Row],[Vertex]],Vertices[],MATCH("ID",Vertices[[#Headers],[Vertex]:[Top Word Pairs in Content by Salience]],0),FALSE)</f>
        <v>149</v>
      </c>
    </row>
    <row r="107" spans="1:3" ht="15">
      <c r="A107" s="77" t="s">
        <v>1669</v>
      </c>
      <c r="B107" s="85" t="s">
        <v>345</v>
      </c>
      <c r="C107" s="76">
        <f>VLOOKUP(GroupVertices[[#This Row],[Vertex]],Vertices[],MATCH("ID",Vertices[[#Headers],[Vertex]:[Top Word Pairs in Content by Salience]],0),FALSE)</f>
        <v>148</v>
      </c>
    </row>
    <row r="108" spans="1:3" ht="15">
      <c r="A108" s="77" t="s">
        <v>1669</v>
      </c>
      <c r="B108" s="85" t="s">
        <v>344</v>
      </c>
      <c r="C108" s="76">
        <f>VLOOKUP(GroupVertices[[#This Row],[Vertex]],Vertices[],MATCH("ID",Vertices[[#Headers],[Vertex]:[Top Word Pairs in Content by Salience]],0),FALSE)</f>
        <v>147</v>
      </c>
    </row>
    <row r="109" spans="1:3" ht="15">
      <c r="A109" s="77" t="s">
        <v>1670</v>
      </c>
      <c r="B109" s="85" t="s">
        <v>343</v>
      </c>
      <c r="C109" s="76">
        <f>VLOOKUP(GroupVertices[[#This Row],[Vertex]],Vertices[],MATCH("ID",Vertices[[#Headers],[Vertex]:[Top Word Pairs in Content by Salience]],0),FALSE)</f>
        <v>146</v>
      </c>
    </row>
    <row r="110" spans="1:3" ht="15">
      <c r="A110" s="77" t="s">
        <v>1670</v>
      </c>
      <c r="B110" s="85" t="s">
        <v>342</v>
      </c>
      <c r="C110" s="76">
        <f>VLOOKUP(GroupVertices[[#This Row],[Vertex]],Vertices[],MATCH("ID",Vertices[[#Headers],[Vertex]:[Top Word Pairs in Content by Salience]],0),FALSE)</f>
        <v>104</v>
      </c>
    </row>
    <row r="111" spans="1:3" ht="15">
      <c r="A111" s="77" t="s">
        <v>1670</v>
      </c>
      <c r="B111" s="85" t="s">
        <v>316</v>
      </c>
      <c r="C111" s="76">
        <f>VLOOKUP(GroupVertices[[#This Row],[Vertex]],Vertices[],MATCH("ID",Vertices[[#Headers],[Vertex]:[Top Word Pairs in Content by Salience]],0),FALSE)</f>
        <v>103</v>
      </c>
    </row>
    <row r="112" spans="1:3" ht="15">
      <c r="A112" s="77" t="s">
        <v>1671</v>
      </c>
      <c r="B112" s="85" t="s">
        <v>317</v>
      </c>
      <c r="C112" s="76">
        <f>VLOOKUP(GroupVertices[[#This Row],[Vertex]],Vertices[],MATCH("ID",Vertices[[#Headers],[Vertex]:[Top Word Pairs in Content by Salience]],0),FALSE)</f>
        <v>105</v>
      </c>
    </row>
    <row r="113" spans="1:3" ht="15">
      <c r="A113" s="77" t="s">
        <v>1671</v>
      </c>
      <c r="B113" s="85" t="s">
        <v>413</v>
      </c>
      <c r="C113" s="76">
        <f>VLOOKUP(GroupVertices[[#This Row],[Vertex]],Vertices[],MATCH("ID",Vertices[[#Headers],[Vertex]:[Top Word Pairs in Content by Salience]],0),FALSE)</f>
        <v>107</v>
      </c>
    </row>
    <row r="114" spans="1:3" ht="15">
      <c r="A114" s="77" t="s">
        <v>1671</v>
      </c>
      <c r="B114" s="85" t="s">
        <v>412</v>
      </c>
      <c r="C114" s="76">
        <f>VLOOKUP(GroupVertices[[#This Row],[Vertex]],Vertices[],MATCH("ID",Vertices[[#Headers],[Vertex]:[Top Word Pairs in Content by Salience]],0),FALSE)</f>
        <v>106</v>
      </c>
    </row>
    <row r="115" spans="1:3" ht="15">
      <c r="A115" s="77" t="s">
        <v>1672</v>
      </c>
      <c r="B115" s="85" t="s">
        <v>305</v>
      </c>
      <c r="C115" s="76">
        <f>VLOOKUP(GroupVertices[[#This Row],[Vertex]],Vertices[],MATCH("ID",Vertices[[#Headers],[Vertex]:[Top Word Pairs in Content by Salience]],0),FALSE)</f>
        <v>88</v>
      </c>
    </row>
    <row r="116" spans="1:3" ht="15">
      <c r="A116" s="77" t="s">
        <v>1672</v>
      </c>
      <c r="B116" s="85" t="s">
        <v>304</v>
      </c>
      <c r="C116" s="76">
        <f>VLOOKUP(GroupVertices[[#This Row],[Vertex]],Vertices[],MATCH("ID",Vertices[[#Headers],[Vertex]:[Top Word Pairs in Content by Salience]],0),FALSE)</f>
        <v>78</v>
      </c>
    </row>
    <row r="117" spans="1:3" ht="15">
      <c r="A117" s="77" t="s">
        <v>1672</v>
      </c>
      <c r="B117" s="85" t="s">
        <v>295</v>
      </c>
      <c r="C117" s="76">
        <f>VLOOKUP(GroupVertices[[#This Row],[Vertex]],Vertices[],MATCH("ID",Vertices[[#Headers],[Vertex]:[Top Word Pairs in Content by Salience]],0),FALSE)</f>
        <v>77</v>
      </c>
    </row>
    <row r="118" spans="1:3" ht="15">
      <c r="A118" s="77" t="s">
        <v>1673</v>
      </c>
      <c r="B118" s="85" t="s">
        <v>381</v>
      </c>
      <c r="C118" s="76">
        <f>VLOOKUP(GroupVertices[[#This Row],[Vertex]],Vertices[],MATCH("ID",Vertices[[#Headers],[Vertex]:[Top Word Pairs in Content by Salience]],0),FALSE)</f>
        <v>198</v>
      </c>
    </row>
    <row r="119" spans="1:3" ht="15">
      <c r="A119" s="77" t="s">
        <v>1673</v>
      </c>
      <c r="B119" s="85" t="s">
        <v>444</v>
      </c>
      <c r="C119" s="76">
        <f>VLOOKUP(GroupVertices[[#This Row],[Vertex]],Vertices[],MATCH("ID",Vertices[[#Headers],[Vertex]:[Top Word Pairs in Content by Salience]],0),FALSE)</f>
        <v>199</v>
      </c>
    </row>
    <row r="120" spans="1:3" ht="15">
      <c r="A120" s="77" t="s">
        <v>1674</v>
      </c>
      <c r="B120" s="85" t="s">
        <v>376</v>
      </c>
      <c r="C120" s="76">
        <f>VLOOKUP(GroupVertices[[#This Row],[Vertex]],Vertices[],MATCH("ID",Vertices[[#Headers],[Vertex]:[Top Word Pairs in Content by Salience]],0),FALSE)</f>
        <v>189</v>
      </c>
    </row>
    <row r="121" spans="1:3" ht="15">
      <c r="A121" s="77" t="s">
        <v>1674</v>
      </c>
      <c r="B121" s="85" t="s">
        <v>375</v>
      </c>
      <c r="C121" s="76">
        <f>VLOOKUP(GroupVertices[[#This Row],[Vertex]],Vertices[],MATCH("ID",Vertices[[#Headers],[Vertex]:[Top Word Pairs in Content by Salience]],0),FALSE)</f>
        <v>188</v>
      </c>
    </row>
    <row r="122" spans="1:3" ht="15">
      <c r="A122" s="77" t="s">
        <v>1675</v>
      </c>
      <c r="B122" s="85" t="s">
        <v>371</v>
      </c>
      <c r="C122" s="76">
        <f>VLOOKUP(GroupVertices[[#This Row],[Vertex]],Vertices[],MATCH("ID",Vertices[[#Headers],[Vertex]:[Top Word Pairs in Content by Salience]],0),FALSE)</f>
        <v>181</v>
      </c>
    </row>
    <row r="123" spans="1:3" ht="15">
      <c r="A123" s="77" t="s">
        <v>1675</v>
      </c>
      <c r="B123" s="85" t="s">
        <v>437</v>
      </c>
      <c r="C123" s="76">
        <f>VLOOKUP(GroupVertices[[#This Row],[Vertex]],Vertices[],MATCH("ID",Vertices[[#Headers],[Vertex]:[Top Word Pairs in Content by Salience]],0),FALSE)</f>
        <v>182</v>
      </c>
    </row>
    <row r="124" spans="1:3" ht="15">
      <c r="A124" s="77" t="s">
        <v>1676</v>
      </c>
      <c r="B124" s="85" t="s">
        <v>368</v>
      </c>
      <c r="C124" s="76">
        <f>VLOOKUP(GroupVertices[[#This Row],[Vertex]],Vertices[],MATCH("ID",Vertices[[#Headers],[Vertex]:[Top Word Pairs in Content by Salience]],0),FALSE)</f>
        <v>178</v>
      </c>
    </row>
    <row r="125" spans="1:3" ht="15">
      <c r="A125" s="77" t="s">
        <v>1676</v>
      </c>
      <c r="B125" s="85" t="s">
        <v>436</v>
      </c>
      <c r="C125" s="76">
        <f>VLOOKUP(GroupVertices[[#This Row],[Vertex]],Vertices[],MATCH("ID",Vertices[[#Headers],[Vertex]:[Top Word Pairs in Content by Salience]],0),FALSE)</f>
        <v>179</v>
      </c>
    </row>
    <row r="126" spans="1:3" ht="15">
      <c r="A126" s="77" t="s">
        <v>1677</v>
      </c>
      <c r="B126" s="85" t="s">
        <v>367</v>
      </c>
      <c r="C126" s="76">
        <f>VLOOKUP(GroupVertices[[#This Row],[Vertex]],Vertices[],MATCH("ID",Vertices[[#Headers],[Vertex]:[Top Word Pairs in Content by Salience]],0),FALSE)</f>
        <v>176</v>
      </c>
    </row>
    <row r="127" spans="1:3" ht="15">
      <c r="A127" s="77" t="s">
        <v>1677</v>
      </c>
      <c r="B127" s="85" t="s">
        <v>435</v>
      </c>
      <c r="C127" s="76">
        <f>VLOOKUP(GroupVertices[[#This Row],[Vertex]],Vertices[],MATCH("ID",Vertices[[#Headers],[Vertex]:[Top Word Pairs in Content by Salience]],0),FALSE)</f>
        <v>177</v>
      </c>
    </row>
    <row r="128" spans="1:3" ht="15">
      <c r="A128" s="77" t="s">
        <v>1678</v>
      </c>
      <c r="B128" s="85" t="s">
        <v>364</v>
      </c>
      <c r="C128" s="76">
        <f>VLOOKUP(GroupVertices[[#This Row],[Vertex]],Vertices[],MATCH("ID",Vertices[[#Headers],[Vertex]:[Top Word Pairs in Content by Salience]],0),FALSE)</f>
        <v>171</v>
      </c>
    </row>
    <row r="129" spans="1:3" ht="15">
      <c r="A129" s="77" t="s">
        <v>1678</v>
      </c>
      <c r="B129" s="85" t="s">
        <v>434</v>
      </c>
      <c r="C129" s="76">
        <f>VLOOKUP(GroupVertices[[#This Row],[Vertex]],Vertices[],MATCH("ID",Vertices[[#Headers],[Vertex]:[Top Word Pairs in Content by Salience]],0),FALSE)</f>
        <v>172</v>
      </c>
    </row>
    <row r="130" spans="1:3" ht="15">
      <c r="A130" s="77" t="s">
        <v>1679</v>
      </c>
      <c r="B130" s="85" t="s">
        <v>362</v>
      </c>
      <c r="C130" s="76">
        <f>VLOOKUP(GroupVertices[[#This Row],[Vertex]],Vertices[],MATCH("ID",Vertices[[#Headers],[Vertex]:[Top Word Pairs in Content by Salience]],0),FALSE)</f>
        <v>169</v>
      </c>
    </row>
    <row r="131" spans="1:3" ht="15">
      <c r="A131" s="77" t="s">
        <v>1679</v>
      </c>
      <c r="B131" s="85" t="s">
        <v>361</v>
      </c>
      <c r="C131" s="76">
        <f>VLOOKUP(GroupVertices[[#This Row],[Vertex]],Vertices[],MATCH("ID",Vertices[[#Headers],[Vertex]:[Top Word Pairs in Content by Salience]],0),FALSE)</f>
        <v>168</v>
      </c>
    </row>
    <row r="132" spans="1:3" ht="15">
      <c r="A132" s="77" t="s">
        <v>1680</v>
      </c>
      <c r="B132" s="85" t="s">
        <v>360</v>
      </c>
      <c r="C132" s="76">
        <f>VLOOKUP(GroupVertices[[#This Row],[Vertex]],Vertices[],MATCH("ID",Vertices[[#Headers],[Vertex]:[Top Word Pairs in Content by Salience]],0),FALSE)</f>
        <v>166</v>
      </c>
    </row>
    <row r="133" spans="1:3" ht="15">
      <c r="A133" s="77" t="s">
        <v>1680</v>
      </c>
      <c r="B133" s="85" t="s">
        <v>433</v>
      </c>
      <c r="C133" s="76">
        <f>VLOOKUP(GroupVertices[[#This Row],[Vertex]],Vertices[],MATCH("ID",Vertices[[#Headers],[Vertex]:[Top Word Pairs in Content by Salience]],0),FALSE)</f>
        <v>167</v>
      </c>
    </row>
    <row r="134" spans="1:3" ht="15">
      <c r="A134" s="77" t="s">
        <v>1681</v>
      </c>
      <c r="B134" s="85" t="s">
        <v>353</v>
      </c>
      <c r="C134" s="76">
        <f>VLOOKUP(GroupVertices[[#This Row],[Vertex]],Vertices[],MATCH("ID",Vertices[[#Headers],[Vertex]:[Top Word Pairs in Content by Salience]],0),FALSE)</f>
        <v>155</v>
      </c>
    </row>
    <row r="135" spans="1:3" ht="15">
      <c r="A135" s="77" t="s">
        <v>1681</v>
      </c>
      <c r="B135" s="85" t="s">
        <v>429</v>
      </c>
      <c r="C135" s="76">
        <f>VLOOKUP(GroupVertices[[#This Row],[Vertex]],Vertices[],MATCH("ID",Vertices[[#Headers],[Vertex]:[Top Word Pairs in Content by Salience]],0),FALSE)</f>
        <v>156</v>
      </c>
    </row>
    <row r="136" spans="1:3" ht="15">
      <c r="A136" s="77" t="s">
        <v>1682</v>
      </c>
      <c r="B136" s="85" t="s">
        <v>352</v>
      </c>
      <c r="C136" s="76">
        <f>VLOOKUP(GroupVertices[[#This Row],[Vertex]],Vertices[],MATCH("ID",Vertices[[#Headers],[Vertex]:[Top Word Pairs in Content by Salience]],0),FALSE)</f>
        <v>154</v>
      </c>
    </row>
    <row r="137" spans="1:3" ht="15">
      <c r="A137" s="77" t="s">
        <v>1682</v>
      </c>
      <c r="B137" s="85" t="s">
        <v>351</v>
      </c>
      <c r="C137" s="76">
        <f>VLOOKUP(GroupVertices[[#This Row],[Vertex]],Vertices[],MATCH("ID",Vertices[[#Headers],[Vertex]:[Top Word Pairs in Content by Salience]],0),FALSE)</f>
        <v>153</v>
      </c>
    </row>
    <row r="138" spans="1:3" ht="15">
      <c r="A138" s="77" t="s">
        <v>1683</v>
      </c>
      <c r="B138" s="85" t="s">
        <v>339</v>
      </c>
      <c r="C138" s="76">
        <f>VLOOKUP(GroupVertices[[#This Row],[Vertex]],Vertices[],MATCH("ID",Vertices[[#Headers],[Vertex]:[Top Word Pairs in Content by Salience]],0),FALSE)</f>
        <v>143</v>
      </c>
    </row>
    <row r="139" spans="1:3" ht="15">
      <c r="A139" s="77" t="s">
        <v>1683</v>
      </c>
      <c r="B139" s="85" t="s">
        <v>338</v>
      </c>
      <c r="C139" s="76">
        <f>VLOOKUP(GroupVertices[[#This Row],[Vertex]],Vertices[],MATCH("ID",Vertices[[#Headers],[Vertex]:[Top Word Pairs in Content by Salience]],0),FALSE)</f>
        <v>142</v>
      </c>
    </row>
    <row r="140" spans="1:3" ht="15">
      <c r="A140" s="77" t="s">
        <v>1684</v>
      </c>
      <c r="B140" s="85" t="s">
        <v>334</v>
      </c>
      <c r="C140" s="76">
        <f>VLOOKUP(GroupVertices[[#This Row],[Vertex]],Vertices[],MATCH("ID",Vertices[[#Headers],[Vertex]:[Top Word Pairs in Content by Salience]],0),FALSE)</f>
        <v>138</v>
      </c>
    </row>
    <row r="141" spans="1:3" ht="15">
      <c r="A141" s="77" t="s">
        <v>1684</v>
      </c>
      <c r="B141" s="85" t="s">
        <v>333</v>
      </c>
      <c r="C141" s="76">
        <f>VLOOKUP(GroupVertices[[#This Row],[Vertex]],Vertices[],MATCH("ID",Vertices[[#Headers],[Vertex]:[Top Word Pairs in Content by Salience]],0),FALSE)</f>
        <v>137</v>
      </c>
    </row>
    <row r="142" spans="1:3" ht="15">
      <c r="A142" s="77" t="s">
        <v>1685</v>
      </c>
      <c r="B142" s="85" t="s">
        <v>324</v>
      </c>
      <c r="C142" s="76">
        <f>VLOOKUP(GroupVertices[[#This Row],[Vertex]],Vertices[],MATCH("ID",Vertices[[#Headers],[Vertex]:[Top Word Pairs in Content by Salience]],0),FALSE)</f>
        <v>126</v>
      </c>
    </row>
    <row r="143" spans="1:3" ht="15">
      <c r="A143" s="77" t="s">
        <v>1685</v>
      </c>
      <c r="B143" s="85" t="s">
        <v>426</v>
      </c>
      <c r="C143" s="76">
        <f>VLOOKUP(GroupVertices[[#This Row],[Vertex]],Vertices[],MATCH("ID",Vertices[[#Headers],[Vertex]:[Top Word Pairs in Content by Salience]],0),FALSE)</f>
        <v>127</v>
      </c>
    </row>
    <row r="144" spans="1:3" ht="15">
      <c r="A144" s="77" t="s">
        <v>1686</v>
      </c>
      <c r="B144" s="85" t="s">
        <v>319</v>
      </c>
      <c r="C144" s="76">
        <f>VLOOKUP(GroupVertices[[#This Row],[Vertex]],Vertices[],MATCH("ID",Vertices[[#Headers],[Vertex]:[Top Word Pairs in Content by Salience]],0),FALSE)</f>
        <v>109</v>
      </c>
    </row>
    <row r="145" spans="1:3" ht="15">
      <c r="A145" s="77" t="s">
        <v>1686</v>
      </c>
      <c r="B145" s="85" t="s">
        <v>414</v>
      </c>
      <c r="C145" s="76">
        <f>VLOOKUP(GroupVertices[[#This Row],[Vertex]],Vertices[],MATCH("ID",Vertices[[#Headers],[Vertex]:[Top Word Pairs in Content by Salience]],0),FALSE)</f>
        <v>110</v>
      </c>
    </row>
    <row r="146" spans="1:3" ht="15">
      <c r="A146" s="77" t="s">
        <v>1687</v>
      </c>
      <c r="B146" s="85" t="s">
        <v>310</v>
      </c>
      <c r="C146" s="76">
        <f>VLOOKUP(GroupVertices[[#This Row],[Vertex]],Vertices[],MATCH("ID",Vertices[[#Headers],[Vertex]:[Top Word Pairs in Content by Salience]],0),FALSE)</f>
        <v>96</v>
      </c>
    </row>
    <row r="147" spans="1:3" ht="15">
      <c r="A147" s="77" t="s">
        <v>1687</v>
      </c>
      <c r="B147" s="85" t="s">
        <v>411</v>
      </c>
      <c r="C147" s="76">
        <f>VLOOKUP(GroupVertices[[#This Row],[Vertex]],Vertices[],MATCH("ID",Vertices[[#Headers],[Vertex]:[Top Word Pairs in Content by Salience]],0),FALSE)</f>
        <v>97</v>
      </c>
    </row>
    <row r="148" spans="1:3" ht="15">
      <c r="A148" s="77" t="s">
        <v>1688</v>
      </c>
      <c r="B148" s="85" t="s">
        <v>308</v>
      </c>
      <c r="C148" s="76">
        <f>VLOOKUP(GroupVertices[[#This Row],[Vertex]],Vertices[],MATCH("ID",Vertices[[#Headers],[Vertex]:[Top Word Pairs in Content by Salience]],0),FALSE)</f>
        <v>94</v>
      </c>
    </row>
    <row r="149" spans="1:3" ht="15">
      <c r="A149" s="77" t="s">
        <v>1688</v>
      </c>
      <c r="B149" s="85" t="s">
        <v>307</v>
      </c>
      <c r="C149" s="76">
        <f>VLOOKUP(GroupVertices[[#This Row],[Vertex]],Vertices[],MATCH("ID",Vertices[[#Headers],[Vertex]:[Top Word Pairs in Content by Salience]],0),FALSE)</f>
        <v>93</v>
      </c>
    </row>
    <row r="150" spans="1:3" ht="15">
      <c r="A150" s="77" t="s">
        <v>1689</v>
      </c>
      <c r="B150" s="85" t="s">
        <v>302</v>
      </c>
      <c r="C150" s="76">
        <f>VLOOKUP(GroupVertices[[#This Row],[Vertex]],Vertices[],MATCH("ID",Vertices[[#Headers],[Vertex]:[Top Word Pairs in Content by Salience]],0),FALSE)</f>
        <v>85</v>
      </c>
    </row>
    <row r="151" spans="1:3" ht="15">
      <c r="A151" s="77" t="s">
        <v>1689</v>
      </c>
      <c r="B151" s="85" t="s">
        <v>301</v>
      </c>
      <c r="C151" s="76">
        <f>VLOOKUP(GroupVertices[[#This Row],[Vertex]],Vertices[],MATCH("ID",Vertices[[#Headers],[Vertex]:[Top Word Pairs in Content by Salience]],0),FALSE)</f>
        <v>84</v>
      </c>
    </row>
    <row r="152" spans="1:3" ht="15">
      <c r="A152" s="77" t="s">
        <v>1690</v>
      </c>
      <c r="B152" s="85" t="s">
        <v>298</v>
      </c>
      <c r="C152" s="76">
        <f>VLOOKUP(GroupVertices[[#This Row],[Vertex]],Vertices[],MATCH("ID",Vertices[[#Headers],[Vertex]:[Top Word Pairs in Content by Salience]],0),FALSE)</f>
        <v>81</v>
      </c>
    </row>
    <row r="153" spans="1:3" ht="15">
      <c r="A153" s="77" t="s">
        <v>1690</v>
      </c>
      <c r="B153" s="85" t="s">
        <v>407</v>
      </c>
      <c r="C153" s="76">
        <f>VLOOKUP(GroupVertices[[#This Row],[Vertex]],Vertices[],MATCH("ID",Vertices[[#Headers],[Vertex]:[Top Word Pairs in Content by Salience]],0),FALSE)</f>
        <v>82</v>
      </c>
    </row>
    <row r="154" spans="1:3" ht="15">
      <c r="A154" s="77" t="s">
        <v>1691</v>
      </c>
      <c r="B154" s="85" t="s">
        <v>297</v>
      </c>
      <c r="C154" s="76">
        <f>VLOOKUP(GroupVertices[[#This Row],[Vertex]],Vertices[],MATCH("ID",Vertices[[#Headers],[Vertex]:[Top Word Pairs in Content by Salience]],0),FALSE)</f>
        <v>80</v>
      </c>
    </row>
    <row r="155" spans="1:3" ht="15">
      <c r="A155" s="77" t="s">
        <v>1691</v>
      </c>
      <c r="B155" s="85" t="s">
        <v>296</v>
      </c>
      <c r="C155" s="76">
        <f>VLOOKUP(GroupVertices[[#This Row],[Vertex]],Vertices[],MATCH("ID",Vertices[[#Headers],[Vertex]:[Top Word Pairs in Content by Salience]],0),FALSE)</f>
        <v>79</v>
      </c>
    </row>
    <row r="156" spans="1:3" ht="15">
      <c r="A156" s="77" t="s">
        <v>1692</v>
      </c>
      <c r="B156" s="85" t="s">
        <v>291</v>
      </c>
      <c r="C156" s="76">
        <f>VLOOKUP(GroupVertices[[#This Row],[Vertex]],Vertices[],MATCH("ID",Vertices[[#Headers],[Vertex]:[Top Word Pairs in Content by Salience]],0),FALSE)</f>
        <v>71</v>
      </c>
    </row>
    <row r="157" spans="1:3" ht="15">
      <c r="A157" s="77" t="s">
        <v>1692</v>
      </c>
      <c r="B157" s="85" t="s">
        <v>405</v>
      </c>
      <c r="C157" s="76">
        <f>VLOOKUP(GroupVertices[[#This Row],[Vertex]],Vertices[],MATCH("ID",Vertices[[#Headers],[Vertex]:[Top Word Pairs in Content by Salience]],0),FALSE)</f>
        <v>72</v>
      </c>
    </row>
    <row r="158" spans="1:3" ht="15">
      <c r="A158" s="77" t="s">
        <v>1693</v>
      </c>
      <c r="B158" s="85" t="s">
        <v>290</v>
      </c>
      <c r="C158" s="76">
        <f>VLOOKUP(GroupVertices[[#This Row],[Vertex]],Vertices[],MATCH("ID",Vertices[[#Headers],[Vertex]:[Top Word Pairs in Content by Salience]],0),FALSE)</f>
        <v>69</v>
      </c>
    </row>
    <row r="159" spans="1:3" ht="15">
      <c r="A159" s="77" t="s">
        <v>1693</v>
      </c>
      <c r="B159" s="85" t="s">
        <v>404</v>
      </c>
      <c r="C159" s="76">
        <f>VLOOKUP(GroupVertices[[#This Row],[Vertex]],Vertices[],MATCH("ID",Vertices[[#Headers],[Vertex]:[Top Word Pairs in Content by Salience]],0),FALSE)</f>
        <v>70</v>
      </c>
    </row>
    <row r="160" spans="1:3" ht="15">
      <c r="A160" s="77" t="s">
        <v>1694</v>
      </c>
      <c r="B160" s="85" t="s">
        <v>270</v>
      </c>
      <c r="C160" s="76">
        <f>VLOOKUP(GroupVertices[[#This Row],[Vertex]],Vertices[],MATCH("ID",Vertices[[#Headers],[Vertex]:[Top Word Pairs in Content by Salience]],0),FALSE)</f>
        <v>38</v>
      </c>
    </row>
    <row r="161" spans="1:3" ht="15">
      <c r="A161" s="77" t="s">
        <v>1694</v>
      </c>
      <c r="B161" s="85" t="s">
        <v>269</v>
      </c>
      <c r="C161" s="76">
        <f>VLOOKUP(GroupVertices[[#This Row],[Vertex]],Vertices[],MATCH("ID",Vertices[[#Headers],[Vertex]:[Top Word Pairs in Content by Salience]],0),FALSE)</f>
        <v>37</v>
      </c>
    </row>
    <row r="162" spans="1:3" ht="15">
      <c r="A162" s="77" t="s">
        <v>1695</v>
      </c>
      <c r="B162" s="85" t="s">
        <v>254</v>
      </c>
      <c r="C162" s="76">
        <f>VLOOKUP(GroupVertices[[#This Row],[Vertex]],Vertices[],MATCH("ID",Vertices[[#Headers],[Vertex]:[Top Word Pairs in Content by Salience]],0),FALSE)</f>
        <v>18</v>
      </c>
    </row>
    <row r="163" spans="1:3" ht="15">
      <c r="A163" s="77" t="s">
        <v>1695</v>
      </c>
      <c r="B163" s="85" t="s">
        <v>390</v>
      </c>
      <c r="C163" s="76">
        <f>VLOOKUP(GroupVertices[[#This Row],[Vertex]],Vertices[],MATCH("ID",Vertices[[#Headers],[Vertex]:[Top Word Pairs in Content by Salience]],0),FALSE)</f>
        <v>19</v>
      </c>
    </row>
    <row r="164" spans="1:3" ht="15">
      <c r="A164" s="77" t="s">
        <v>1696</v>
      </c>
      <c r="B164" s="85" t="s">
        <v>251</v>
      </c>
      <c r="C164" s="76">
        <f>VLOOKUP(GroupVertices[[#This Row],[Vertex]],Vertices[],MATCH("ID",Vertices[[#Headers],[Vertex]:[Top Word Pairs in Content by Salience]],0),FALSE)</f>
        <v>14</v>
      </c>
    </row>
    <row r="165" spans="1:3" ht="15">
      <c r="A165" s="77" t="s">
        <v>1696</v>
      </c>
      <c r="B165" s="85" t="s">
        <v>389</v>
      </c>
      <c r="C165" s="76">
        <f>VLOOKUP(GroupVertices[[#This Row],[Vertex]],Vertices[],MATCH("ID",Vertices[[#Headers],[Vertex]:[Top Word Pairs in Content by Salience]],0),FALSE)</f>
        <v>15</v>
      </c>
    </row>
    <row r="166" spans="1:3" ht="15">
      <c r="A166" s="77" t="s">
        <v>1697</v>
      </c>
      <c r="B166" s="85" t="s">
        <v>384</v>
      </c>
      <c r="C166" s="76">
        <f>VLOOKUP(GroupVertices[[#This Row],[Vertex]],Vertices[],MATCH("ID",Vertices[[#Headers],[Vertex]:[Top Word Pairs in Content by Salience]],0),FALSE)</f>
        <v>202</v>
      </c>
    </row>
    <row r="167" spans="1:3" ht="15">
      <c r="A167" s="77" t="s">
        <v>1698</v>
      </c>
      <c r="B167" s="85" t="s">
        <v>383</v>
      </c>
      <c r="C167" s="76">
        <f>VLOOKUP(GroupVertices[[#This Row],[Vertex]],Vertices[],MATCH("ID",Vertices[[#Headers],[Vertex]:[Top Word Pairs in Content by Salience]],0),FALSE)</f>
        <v>201</v>
      </c>
    </row>
    <row r="168" spans="1:3" ht="15">
      <c r="A168" s="77" t="s">
        <v>1699</v>
      </c>
      <c r="B168" s="85" t="s">
        <v>380</v>
      </c>
      <c r="C168" s="76">
        <f>VLOOKUP(GroupVertices[[#This Row],[Vertex]],Vertices[],MATCH("ID",Vertices[[#Headers],[Vertex]:[Top Word Pairs in Content by Salience]],0),FALSE)</f>
        <v>197</v>
      </c>
    </row>
    <row r="169" spans="1:3" ht="15">
      <c r="A169" s="77" t="s">
        <v>1700</v>
      </c>
      <c r="B169" s="85" t="s">
        <v>377</v>
      </c>
      <c r="C169" s="76">
        <f>VLOOKUP(GroupVertices[[#This Row],[Vertex]],Vertices[],MATCH("ID",Vertices[[#Headers],[Vertex]:[Top Word Pairs in Content by Salience]],0),FALSE)</f>
        <v>190</v>
      </c>
    </row>
    <row r="170" spans="1:3" ht="15">
      <c r="A170" s="77" t="s">
        <v>1701</v>
      </c>
      <c r="B170" s="85" t="s">
        <v>373</v>
      </c>
      <c r="C170" s="76">
        <f>VLOOKUP(GroupVertices[[#This Row],[Vertex]],Vertices[],MATCH("ID",Vertices[[#Headers],[Vertex]:[Top Word Pairs in Content by Salience]],0),FALSE)</f>
        <v>186</v>
      </c>
    </row>
    <row r="171" spans="1:3" ht="15">
      <c r="A171" s="77" t="s">
        <v>1702</v>
      </c>
      <c r="B171" s="85" t="s">
        <v>365</v>
      </c>
      <c r="C171" s="76">
        <f>VLOOKUP(GroupVertices[[#This Row],[Vertex]],Vertices[],MATCH("ID",Vertices[[#Headers],[Vertex]:[Top Word Pairs in Content by Salience]],0),FALSE)</f>
        <v>173</v>
      </c>
    </row>
    <row r="172" spans="1:3" ht="15">
      <c r="A172" s="77" t="s">
        <v>1703</v>
      </c>
      <c r="B172" s="85" t="s">
        <v>363</v>
      </c>
      <c r="C172" s="76">
        <f>VLOOKUP(GroupVertices[[#This Row],[Vertex]],Vertices[],MATCH("ID",Vertices[[#Headers],[Vertex]:[Top Word Pairs in Content by Salience]],0),FALSE)</f>
        <v>170</v>
      </c>
    </row>
    <row r="173" spans="1:3" ht="15">
      <c r="A173" s="77" t="s">
        <v>1704</v>
      </c>
      <c r="B173" s="85" t="s">
        <v>359</v>
      </c>
      <c r="C173" s="76">
        <f>VLOOKUP(GroupVertices[[#This Row],[Vertex]],Vertices[],MATCH("ID",Vertices[[#Headers],[Vertex]:[Top Word Pairs in Content by Salience]],0),FALSE)</f>
        <v>165</v>
      </c>
    </row>
    <row r="174" spans="1:3" ht="15">
      <c r="A174" s="77" t="s">
        <v>1705</v>
      </c>
      <c r="B174" s="85" t="s">
        <v>357</v>
      </c>
      <c r="C174" s="76">
        <f>VLOOKUP(GroupVertices[[#This Row],[Vertex]],Vertices[],MATCH("ID",Vertices[[#Headers],[Vertex]:[Top Word Pairs in Content by Salience]],0),FALSE)</f>
        <v>160</v>
      </c>
    </row>
    <row r="175" spans="1:3" ht="15">
      <c r="A175" s="77" t="s">
        <v>1706</v>
      </c>
      <c r="B175" s="85" t="s">
        <v>356</v>
      </c>
      <c r="C175" s="76">
        <f>VLOOKUP(GroupVertices[[#This Row],[Vertex]],Vertices[],MATCH("ID",Vertices[[#Headers],[Vertex]:[Top Word Pairs in Content by Salience]],0),FALSE)</f>
        <v>159</v>
      </c>
    </row>
    <row r="176" spans="1:3" ht="15">
      <c r="A176" s="77" t="s">
        <v>1707</v>
      </c>
      <c r="B176" s="85" t="s">
        <v>355</v>
      </c>
      <c r="C176" s="76">
        <f>VLOOKUP(GroupVertices[[#This Row],[Vertex]],Vertices[],MATCH("ID",Vertices[[#Headers],[Vertex]:[Top Word Pairs in Content by Salience]],0),FALSE)</f>
        <v>158</v>
      </c>
    </row>
    <row r="177" spans="1:3" ht="15">
      <c r="A177" s="77" t="s">
        <v>1708</v>
      </c>
      <c r="B177" s="85" t="s">
        <v>354</v>
      </c>
      <c r="C177" s="76">
        <f>VLOOKUP(GroupVertices[[#This Row],[Vertex]],Vertices[],MATCH("ID",Vertices[[#Headers],[Vertex]:[Top Word Pairs in Content by Salience]],0),FALSE)</f>
        <v>157</v>
      </c>
    </row>
    <row r="178" spans="1:3" ht="15">
      <c r="A178" s="77" t="s">
        <v>1709</v>
      </c>
      <c r="B178" s="85" t="s">
        <v>348</v>
      </c>
      <c r="C178" s="76">
        <f>VLOOKUP(GroupVertices[[#This Row],[Vertex]],Vertices[],MATCH("ID",Vertices[[#Headers],[Vertex]:[Top Word Pairs in Content by Salience]],0),FALSE)</f>
        <v>151</v>
      </c>
    </row>
    <row r="179" spans="1:3" ht="15">
      <c r="A179" s="77" t="s">
        <v>1710</v>
      </c>
      <c r="B179" s="85" t="s">
        <v>341</v>
      </c>
      <c r="C179" s="76">
        <f>VLOOKUP(GroupVertices[[#This Row],[Vertex]],Vertices[],MATCH("ID",Vertices[[#Headers],[Vertex]:[Top Word Pairs in Content by Salience]],0),FALSE)</f>
        <v>145</v>
      </c>
    </row>
    <row r="180" spans="1:3" ht="15">
      <c r="A180" s="77" t="s">
        <v>1711</v>
      </c>
      <c r="B180" s="85" t="s">
        <v>340</v>
      </c>
      <c r="C180" s="76">
        <f>VLOOKUP(GroupVertices[[#This Row],[Vertex]],Vertices[],MATCH("ID",Vertices[[#Headers],[Vertex]:[Top Word Pairs in Content by Salience]],0),FALSE)</f>
        <v>144</v>
      </c>
    </row>
    <row r="181" spans="1:3" ht="15">
      <c r="A181" s="77" t="s">
        <v>1712</v>
      </c>
      <c r="B181" s="85" t="s">
        <v>337</v>
      </c>
      <c r="C181" s="76">
        <f>VLOOKUP(GroupVertices[[#This Row],[Vertex]],Vertices[],MATCH("ID",Vertices[[#Headers],[Vertex]:[Top Word Pairs in Content by Salience]],0),FALSE)</f>
        <v>141</v>
      </c>
    </row>
    <row r="182" spans="1:3" ht="15">
      <c r="A182" s="77" t="s">
        <v>1713</v>
      </c>
      <c r="B182" s="85" t="s">
        <v>336</v>
      </c>
      <c r="C182" s="76">
        <f>VLOOKUP(GroupVertices[[#This Row],[Vertex]],Vertices[],MATCH("ID",Vertices[[#Headers],[Vertex]:[Top Word Pairs in Content by Salience]],0),FALSE)</f>
        <v>140</v>
      </c>
    </row>
    <row r="183" spans="1:3" ht="15">
      <c r="A183" s="77" t="s">
        <v>1714</v>
      </c>
      <c r="B183" s="85" t="s">
        <v>335</v>
      </c>
      <c r="C183" s="76">
        <f>VLOOKUP(GroupVertices[[#This Row],[Vertex]],Vertices[],MATCH("ID",Vertices[[#Headers],[Vertex]:[Top Word Pairs in Content by Salience]],0),FALSE)</f>
        <v>139</v>
      </c>
    </row>
    <row r="184" spans="1:3" ht="15">
      <c r="A184" s="77" t="s">
        <v>1715</v>
      </c>
      <c r="B184" s="85" t="s">
        <v>332</v>
      </c>
      <c r="C184" s="76">
        <f>VLOOKUP(GroupVertices[[#This Row],[Vertex]],Vertices[],MATCH("ID",Vertices[[#Headers],[Vertex]:[Top Word Pairs in Content by Salience]],0),FALSE)</f>
        <v>136</v>
      </c>
    </row>
    <row r="185" spans="1:3" ht="15">
      <c r="A185" s="77" t="s">
        <v>1716</v>
      </c>
      <c r="B185" s="85" t="s">
        <v>331</v>
      </c>
      <c r="C185" s="76">
        <f>VLOOKUP(GroupVertices[[#This Row],[Vertex]],Vertices[],MATCH("ID",Vertices[[#Headers],[Vertex]:[Top Word Pairs in Content by Salience]],0),FALSE)</f>
        <v>135</v>
      </c>
    </row>
    <row r="186" spans="1:3" ht="15">
      <c r="A186" s="77" t="s">
        <v>1717</v>
      </c>
      <c r="B186" s="85" t="s">
        <v>330</v>
      </c>
      <c r="C186" s="76">
        <f>VLOOKUP(GroupVertices[[#This Row],[Vertex]],Vertices[],MATCH("ID",Vertices[[#Headers],[Vertex]:[Top Word Pairs in Content by Salience]],0),FALSE)</f>
        <v>134</v>
      </c>
    </row>
    <row r="187" spans="1:3" ht="15">
      <c r="A187" s="77" t="s">
        <v>1718</v>
      </c>
      <c r="B187" s="85" t="s">
        <v>329</v>
      </c>
      <c r="C187" s="76">
        <f>VLOOKUP(GroupVertices[[#This Row],[Vertex]],Vertices[],MATCH("ID",Vertices[[#Headers],[Vertex]:[Top Word Pairs in Content by Salience]],0),FALSE)</f>
        <v>133</v>
      </c>
    </row>
    <row r="188" spans="1:3" ht="15">
      <c r="A188" s="77" t="s">
        <v>1719</v>
      </c>
      <c r="B188" s="85" t="s">
        <v>328</v>
      </c>
      <c r="C188" s="76">
        <f>VLOOKUP(GroupVertices[[#This Row],[Vertex]],Vertices[],MATCH("ID",Vertices[[#Headers],[Vertex]:[Top Word Pairs in Content by Salience]],0),FALSE)</f>
        <v>132</v>
      </c>
    </row>
    <row r="189" spans="1:3" ht="15">
      <c r="A189" s="77" t="s">
        <v>1720</v>
      </c>
      <c r="B189" s="85" t="s">
        <v>321</v>
      </c>
      <c r="C189" s="76">
        <f>VLOOKUP(GroupVertices[[#This Row],[Vertex]],Vertices[],MATCH("ID",Vertices[[#Headers],[Vertex]:[Top Word Pairs in Content by Salience]],0),FALSE)</f>
        <v>112</v>
      </c>
    </row>
    <row r="190" spans="1:3" ht="15">
      <c r="A190" s="77" t="s">
        <v>1721</v>
      </c>
      <c r="B190" s="85" t="s">
        <v>320</v>
      </c>
      <c r="C190" s="76">
        <f>VLOOKUP(GroupVertices[[#This Row],[Vertex]],Vertices[],MATCH("ID",Vertices[[#Headers],[Vertex]:[Top Word Pairs in Content by Salience]],0),FALSE)</f>
        <v>111</v>
      </c>
    </row>
    <row r="191" spans="1:3" ht="15">
      <c r="A191" s="77" t="s">
        <v>1722</v>
      </c>
      <c r="B191" s="85" t="s">
        <v>318</v>
      </c>
      <c r="C191" s="76">
        <f>VLOOKUP(GroupVertices[[#This Row],[Vertex]],Vertices[],MATCH("ID",Vertices[[#Headers],[Vertex]:[Top Word Pairs in Content by Salience]],0),FALSE)</f>
        <v>108</v>
      </c>
    </row>
    <row r="192" spans="1:3" ht="15">
      <c r="A192" s="77" t="s">
        <v>1723</v>
      </c>
      <c r="B192" s="85" t="s">
        <v>312</v>
      </c>
      <c r="C192" s="76">
        <f>VLOOKUP(GroupVertices[[#This Row],[Vertex]],Vertices[],MATCH("ID",Vertices[[#Headers],[Vertex]:[Top Word Pairs in Content by Salience]],0),FALSE)</f>
        <v>99</v>
      </c>
    </row>
    <row r="193" spans="1:3" ht="15">
      <c r="A193" s="77" t="s">
        <v>1724</v>
      </c>
      <c r="B193" s="85" t="s">
        <v>311</v>
      </c>
      <c r="C193" s="76">
        <f>VLOOKUP(GroupVertices[[#This Row],[Vertex]],Vertices[],MATCH("ID",Vertices[[#Headers],[Vertex]:[Top Word Pairs in Content by Salience]],0),FALSE)</f>
        <v>98</v>
      </c>
    </row>
    <row r="194" spans="1:3" ht="15">
      <c r="A194" s="77" t="s">
        <v>1725</v>
      </c>
      <c r="B194" s="85" t="s">
        <v>309</v>
      </c>
      <c r="C194" s="76">
        <f>VLOOKUP(GroupVertices[[#This Row],[Vertex]],Vertices[],MATCH("ID",Vertices[[#Headers],[Vertex]:[Top Word Pairs in Content by Salience]],0),FALSE)</f>
        <v>95</v>
      </c>
    </row>
    <row r="195" spans="1:3" ht="15">
      <c r="A195" s="77" t="s">
        <v>1726</v>
      </c>
      <c r="B195" s="85" t="s">
        <v>300</v>
      </c>
      <c r="C195" s="76">
        <f>VLOOKUP(GroupVertices[[#This Row],[Vertex]],Vertices[],MATCH("ID",Vertices[[#Headers],[Vertex]:[Top Word Pairs in Content by Salience]],0),FALSE)</f>
        <v>83</v>
      </c>
    </row>
    <row r="196" spans="1:3" ht="15">
      <c r="A196" s="77" t="s">
        <v>1727</v>
      </c>
      <c r="B196" s="85" t="s">
        <v>294</v>
      </c>
      <c r="C196" s="76">
        <f>VLOOKUP(GroupVertices[[#This Row],[Vertex]],Vertices[],MATCH("ID",Vertices[[#Headers],[Vertex]:[Top Word Pairs in Content by Salience]],0),FALSE)</f>
        <v>76</v>
      </c>
    </row>
    <row r="197" spans="1:3" ht="15">
      <c r="A197" s="77" t="s">
        <v>1728</v>
      </c>
      <c r="B197" s="85" t="s">
        <v>292</v>
      </c>
      <c r="C197" s="76">
        <f>VLOOKUP(GroupVertices[[#This Row],[Vertex]],Vertices[],MATCH("ID",Vertices[[#Headers],[Vertex]:[Top Word Pairs in Content by Salience]],0),FALSE)</f>
        <v>73</v>
      </c>
    </row>
    <row r="198" spans="1:3" ht="15">
      <c r="A198" s="77" t="s">
        <v>1729</v>
      </c>
      <c r="B198" s="85" t="s">
        <v>274</v>
      </c>
      <c r="C198" s="76">
        <f>VLOOKUP(GroupVertices[[#This Row],[Vertex]],Vertices[],MATCH("ID",Vertices[[#Headers],[Vertex]:[Top Word Pairs in Content by Salience]],0),FALSE)</f>
        <v>45</v>
      </c>
    </row>
    <row r="199" spans="1:3" ht="15">
      <c r="A199" s="77" t="s">
        <v>1730</v>
      </c>
      <c r="B199" s="85" t="s">
        <v>273</v>
      </c>
      <c r="C199" s="76">
        <f>VLOOKUP(GroupVertices[[#This Row],[Vertex]],Vertices[],MATCH("ID",Vertices[[#Headers],[Vertex]:[Top Word Pairs in Content by Salience]],0),FALSE)</f>
        <v>44</v>
      </c>
    </row>
    <row r="200" spans="1:3" ht="15">
      <c r="A200" s="77" t="s">
        <v>1731</v>
      </c>
      <c r="B200" s="85" t="s">
        <v>261</v>
      </c>
      <c r="C200" s="76">
        <f>VLOOKUP(GroupVertices[[#This Row],[Vertex]],Vertices[],MATCH("ID",Vertices[[#Headers],[Vertex]:[Top Word Pairs in Content by Salience]],0),FALSE)</f>
        <v>26</v>
      </c>
    </row>
    <row r="201" spans="1:3" ht="15">
      <c r="A201" s="77" t="s">
        <v>1732</v>
      </c>
      <c r="B201" s="85" t="s">
        <v>247</v>
      </c>
      <c r="C201" s="76">
        <f>VLOOKUP(GroupVertices[[#This Row],[Vertex]],Vertices[],MATCH("ID",Vertices[[#Headers],[Vertex]:[Top Word Pairs in Content by Salience]],0),FALSE)</f>
        <v>7</v>
      </c>
    </row>
  </sheetData>
  <dataValidations count="3" xWindow="58" yWindow="226">
    <dataValidation allowBlank="1" showInputMessage="1" showErrorMessage="1" promptTitle="Group Name" prompt="Enter the name of the group.  The group name must also be entered on the Groups worksheet." sqref="A2:A201"/>
    <dataValidation allowBlank="1" showInputMessage="1" showErrorMessage="1" promptTitle="Vertex Name" prompt="Enter the name of a vertex to include in the group." sqref="B2:B201"/>
    <dataValidation allowBlank="1" showInputMessage="1" promptTitle="Vertex ID" prompt="This is the value of the hidden ID cell in the Vertices worksheet.  It gets filled in by the items on the NodeXL, Analysis, Groups menu." sqref="C2:C20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8.8515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1789</v>
      </c>
      <c r="B2" s="31" t="s">
        <v>202</v>
      </c>
      <c r="D2" s="29">
        <f>MIN(Vertices[Degree])</f>
        <v>0</v>
      </c>
      <c r="E2">
        <f>COUNTIF(Vertices[Degree],"&gt;= "&amp;D2)-COUNTIF(Vertices[Degree],"&gt;="&amp;D3)</f>
        <v>0</v>
      </c>
      <c r="F2" s="34">
        <f>MIN(Vertices[In-Degree])</f>
        <v>0</v>
      </c>
      <c r="G2" s="35">
        <f>COUNTIF(Vertices[In-Degree],"&gt;= "&amp;F2)-COUNTIF(Vertices[In-Degree],"&gt;="&amp;F3)</f>
        <v>81</v>
      </c>
      <c r="H2" s="34">
        <f>MIN(Vertices[Out-Degree])</f>
        <v>0</v>
      </c>
      <c r="I2" s="35">
        <f>COUNTIF(Vertices[Out-Degree],"&gt;= "&amp;H2)-COUNTIF(Vertices[Out-Degree],"&gt;="&amp;H3)</f>
        <v>60</v>
      </c>
      <c r="J2" s="34">
        <f>MIN(Vertices[Betweenness Centrality])</f>
        <v>0</v>
      </c>
      <c r="K2" s="35">
        <f>COUNTIF(Vertices[Betweenness Centrality],"&gt;= "&amp;J2)-COUNTIF(Vertices[Betweenness Centrality],"&gt;="&amp;J3)</f>
        <v>184</v>
      </c>
      <c r="L2" s="34">
        <f>MIN(Vertices[Closeness Centrality])</f>
        <v>0</v>
      </c>
      <c r="M2" s="35">
        <f>COUNTIF(Vertices[Closeness Centrality],"&gt;= "&amp;L2)-COUNTIF(Vertices[Closeness Centrality],"&gt;="&amp;L3)</f>
        <v>36</v>
      </c>
      <c r="N2" s="34">
        <f>MIN(Vertices[Eigenvector Centrality])</f>
        <v>0</v>
      </c>
      <c r="O2" s="35">
        <f>COUNTIF(Vertices[Eigenvector Centrality],"&gt;= "&amp;N2)-COUNTIF(Vertices[Eigenvector Centrality],"&gt;="&amp;N3)</f>
        <v>192</v>
      </c>
      <c r="P2" s="34">
        <f>MIN(Vertices[PageRank])</f>
        <v>0.004381</v>
      </c>
      <c r="Q2" s="35">
        <f>COUNTIF(Vertices[PageRank],"&gt;= "&amp;P2)-COUNTIF(Vertices[PageRank],"&gt;="&amp;P3)</f>
        <v>85</v>
      </c>
      <c r="R2" s="34">
        <f>MIN(Vertices[Clustering Coefficient])</f>
        <v>0</v>
      </c>
      <c r="S2" s="40">
        <f>COUNTIF(Vertices[Clustering Coefficient],"&gt;= "&amp;R2)-COUNTIF(Vertices[Clustering Coefficient],"&gt;="&amp;R3)</f>
        <v>168</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08"/>
      <c r="B3" s="108"/>
      <c r="D3" s="29">
        <f aca="true" t="shared" si="1" ref="D3:D35">D2+($D$36-$D$2)/BinDivisor</f>
        <v>0</v>
      </c>
      <c r="E3">
        <f>COUNTIF(Vertices[Degree],"&gt;= "&amp;D3)-COUNTIF(Vertices[Degree],"&gt;="&amp;D4)</f>
        <v>0</v>
      </c>
      <c r="F3" s="36">
        <f aca="true" t="shared" si="2" ref="F3:F35">F2+($F$36-$F$2)/BinDivisor</f>
        <v>0.5</v>
      </c>
      <c r="G3" s="37">
        <f>COUNTIF(Vertices[In-Degree],"&gt;= "&amp;F3)-COUNTIF(Vertices[In-Degree],"&gt;="&amp;F4)</f>
        <v>0</v>
      </c>
      <c r="H3" s="36">
        <f aca="true" t="shared" si="3" ref="H3:H35">H2+($H$36-$H$2)/BinDivisor</f>
        <v>0.35294117647058826</v>
      </c>
      <c r="I3" s="37">
        <f>COUNTIF(Vertices[Out-Degree],"&gt;= "&amp;H3)-COUNTIF(Vertices[Out-Degree],"&gt;="&amp;H4)</f>
        <v>0</v>
      </c>
      <c r="J3" s="36">
        <f aca="true" t="shared" si="4" ref="J3:J35">J2+($J$36-$J$2)/BinDivisor</f>
        <v>10.235294117647058</v>
      </c>
      <c r="K3" s="37">
        <f>COUNTIF(Vertices[Betweenness Centrality],"&gt;= "&amp;J3)-COUNTIF(Vertices[Betweenness Centrality],"&gt;="&amp;J4)</f>
        <v>2</v>
      </c>
      <c r="L3" s="36">
        <f aca="true" t="shared" si="5" ref="L3:L35">L2+($L$36-$L$2)/BinDivisor</f>
        <v>0.002364764705882353</v>
      </c>
      <c r="M3" s="37">
        <f>COUNTIF(Vertices[Closeness Centrality],"&gt;= "&amp;L3)-COUNTIF(Vertices[Closeness Centrality],"&gt;="&amp;L4)</f>
        <v>0</v>
      </c>
      <c r="N3" s="36">
        <f aca="true" t="shared" si="6" ref="N3:N35">N2+($N$36-$N$2)/BinDivisor</f>
        <v>0.016363088235294115</v>
      </c>
      <c r="O3" s="37">
        <f>COUNTIF(Vertices[Eigenvector Centrality],"&gt;= "&amp;N3)-COUNTIF(Vertices[Eigenvector Centrality],"&gt;="&amp;N4)</f>
        <v>0</v>
      </c>
      <c r="P3" s="36">
        <f aca="true" t="shared" si="7" ref="P3:P35">P2+($P$36-$P$2)/BinDivisor</f>
        <v>0.004690294117647059</v>
      </c>
      <c r="Q3" s="37">
        <f>COUNTIF(Vertices[PageRank],"&gt;= "&amp;P3)-COUNTIF(Vertices[PageRank],"&gt;="&amp;P4)</f>
        <v>6</v>
      </c>
      <c r="R3" s="36">
        <f aca="true" t="shared" si="8" ref="R3:R35">R2+($R$36-$R$2)/BinDivisor</f>
        <v>0.014705882352941176</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200</v>
      </c>
      <c r="D4" s="29">
        <f t="shared" si="1"/>
        <v>0</v>
      </c>
      <c r="E4">
        <f>COUNTIF(Vertices[Degree],"&gt;= "&amp;D4)-COUNTIF(Vertices[Degree],"&gt;="&amp;D5)</f>
        <v>0</v>
      </c>
      <c r="F4" s="34">
        <f t="shared" si="2"/>
        <v>1</v>
      </c>
      <c r="G4" s="35">
        <f>COUNTIF(Vertices[In-Degree],"&gt;= "&amp;F4)-COUNTIF(Vertices[In-Degree],"&gt;="&amp;F5)</f>
        <v>87</v>
      </c>
      <c r="H4" s="34">
        <f t="shared" si="3"/>
        <v>0.7058823529411765</v>
      </c>
      <c r="I4" s="35">
        <f>COUNTIF(Vertices[Out-Degree],"&gt;= "&amp;H4)-COUNTIF(Vertices[Out-Degree],"&gt;="&amp;H5)</f>
        <v>105</v>
      </c>
      <c r="J4" s="34">
        <f t="shared" si="4"/>
        <v>20.470588235294116</v>
      </c>
      <c r="K4" s="35">
        <f>COUNTIF(Vertices[Betweenness Centrality],"&gt;= "&amp;J4)-COUNTIF(Vertices[Betweenness Centrality],"&gt;="&amp;J5)</f>
        <v>2</v>
      </c>
      <c r="L4" s="34">
        <f t="shared" si="5"/>
        <v>0.004729529411764706</v>
      </c>
      <c r="M4" s="35">
        <f>COUNTIF(Vertices[Closeness Centrality],"&gt;= "&amp;L4)-COUNTIF(Vertices[Closeness Centrality],"&gt;="&amp;L5)</f>
        <v>62</v>
      </c>
      <c r="N4" s="34">
        <f t="shared" si="6"/>
        <v>0.03272617647058823</v>
      </c>
      <c r="O4" s="35">
        <f>COUNTIF(Vertices[Eigenvector Centrality],"&gt;= "&amp;N4)-COUNTIF(Vertices[Eigenvector Centrality],"&gt;="&amp;N5)</f>
        <v>0</v>
      </c>
      <c r="P4" s="34">
        <f t="shared" si="7"/>
        <v>0.004999588235294118</v>
      </c>
      <c r="Q4" s="35">
        <f>COUNTIF(Vertices[PageRank],"&gt;= "&amp;P4)-COUNTIF(Vertices[PageRank],"&gt;="&amp;P5)</f>
        <v>74</v>
      </c>
      <c r="R4" s="34">
        <f t="shared" si="8"/>
        <v>0.029411764705882353</v>
      </c>
      <c r="S4" s="40">
        <f>COUNTIF(Vertices[Clustering Coefficient],"&gt;= "&amp;R4)-COUNTIF(Vertices[Clustering Coefficient],"&gt;="&amp;R5)</f>
        <v>0</v>
      </c>
      <c r="T4" s="34" t="e">
        <f ca="1" t="shared" si="9"/>
        <v>#REF!</v>
      </c>
      <c r="U4" s="35" t="e">
        <f ca="1" t="shared" si="0"/>
        <v>#REF!</v>
      </c>
      <c r="W4" t="s">
        <v>126</v>
      </c>
      <c r="X4" t="s">
        <v>128</v>
      </c>
    </row>
    <row r="5" spans="1:21" ht="15">
      <c r="A5" s="108"/>
      <c r="B5" s="108"/>
      <c r="D5" s="29">
        <f t="shared" si="1"/>
        <v>0</v>
      </c>
      <c r="E5">
        <f>COUNTIF(Vertices[Degree],"&gt;= "&amp;D5)-COUNTIF(Vertices[Degree],"&gt;="&amp;D6)</f>
        <v>0</v>
      </c>
      <c r="F5" s="36">
        <f t="shared" si="2"/>
        <v>1.5</v>
      </c>
      <c r="G5" s="37">
        <f>COUNTIF(Vertices[In-Degree],"&gt;= "&amp;F5)-COUNTIF(Vertices[In-Degree],"&gt;="&amp;F6)</f>
        <v>0</v>
      </c>
      <c r="H5" s="36">
        <f t="shared" si="3"/>
        <v>1.0588235294117647</v>
      </c>
      <c r="I5" s="37">
        <f>COUNTIF(Vertices[Out-Degree],"&gt;= "&amp;H5)-COUNTIF(Vertices[Out-Degree],"&gt;="&amp;H6)</f>
        <v>0</v>
      </c>
      <c r="J5" s="36">
        <f t="shared" si="4"/>
        <v>30.705882352941174</v>
      </c>
      <c r="K5" s="37">
        <f>COUNTIF(Vertices[Betweenness Centrality],"&gt;= "&amp;J5)-COUNTIF(Vertices[Betweenness Centrality],"&gt;="&amp;J6)</f>
        <v>1</v>
      </c>
      <c r="L5" s="36">
        <f t="shared" si="5"/>
        <v>0.00709429411764706</v>
      </c>
      <c r="M5" s="37">
        <f>COUNTIF(Vertices[Closeness Centrality],"&gt;= "&amp;L5)-COUNTIF(Vertices[Closeness Centrality],"&gt;="&amp;L6)</f>
        <v>14</v>
      </c>
      <c r="N5" s="36">
        <f t="shared" si="6"/>
        <v>0.049089264705882346</v>
      </c>
      <c r="O5" s="37">
        <f>COUNTIF(Vertices[Eigenvector Centrality],"&gt;= "&amp;N5)-COUNTIF(Vertices[Eigenvector Centrality],"&gt;="&amp;N6)</f>
        <v>0</v>
      </c>
      <c r="P5" s="36">
        <f t="shared" si="7"/>
        <v>0.005308882352941176</v>
      </c>
      <c r="Q5" s="37">
        <f>COUNTIF(Vertices[PageRank],"&gt;= "&amp;P5)-COUNTIF(Vertices[PageRank],"&gt;="&amp;P6)</f>
        <v>17</v>
      </c>
      <c r="R5" s="36">
        <f t="shared" si="8"/>
        <v>0.044117647058823525</v>
      </c>
      <c r="S5" s="41">
        <f>COUNTIF(Vertices[Clustering Coefficient],"&gt;= "&amp;R5)-COUNTIF(Vertices[Clustering Coefficient],"&gt;="&amp;R6)</f>
        <v>0</v>
      </c>
      <c r="T5" s="36" t="e">
        <f ca="1" t="shared" si="9"/>
        <v>#REF!</v>
      </c>
      <c r="U5" s="37" t="e">
        <f ca="1" t="shared" si="0"/>
        <v>#REF!</v>
      </c>
    </row>
    <row r="6" spans="1:21" ht="15">
      <c r="A6" s="31" t="s">
        <v>148</v>
      </c>
      <c r="B6" s="31">
        <v>201</v>
      </c>
      <c r="D6" s="29">
        <f t="shared" si="1"/>
        <v>0</v>
      </c>
      <c r="E6">
        <f>COUNTIF(Vertices[Degree],"&gt;= "&amp;D6)-COUNTIF(Vertices[Degree],"&gt;="&amp;D7)</f>
        <v>0</v>
      </c>
      <c r="F6" s="34">
        <f t="shared" si="2"/>
        <v>2</v>
      </c>
      <c r="G6" s="35">
        <f>COUNTIF(Vertices[In-Degree],"&gt;= "&amp;F6)-COUNTIF(Vertices[In-Degree],"&gt;="&amp;F7)</f>
        <v>16</v>
      </c>
      <c r="H6" s="34">
        <f t="shared" si="3"/>
        <v>1.411764705882353</v>
      </c>
      <c r="I6" s="35">
        <f>COUNTIF(Vertices[Out-Degree],"&gt;= "&amp;H6)-COUNTIF(Vertices[Out-Degree],"&gt;="&amp;H7)</f>
        <v>0</v>
      </c>
      <c r="J6" s="34">
        <f t="shared" si="4"/>
        <v>40.94117647058823</v>
      </c>
      <c r="K6" s="35">
        <f>COUNTIF(Vertices[Betweenness Centrality],"&gt;= "&amp;J6)-COUNTIF(Vertices[Betweenness Centrality],"&gt;="&amp;J7)</f>
        <v>1</v>
      </c>
      <c r="L6" s="34">
        <f t="shared" si="5"/>
        <v>0.009459058823529412</v>
      </c>
      <c r="M6" s="35">
        <f>COUNTIF(Vertices[Closeness Centrality],"&gt;= "&amp;L6)-COUNTIF(Vertices[Closeness Centrality],"&gt;="&amp;L7)</f>
        <v>11</v>
      </c>
      <c r="N6" s="34">
        <f t="shared" si="6"/>
        <v>0.06545235294117646</v>
      </c>
      <c r="O6" s="35">
        <f>COUNTIF(Vertices[Eigenvector Centrality],"&gt;= "&amp;N6)-COUNTIF(Vertices[Eigenvector Centrality],"&gt;="&amp;N7)</f>
        <v>0</v>
      </c>
      <c r="P6" s="34">
        <f t="shared" si="7"/>
        <v>0.005618176470588235</v>
      </c>
      <c r="Q6" s="35">
        <f>COUNTIF(Vertices[PageRank],"&gt;= "&amp;P6)-COUNTIF(Vertices[PageRank],"&gt;="&amp;P7)</f>
        <v>9</v>
      </c>
      <c r="R6" s="34">
        <f t="shared" si="8"/>
        <v>0.058823529411764705</v>
      </c>
      <c r="S6" s="40">
        <f>COUNTIF(Vertices[Clustering Coefficient],"&gt;= "&amp;R6)-COUNTIF(Vertices[Clustering Coefficient],"&gt;="&amp;R7)</f>
        <v>1</v>
      </c>
      <c r="T6" s="34" t="e">
        <f ca="1" t="shared" si="9"/>
        <v>#REF!</v>
      </c>
      <c r="U6" s="35" t="e">
        <f ca="1" t="shared" si="0"/>
        <v>#REF!</v>
      </c>
    </row>
    <row r="7" spans="1:21" ht="15">
      <c r="A7" s="31" t="s">
        <v>149</v>
      </c>
      <c r="B7" s="31">
        <v>8</v>
      </c>
      <c r="D7" s="29">
        <f t="shared" si="1"/>
        <v>0</v>
      </c>
      <c r="E7">
        <f>COUNTIF(Vertices[Degree],"&gt;= "&amp;D7)-COUNTIF(Vertices[Degree],"&gt;="&amp;D8)</f>
        <v>0</v>
      </c>
      <c r="F7" s="36">
        <f t="shared" si="2"/>
        <v>2.5</v>
      </c>
      <c r="G7" s="37">
        <f>COUNTIF(Vertices[In-Degree],"&gt;= "&amp;F7)-COUNTIF(Vertices[In-Degree],"&gt;="&amp;F8)</f>
        <v>0</v>
      </c>
      <c r="H7" s="36">
        <f t="shared" si="3"/>
        <v>1.7647058823529413</v>
      </c>
      <c r="I7" s="37">
        <f>COUNTIF(Vertices[Out-Degree],"&gt;= "&amp;H7)-COUNTIF(Vertices[Out-Degree],"&gt;="&amp;H8)</f>
        <v>15</v>
      </c>
      <c r="J7" s="36">
        <f t="shared" si="4"/>
        <v>51.17647058823529</v>
      </c>
      <c r="K7" s="37">
        <f>COUNTIF(Vertices[Betweenness Centrality],"&gt;= "&amp;J7)-COUNTIF(Vertices[Betweenness Centrality],"&gt;="&amp;J8)</f>
        <v>0</v>
      </c>
      <c r="L7" s="36">
        <f t="shared" si="5"/>
        <v>0.011823823529411765</v>
      </c>
      <c r="M7" s="37">
        <f>COUNTIF(Vertices[Closeness Centrality],"&gt;= "&amp;L7)-COUNTIF(Vertices[Closeness Centrality],"&gt;="&amp;L8)</f>
        <v>3</v>
      </c>
      <c r="N7" s="36">
        <f t="shared" si="6"/>
        <v>0.08181544117647058</v>
      </c>
      <c r="O7" s="37">
        <f>COUNTIF(Vertices[Eigenvector Centrality],"&gt;= "&amp;N7)-COUNTIF(Vertices[Eigenvector Centrality],"&gt;="&amp;N8)</f>
        <v>0</v>
      </c>
      <c r="P7" s="36">
        <f t="shared" si="7"/>
        <v>0.005927470588235294</v>
      </c>
      <c r="Q7" s="37">
        <f>COUNTIF(Vertices[PageRank],"&gt;= "&amp;P7)-COUNTIF(Vertices[PageRank],"&gt;="&amp;P8)</f>
        <v>2</v>
      </c>
      <c r="R7" s="36">
        <f t="shared" si="8"/>
        <v>0.07352941176470588</v>
      </c>
      <c r="S7" s="41">
        <f>COUNTIF(Vertices[Clustering Coefficient],"&gt;= "&amp;R7)-COUNTIF(Vertices[Clustering Coefficient],"&gt;="&amp;R8)</f>
        <v>1</v>
      </c>
      <c r="T7" s="36" t="e">
        <f ca="1" t="shared" si="9"/>
        <v>#REF!</v>
      </c>
      <c r="U7" s="37" t="e">
        <f ca="1" t="shared" si="0"/>
        <v>#REF!</v>
      </c>
    </row>
    <row r="8" spans="1:21" ht="15">
      <c r="A8" s="31" t="s">
        <v>150</v>
      </c>
      <c r="B8" s="31">
        <v>209</v>
      </c>
      <c r="D8" s="29">
        <f t="shared" si="1"/>
        <v>0</v>
      </c>
      <c r="E8">
        <f>COUNTIF(Vertices[Degree],"&gt;= "&amp;D8)-COUNTIF(Vertices[Degree],"&gt;="&amp;D9)</f>
        <v>0</v>
      </c>
      <c r="F8" s="34">
        <f t="shared" si="2"/>
        <v>3</v>
      </c>
      <c r="G8" s="35">
        <f>COUNTIF(Vertices[In-Degree],"&gt;= "&amp;F8)-COUNTIF(Vertices[In-Degree],"&gt;="&amp;F9)</f>
        <v>6</v>
      </c>
      <c r="H8" s="34">
        <f t="shared" si="3"/>
        <v>2.1176470588235294</v>
      </c>
      <c r="I8" s="35">
        <f>COUNTIF(Vertices[Out-Degree],"&gt;= "&amp;H8)-COUNTIF(Vertices[Out-Degree],"&gt;="&amp;H9)</f>
        <v>0</v>
      </c>
      <c r="J8" s="34">
        <f t="shared" si="4"/>
        <v>61.41176470588235</v>
      </c>
      <c r="K8" s="35">
        <f>COUNTIF(Vertices[Betweenness Centrality],"&gt;= "&amp;J8)-COUNTIF(Vertices[Betweenness Centrality],"&gt;="&amp;J9)</f>
        <v>0</v>
      </c>
      <c r="L8" s="34">
        <f t="shared" si="5"/>
        <v>0.014188588235294118</v>
      </c>
      <c r="M8" s="35">
        <f>COUNTIF(Vertices[Closeness Centrality],"&gt;= "&amp;L8)-COUNTIF(Vertices[Closeness Centrality],"&gt;="&amp;L9)</f>
        <v>6</v>
      </c>
      <c r="N8" s="34">
        <f t="shared" si="6"/>
        <v>0.09817852941176469</v>
      </c>
      <c r="O8" s="35">
        <f>COUNTIF(Vertices[Eigenvector Centrality],"&gt;= "&amp;N8)-COUNTIF(Vertices[Eigenvector Centrality],"&gt;="&amp;N9)</f>
        <v>0</v>
      </c>
      <c r="P8" s="34">
        <f t="shared" si="7"/>
        <v>0.006236764705882352</v>
      </c>
      <c r="Q8" s="35">
        <f>COUNTIF(Vertices[PageRank],"&gt;= "&amp;P8)-COUNTIF(Vertices[PageRank],"&gt;="&amp;P9)</f>
        <v>5</v>
      </c>
      <c r="R8" s="34">
        <f t="shared" si="8"/>
        <v>0.08823529411764706</v>
      </c>
      <c r="S8" s="40">
        <f>COUNTIF(Vertices[Clustering Coefficient],"&gt;= "&amp;R8)-COUNTIF(Vertices[Clustering Coefficient],"&gt;="&amp;R9)</f>
        <v>0</v>
      </c>
      <c r="T8" s="34" t="e">
        <f ca="1" t="shared" si="9"/>
        <v>#REF!</v>
      </c>
      <c r="U8" s="35" t="e">
        <f ca="1" t="shared" si="0"/>
        <v>#REF!</v>
      </c>
    </row>
    <row r="9" spans="1:21" ht="15">
      <c r="A9" s="108"/>
      <c r="B9" s="108"/>
      <c r="D9" s="29">
        <f t="shared" si="1"/>
        <v>0</v>
      </c>
      <c r="E9">
        <f>COUNTIF(Vertices[Degree],"&gt;= "&amp;D9)-COUNTIF(Vertices[Degree],"&gt;="&amp;D10)</f>
        <v>0</v>
      </c>
      <c r="F9" s="36">
        <f t="shared" si="2"/>
        <v>3.5</v>
      </c>
      <c r="G9" s="37">
        <f>COUNTIF(Vertices[In-Degree],"&gt;= "&amp;F9)-COUNTIF(Vertices[In-Degree],"&gt;="&amp;F10)</f>
        <v>0</v>
      </c>
      <c r="H9" s="36">
        <f t="shared" si="3"/>
        <v>2.4705882352941178</v>
      </c>
      <c r="I9" s="37">
        <f>COUNTIF(Vertices[Out-Degree],"&gt;= "&amp;H9)-COUNTIF(Vertices[Out-Degree],"&gt;="&amp;H10)</f>
        <v>0</v>
      </c>
      <c r="J9" s="36">
        <f t="shared" si="4"/>
        <v>71.6470588235294</v>
      </c>
      <c r="K9" s="37">
        <f>COUNTIF(Vertices[Betweenness Centrality],"&gt;= "&amp;J9)-COUNTIF(Vertices[Betweenness Centrality],"&gt;="&amp;J10)</f>
        <v>0</v>
      </c>
      <c r="L9" s="36">
        <f t="shared" si="5"/>
        <v>0.01655335294117647</v>
      </c>
      <c r="M9" s="37">
        <f>COUNTIF(Vertices[Closeness Centrality],"&gt;= "&amp;L9)-COUNTIF(Vertices[Closeness Centrality],"&gt;="&amp;L10)</f>
        <v>2</v>
      </c>
      <c r="N9" s="36">
        <f t="shared" si="6"/>
        <v>0.11454161764705881</v>
      </c>
      <c r="O9" s="37">
        <f>COUNTIF(Vertices[Eigenvector Centrality],"&gt;= "&amp;N9)-COUNTIF(Vertices[Eigenvector Centrality],"&gt;="&amp;N10)</f>
        <v>0</v>
      </c>
      <c r="P9" s="36">
        <f t="shared" si="7"/>
        <v>0.006546058823529411</v>
      </c>
      <c r="Q9" s="37">
        <f>COUNTIF(Vertices[PageRank],"&gt;= "&amp;P9)-COUNTIF(Vertices[PageRank],"&gt;="&amp;P10)</f>
        <v>0</v>
      </c>
      <c r="R9" s="36">
        <f t="shared" si="8"/>
        <v>0.10294117647058824</v>
      </c>
      <c r="S9" s="41">
        <f>COUNTIF(Vertices[Clustering Coefficient],"&gt;= "&amp;R9)-COUNTIF(Vertices[Clustering Coefficient],"&gt;="&amp;R10)</f>
        <v>0</v>
      </c>
      <c r="T9" s="36" t="e">
        <f ca="1" t="shared" si="9"/>
        <v>#REF!</v>
      </c>
      <c r="U9" s="37" t="e">
        <f ca="1" t="shared" si="0"/>
        <v>#REF!</v>
      </c>
    </row>
    <row r="10" spans="1:21" ht="15">
      <c r="A10" s="31" t="s">
        <v>151</v>
      </c>
      <c r="B10" s="31">
        <v>57</v>
      </c>
      <c r="D10" s="29">
        <f t="shared" si="1"/>
        <v>0</v>
      </c>
      <c r="E10">
        <f>COUNTIF(Vertices[Degree],"&gt;= "&amp;D10)-COUNTIF(Vertices[Degree],"&gt;="&amp;D11)</f>
        <v>0</v>
      </c>
      <c r="F10" s="34">
        <f t="shared" si="2"/>
        <v>4</v>
      </c>
      <c r="G10" s="35">
        <f>COUNTIF(Vertices[In-Degree],"&gt;= "&amp;F10)-COUNTIF(Vertices[In-Degree],"&gt;="&amp;F11)</f>
        <v>2</v>
      </c>
      <c r="H10" s="34">
        <f t="shared" si="3"/>
        <v>2.823529411764706</v>
      </c>
      <c r="I10" s="35">
        <f>COUNTIF(Vertices[Out-Degree],"&gt;= "&amp;H10)-COUNTIF(Vertices[Out-Degree],"&gt;="&amp;H11)</f>
        <v>19</v>
      </c>
      <c r="J10" s="34">
        <f t="shared" si="4"/>
        <v>81.88235294117646</v>
      </c>
      <c r="K10" s="35">
        <f>COUNTIF(Vertices[Betweenness Centrality],"&gt;= "&amp;J10)-COUNTIF(Vertices[Betweenness Centrality],"&gt;="&amp;J11)</f>
        <v>3</v>
      </c>
      <c r="L10" s="34">
        <f t="shared" si="5"/>
        <v>0.018918117647058825</v>
      </c>
      <c r="M10" s="35">
        <f>COUNTIF(Vertices[Closeness Centrality],"&gt;= "&amp;L10)-COUNTIF(Vertices[Closeness Centrality],"&gt;="&amp;L11)</f>
        <v>2</v>
      </c>
      <c r="N10" s="34">
        <f t="shared" si="6"/>
        <v>0.13090470588235292</v>
      </c>
      <c r="O10" s="35">
        <f>COUNTIF(Vertices[Eigenvector Centrality],"&gt;= "&amp;N10)-COUNTIF(Vertices[Eigenvector Centrality],"&gt;="&amp;N11)</f>
        <v>0</v>
      </c>
      <c r="P10" s="34">
        <f t="shared" si="7"/>
        <v>0.0068553529411764695</v>
      </c>
      <c r="Q10" s="35">
        <f>COUNTIF(Vertices[PageRank],"&gt;= "&amp;P10)-COUNTIF(Vertices[PageRank],"&gt;="&amp;P11)</f>
        <v>0</v>
      </c>
      <c r="R10" s="34">
        <f t="shared" si="8"/>
        <v>0.11764705882352942</v>
      </c>
      <c r="S10" s="40">
        <f>COUNTIF(Vertices[Clustering Coefficient],"&gt;= "&amp;R10)-COUNTIF(Vertices[Clustering Coefficient],"&gt;="&amp;R11)</f>
        <v>0</v>
      </c>
      <c r="T10" s="34" t="e">
        <f ca="1" t="shared" si="9"/>
        <v>#REF!</v>
      </c>
      <c r="U10" s="35" t="e">
        <f ca="1" t="shared" si="0"/>
        <v>#REF!</v>
      </c>
    </row>
    <row r="11" spans="1:21" ht="15">
      <c r="A11" s="108"/>
      <c r="B11" s="108"/>
      <c r="D11" s="29">
        <f t="shared" si="1"/>
        <v>0</v>
      </c>
      <c r="E11">
        <f>COUNTIF(Vertices[Degree],"&gt;= "&amp;D11)-COUNTIF(Vertices[Degree],"&gt;="&amp;D12)</f>
        <v>0</v>
      </c>
      <c r="F11" s="36">
        <f t="shared" si="2"/>
        <v>4.5</v>
      </c>
      <c r="G11" s="37">
        <f>COUNTIF(Vertices[In-Degree],"&gt;= "&amp;F11)-COUNTIF(Vertices[In-Degree],"&gt;="&amp;F12)</f>
        <v>0</v>
      </c>
      <c r="H11" s="36">
        <f t="shared" si="3"/>
        <v>3.1764705882352944</v>
      </c>
      <c r="I11" s="37">
        <f>COUNTIF(Vertices[Out-Degree],"&gt;= "&amp;H11)-COUNTIF(Vertices[Out-Degree],"&gt;="&amp;H12)</f>
        <v>0</v>
      </c>
      <c r="J11" s="36">
        <f t="shared" si="4"/>
        <v>92.11764705882352</v>
      </c>
      <c r="K11" s="37">
        <f>COUNTIF(Vertices[Betweenness Centrality],"&gt;= "&amp;J11)-COUNTIF(Vertices[Betweenness Centrality],"&gt;="&amp;J12)</f>
        <v>0</v>
      </c>
      <c r="L11" s="36">
        <f t="shared" si="5"/>
        <v>0.02128288235294118</v>
      </c>
      <c r="M11" s="37">
        <f>COUNTIF(Vertices[Closeness Centrality],"&gt;= "&amp;L11)-COUNTIF(Vertices[Closeness Centrality],"&gt;="&amp;L12)</f>
        <v>6</v>
      </c>
      <c r="N11" s="36">
        <f t="shared" si="6"/>
        <v>0.14726779411764704</v>
      </c>
      <c r="O11" s="37">
        <f>COUNTIF(Vertices[Eigenvector Centrality],"&gt;= "&amp;N11)-COUNTIF(Vertices[Eigenvector Centrality],"&gt;="&amp;N12)</f>
        <v>0</v>
      </c>
      <c r="P11" s="36">
        <f t="shared" si="7"/>
        <v>0.007164647058823528</v>
      </c>
      <c r="Q11" s="37">
        <f>COUNTIF(Vertices[PageRank],"&gt;= "&amp;P11)-COUNTIF(Vertices[PageRank],"&gt;="&amp;P12)</f>
        <v>0</v>
      </c>
      <c r="R11" s="36">
        <f t="shared" si="8"/>
        <v>0.1323529411764706</v>
      </c>
      <c r="S11" s="41">
        <f>COUNTIF(Vertices[Clustering Coefficient],"&gt;= "&amp;R11)-COUNTIF(Vertices[Clustering Coefficient],"&gt;="&amp;R12)</f>
        <v>1</v>
      </c>
      <c r="T11" s="36" t="e">
        <f ca="1" t="shared" si="9"/>
        <v>#REF!</v>
      </c>
      <c r="U11" s="37" t="e">
        <f ca="1" t="shared" si="0"/>
        <v>#REF!</v>
      </c>
    </row>
    <row r="12" spans="1:21" ht="15">
      <c r="A12" s="31" t="s">
        <v>170</v>
      </c>
      <c r="B12" s="31">
        <v>0</v>
      </c>
      <c r="D12" s="29">
        <f t="shared" si="1"/>
        <v>0</v>
      </c>
      <c r="E12">
        <f>COUNTIF(Vertices[Degree],"&gt;= "&amp;D12)-COUNTIF(Vertices[Degree],"&gt;="&amp;D13)</f>
        <v>0</v>
      </c>
      <c r="F12" s="34">
        <f t="shared" si="2"/>
        <v>5</v>
      </c>
      <c r="G12" s="35">
        <f>COUNTIF(Vertices[In-Degree],"&gt;= "&amp;F12)-COUNTIF(Vertices[In-Degree],"&gt;="&amp;F13)</f>
        <v>2</v>
      </c>
      <c r="H12" s="34">
        <f t="shared" si="3"/>
        <v>3.5294117647058827</v>
      </c>
      <c r="I12" s="35">
        <f>COUNTIF(Vertices[Out-Degree],"&gt;= "&amp;H12)-COUNTIF(Vertices[Out-Degree],"&gt;="&amp;H13)</f>
        <v>0</v>
      </c>
      <c r="J12" s="34">
        <f t="shared" si="4"/>
        <v>102.35294117647058</v>
      </c>
      <c r="K12" s="35">
        <f>COUNTIF(Vertices[Betweenness Centrality],"&gt;= "&amp;J12)-COUNTIF(Vertices[Betweenness Centrality],"&gt;="&amp;J13)</f>
        <v>0</v>
      </c>
      <c r="L12" s="34">
        <f t="shared" si="5"/>
        <v>0.023647647058823534</v>
      </c>
      <c r="M12" s="35">
        <f>COUNTIF(Vertices[Closeness Centrality],"&gt;= "&amp;L12)-COUNTIF(Vertices[Closeness Centrality],"&gt;="&amp;L13)</f>
        <v>4</v>
      </c>
      <c r="N12" s="34">
        <f t="shared" si="6"/>
        <v>0.16363088235294115</v>
      </c>
      <c r="O12" s="35">
        <f>COUNTIF(Vertices[Eigenvector Centrality],"&gt;= "&amp;N12)-COUNTIF(Vertices[Eigenvector Centrality],"&gt;="&amp;N13)</f>
        <v>0</v>
      </c>
      <c r="P12" s="34">
        <f t="shared" si="7"/>
        <v>0.007473941176470587</v>
      </c>
      <c r="Q12" s="35">
        <f>COUNTIF(Vertices[PageRank],"&gt;= "&amp;P12)-COUNTIF(Vertices[PageRank],"&gt;="&amp;P13)</f>
        <v>0</v>
      </c>
      <c r="R12" s="34">
        <f t="shared" si="8"/>
        <v>0.14705882352941177</v>
      </c>
      <c r="S12" s="40">
        <f>COUNTIF(Vertices[Clustering Coefficient],"&gt;= "&amp;R12)-COUNTIF(Vertices[Clustering Coefficient],"&gt;="&amp;R13)</f>
        <v>1</v>
      </c>
      <c r="T12" s="34" t="e">
        <f ca="1" t="shared" si="9"/>
        <v>#REF!</v>
      </c>
      <c r="U12" s="35" t="e">
        <f ca="1" t="shared" si="0"/>
        <v>#REF!</v>
      </c>
    </row>
    <row r="13" spans="1:21" ht="15">
      <c r="A13" s="31" t="s">
        <v>171</v>
      </c>
      <c r="B13" s="31">
        <v>0</v>
      </c>
      <c r="D13" s="29">
        <f t="shared" si="1"/>
        <v>0</v>
      </c>
      <c r="E13">
        <f>COUNTIF(Vertices[Degree],"&gt;= "&amp;D13)-COUNTIF(Vertices[Degree],"&gt;="&amp;D14)</f>
        <v>0</v>
      </c>
      <c r="F13" s="36">
        <f t="shared" si="2"/>
        <v>5.5</v>
      </c>
      <c r="G13" s="37">
        <f>COUNTIF(Vertices[In-Degree],"&gt;= "&amp;F13)-COUNTIF(Vertices[In-Degree],"&gt;="&amp;F14)</f>
        <v>0</v>
      </c>
      <c r="H13" s="36">
        <f t="shared" si="3"/>
        <v>3.882352941176471</v>
      </c>
      <c r="I13" s="37">
        <f>COUNTIF(Vertices[Out-Degree],"&gt;= "&amp;H13)-COUNTIF(Vertices[Out-Degree],"&gt;="&amp;H14)</f>
        <v>0</v>
      </c>
      <c r="J13" s="36">
        <f t="shared" si="4"/>
        <v>112.58823529411764</v>
      </c>
      <c r="K13" s="37">
        <f>COUNTIF(Vertices[Betweenness Centrality],"&gt;= "&amp;J13)-COUNTIF(Vertices[Betweenness Centrality],"&gt;="&amp;J14)</f>
        <v>3</v>
      </c>
      <c r="L13" s="36">
        <f t="shared" si="5"/>
        <v>0.026012411764705888</v>
      </c>
      <c r="M13" s="37">
        <f>COUNTIF(Vertices[Closeness Centrality],"&gt;= "&amp;L13)-COUNTIF(Vertices[Closeness Centrality],"&gt;="&amp;L14)</f>
        <v>1</v>
      </c>
      <c r="N13" s="36">
        <f t="shared" si="6"/>
        <v>0.17999397058823527</v>
      </c>
      <c r="O13" s="37">
        <f>COUNTIF(Vertices[Eigenvector Centrality],"&gt;= "&amp;N13)-COUNTIF(Vertices[Eigenvector Centrality],"&gt;="&amp;N14)</f>
        <v>0</v>
      </c>
      <c r="P13" s="36">
        <f t="shared" si="7"/>
        <v>0.0077832352941176455</v>
      </c>
      <c r="Q13" s="37">
        <f>COUNTIF(Vertices[PageRank],"&gt;= "&amp;P13)-COUNTIF(Vertices[PageRank],"&gt;="&amp;P14)</f>
        <v>0</v>
      </c>
      <c r="R13" s="36">
        <f t="shared" si="8"/>
        <v>0.16176470588235295</v>
      </c>
      <c r="S13" s="41">
        <f>COUNTIF(Vertices[Clustering Coefficient],"&gt;= "&amp;R13)-COUNTIF(Vertices[Clustering Coefficient],"&gt;="&amp;R14)</f>
        <v>2</v>
      </c>
      <c r="T13" s="36" t="e">
        <f ca="1" t="shared" si="9"/>
        <v>#REF!</v>
      </c>
      <c r="U13" s="37" t="e">
        <f ca="1" t="shared" si="0"/>
        <v>#REF!</v>
      </c>
    </row>
    <row r="14" spans="1:21" ht="15">
      <c r="A14" s="108"/>
      <c r="B14" s="108"/>
      <c r="D14" s="29">
        <f t="shared" si="1"/>
        <v>0</v>
      </c>
      <c r="E14">
        <f>COUNTIF(Vertices[Degree],"&gt;= "&amp;D14)-COUNTIF(Vertices[Degree],"&gt;="&amp;D15)</f>
        <v>0</v>
      </c>
      <c r="F14" s="34">
        <f t="shared" si="2"/>
        <v>6</v>
      </c>
      <c r="G14" s="35">
        <f>COUNTIF(Vertices[In-Degree],"&gt;= "&amp;F14)-COUNTIF(Vertices[In-Degree],"&gt;="&amp;F15)</f>
        <v>4</v>
      </c>
      <c r="H14" s="34">
        <f t="shared" si="3"/>
        <v>4.235294117647059</v>
      </c>
      <c r="I14" s="35">
        <f>COUNTIF(Vertices[Out-Degree],"&gt;= "&amp;H14)-COUNTIF(Vertices[Out-Degree],"&gt;="&amp;H15)</f>
        <v>0</v>
      </c>
      <c r="J14" s="34">
        <f t="shared" si="4"/>
        <v>122.8235294117647</v>
      </c>
      <c r="K14" s="35">
        <f>COUNTIF(Vertices[Betweenness Centrality],"&gt;= "&amp;J14)-COUNTIF(Vertices[Betweenness Centrality],"&gt;="&amp;J15)</f>
        <v>0</v>
      </c>
      <c r="L14" s="34">
        <f t="shared" si="5"/>
        <v>0.028377176470588242</v>
      </c>
      <c r="M14" s="35">
        <f>COUNTIF(Vertices[Closeness Centrality],"&gt;= "&amp;L14)-COUNTIF(Vertices[Closeness Centrality],"&gt;="&amp;L15)</f>
        <v>2</v>
      </c>
      <c r="N14" s="34">
        <f t="shared" si="6"/>
        <v>0.19635705882352938</v>
      </c>
      <c r="O14" s="35">
        <f>COUNTIF(Vertices[Eigenvector Centrality],"&gt;= "&amp;N14)-COUNTIF(Vertices[Eigenvector Centrality],"&gt;="&amp;N15)</f>
        <v>0</v>
      </c>
      <c r="P14" s="34">
        <f t="shared" si="7"/>
        <v>0.008092529411764705</v>
      </c>
      <c r="Q14" s="35">
        <f>COUNTIF(Vertices[PageRank],"&gt;= "&amp;P14)-COUNTIF(Vertices[PageRank],"&gt;="&amp;P15)</f>
        <v>0</v>
      </c>
      <c r="R14" s="34">
        <f t="shared" si="8"/>
        <v>0.17647058823529413</v>
      </c>
      <c r="S14" s="40">
        <f>COUNTIF(Vertices[Clustering Coefficient],"&gt;= "&amp;R14)-COUNTIF(Vertices[Clustering Coefficient],"&gt;="&amp;R15)</f>
        <v>0</v>
      </c>
      <c r="T14" s="34" t="e">
        <f ca="1" t="shared" si="9"/>
        <v>#REF!</v>
      </c>
      <c r="U14" s="35" t="e">
        <f ca="1" t="shared" si="0"/>
        <v>#REF!</v>
      </c>
    </row>
    <row r="15" spans="1:21" ht="15">
      <c r="A15" s="31" t="s">
        <v>152</v>
      </c>
      <c r="B15" s="31">
        <v>78</v>
      </c>
      <c r="D15" s="29">
        <f t="shared" si="1"/>
        <v>0</v>
      </c>
      <c r="E15">
        <f>COUNTIF(Vertices[Degree],"&gt;= "&amp;D15)-COUNTIF(Vertices[Degree],"&gt;="&amp;D16)</f>
        <v>0</v>
      </c>
      <c r="F15" s="36">
        <f t="shared" si="2"/>
        <v>6.5</v>
      </c>
      <c r="G15" s="37">
        <f>COUNTIF(Vertices[In-Degree],"&gt;= "&amp;F15)-COUNTIF(Vertices[In-Degree],"&gt;="&amp;F16)</f>
        <v>0</v>
      </c>
      <c r="H15" s="36">
        <f t="shared" si="3"/>
        <v>4.588235294117647</v>
      </c>
      <c r="I15" s="37">
        <f>COUNTIF(Vertices[Out-Degree],"&gt;= "&amp;H15)-COUNTIF(Vertices[Out-Degree],"&gt;="&amp;H16)</f>
        <v>0</v>
      </c>
      <c r="J15" s="36">
        <f t="shared" si="4"/>
        <v>133.05882352941177</v>
      </c>
      <c r="K15" s="37">
        <f>COUNTIF(Vertices[Betweenness Centrality],"&gt;= "&amp;J15)-COUNTIF(Vertices[Betweenness Centrality],"&gt;="&amp;J16)</f>
        <v>0</v>
      </c>
      <c r="L15" s="36">
        <f t="shared" si="5"/>
        <v>0.030741941176470597</v>
      </c>
      <c r="M15" s="37">
        <f>COUNTIF(Vertices[Closeness Centrality],"&gt;= "&amp;L15)-COUNTIF(Vertices[Closeness Centrality],"&gt;="&amp;L16)</f>
        <v>6</v>
      </c>
      <c r="N15" s="36">
        <f t="shared" si="6"/>
        <v>0.2127201470588235</v>
      </c>
      <c r="O15" s="37">
        <f>COUNTIF(Vertices[Eigenvector Centrality],"&gt;= "&amp;N15)-COUNTIF(Vertices[Eigenvector Centrality],"&gt;="&amp;N16)</f>
        <v>0</v>
      </c>
      <c r="P15" s="36">
        <f t="shared" si="7"/>
        <v>0.008401823529411764</v>
      </c>
      <c r="Q15" s="37">
        <f>COUNTIF(Vertices[PageRank],"&gt;= "&amp;P15)-COUNTIF(Vertices[PageRank],"&gt;="&amp;P16)</f>
        <v>0</v>
      </c>
      <c r="R15" s="36">
        <f t="shared" si="8"/>
        <v>0.1911764705882353</v>
      </c>
      <c r="S15" s="41">
        <f>COUNTIF(Vertices[Clustering Coefficient],"&gt;= "&amp;R15)-COUNTIF(Vertices[Clustering Coefficient],"&gt;="&amp;R16)</f>
        <v>1</v>
      </c>
      <c r="T15" s="36" t="e">
        <f ca="1" t="shared" si="9"/>
        <v>#REF!</v>
      </c>
      <c r="U15" s="37" t="e">
        <f ca="1" t="shared" si="0"/>
        <v>#REF!</v>
      </c>
    </row>
    <row r="16" spans="1:21" ht="15">
      <c r="A16" s="31" t="s">
        <v>153</v>
      </c>
      <c r="B16" s="31">
        <v>36</v>
      </c>
      <c r="D16" s="29">
        <f t="shared" si="1"/>
        <v>0</v>
      </c>
      <c r="E16">
        <f>COUNTIF(Vertices[Degree],"&gt;= "&amp;D16)-COUNTIF(Vertices[Degree],"&gt;="&amp;D17)</f>
        <v>0</v>
      </c>
      <c r="F16" s="34">
        <f t="shared" si="2"/>
        <v>7</v>
      </c>
      <c r="G16" s="35">
        <f>COUNTIF(Vertices[In-Degree],"&gt;= "&amp;F16)-COUNTIF(Vertices[In-Degree],"&gt;="&amp;F17)</f>
        <v>0</v>
      </c>
      <c r="H16" s="34">
        <f t="shared" si="3"/>
        <v>4.941176470588235</v>
      </c>
      <c r="I16" s="35">
        <f>COUNTIF(Vertices[Out-Degree],"&gt;= "&amp;H16)-COUNTIF(Vertices[Out-Degree],"&gt;="&amp;H17)</f>
        <v>0</v>
      </c>
      <c r="J16" s="34">
        <f t="shared" si="4"/>
        <v>143.29411764705884</v>
      </c>
      <c r="K16" s="35">
        <f>COUNTIF(Vertices[Betweenness Centrality],"&gt;= "&amp;J16)-COUNTIF(Vertices[Betweenness Centrality],"&gt;="&amp;J17)</f>
        <v>1</v>
      </c>
      <c r="L16" s="34">
        <f t="shared" si="5"/>
        <v>0.03310670588235295</v>
      </c>
      <c r="M16" s="35">
        <f>COUNTIF(Vertices[Closeness Centrality],"&gt;= "&amp;L16)-COUNTIF(Vertices[Closeness Centrality],"&gt;="&amp;L17)</f>
        <v>13</v>
      </c>
      <c r="N16" s="34">
        <f t="shared" si="6"/>
        <v>0.22908323529411762</v>
      </c>
      <c r="O16" s="35">
        <f>COUNTIF(Vertices[Eigenvector Centrality],"&gt;= "&amp;N16)-COUNTIF(Vertices[Eigenvector Centrality],"&gt;="&amp;N17)</f>
        <v>0</v>
      </c>
      <c r="P16" s="34">
        <f t="shared" si="7"/>
        <v>0.008711117647058822</v>
      </c>
      <c r="Q16" s="35">
        <f>COUNTIF(Vertices[PageRank],"&gt;= "&amp;P16)-COUNTIF(Vertices[PageRank],"&gt;="&amp;P17)</f>
        <v>0</v>
      </c>
      <c r="R16" s="34">
        <f t="shared" si="8"/>
        <v>0.2058823529411765</v>
      </c>
      <c r="S16" s="40">
        <f>COUNTIF(Vertices[Clustering Coefficient],"&gt;= "&amp;R16)-COUNTIF(Vertices[Clustering Coefficient],"&gt;="&amp;R17)</f>
        <v>0</v>
      </c>
      <c r="T16" s="34" t="e">
        <f ca="1" t="shared" si="9"/>
        <v>#REF!</v>
      </c>
      <c r="U16" s="35" t="e">
        <f ca="1" t="shared" si="0"/>
        <v>#REF!</v>
      </c>
    </row>
    <row r="17" spans="1:21" ht="15">
      <c r="A17" s="31" t="s">
        <v>154</v>
      </c>
      <c r="B17" s="31">
        <v>24</v>
      </c>
      <c r="D17" s="29">
        <f t="shared" si="1"/>
        <v>0</v>
      </c>
      <c r="E17">
        <f>COUNTIF(Vertices[Degree],"&gt;= "&amp;D17)-COUNTIF(Vertices[Degree],"&gt;="&amp;D18)</f>
        <v>0</v>
      </c>
      <c r="F17" s="36">
        <f t="shared" si="2"/>
        <v>7.5</v>
      </c>
      <c r="G17" s="37">
        <f>COUNTIF(Vertices[In-Degree],"&gt;= "&amp;F17)-COUNTIF(Vertices[In-Degree],"&gt;="&amp;F18)</f>
        <v>0</v>
      </c>
      <c r="H17" s="36">
        <f t="shared" si="3"/>
        <v>5.2941176470588225</v>
      </c>
      <c r="I17" s="37">
        <f>COUNTIF(Vertices[Out-Degree],"&gt;= "&amp;H17)-COUNTIF(Vertices[Out-Degree],"&gt;="&amp;H18)</f>
        <v>0</v>
      </c>
      <c r="J17" s="36">
        <f t="shared" si="4"/>
        <v>153.5294117647059</v>
      </c>
      <c r="K17" s="37">
        <f>COUNTIF(Vertices[Betweenness Centrality],"&gt;= "&amp;J17)-COUNTIF(Vertices[Betweenness Centrality],"&gt;="&amp;J18)</f>
        <v>0</v>
      </c>
      <c r="L17" s="36">
        <f t="shared" si="5"/>
        <v>0.0354714705882353</v>
      </c>
      <c r="M17" s="37">
        <f>COUNTIF(Vertices[Closeness Centrality],"&gt;= "&amp;L17)-COUNTIF(Vertices[Closeness Centrality],"&gt;="&amp;L18)</f>
        <v>1</v>
      </c>
      <c r="N17" s="36">
        <f t="shared" si="6"/>
        <v>0.24544632352941173</v>
      </c>
      <c r="O17" s="37">
        <f>COUNTIF(Vertices[Eigenvector Centrality],"&gt;= "&amp;N17)-COUNTIF(Vertices[Eigenvector Centrality],"&gt;="&amp;N18)</f>
        <v>0</v>
      </c>
      <c r="P17" s="36">
        <f t="shared" si="7"/>
        <v>0.009020411764705881</v>
      </c>
      <c r="Q17" s="37">
        <f>COUNTIF(Vertices[PageRank],"&gt;= "&amp;P17)-COUNTIF(Vertices[PageRank],"&gt;="&amp;P18)</f>
        <v>0</v>
      </c>
      <c r="R17" s="36">
        <f t="shared" si="8"/>
        <v>0.22058823529411767</v>
      </c>
      <c r="S17" s="41">
        <f>COUNTIF(Vertices[Clustering Coefficient],"&gt;= "&amp;R17)-COUNTIF(Vertices[Clustering Coefficient],"&gt;="&amp;R18)</f>
        <v>0</v>
      </c>
      <c r="T17" s="36" t="e">
        <f ca="1" t="shared" si="9"/>
        <v>#REF!</v>
      </c>
      <c r="U17" s="37" t="e">
        <f ca="1" t="shared" si="0"/>
        <v>#REF!</v>
      </c>
    </row>
    <row r="18" spans="1:21" ht="15">
      <c r="A18" s="31" t="s">
        <v>155</v>
      </c>
      <c r="B18" s="31">
        <v>36</v>
      </c>
      <c r="D18" s="29">
        <f t="shared" si="1"/>
        <v>0</v>
      </c>
      <c r="E18">
        <f>COUNTIF(Vertices[Degree],"&gt;= "&amp;D18)-COUNTIF(Vertices[Degree],"&gt;="&amp;D19)</f>
        <v>0</v>
      </c>
      <c r="F18" s="34">
        <f t="shared" si="2"/>
        <v>8</v>
      </c>
      <c r="G18" s="35">
        <f>COUNTIF(Vertices[In-Degree],"&gt;= "&amp;F18)-COUNTIF(Vertices[In-Degree],"&gt;="&amp;F19)</f>
        <v>1</v>
      </c>
      <c r="H18" s="34">
        <f t="shared" si="3"/>
        <v>5.64705882352941</v>
      </c>
      <c r="I18" s="35">
        <f>COUNTIF(Vertices[Out-Degree],"&gt;= "&amp;H18)-COUNTIF(Vertices[Out-Degree],"&gt;="&amp;H19)</f>
        <v>0</v>
      </c>
      <c r="J18" s="34">
        <f t="shared" si="4"/>
        <v>163.76470588235298</v>
      </c>
      <c r="K18" s="35">
        <f>COUNTIF(Vertices[Betweenness Centrality],"&gt;= "&amp;J18)-COUNTIF(Vertices[Betweenness Centrality],"&gt;="&amp;J19)</f>
        <v>0</v>
      </c>
      <c r="L18" s="34">
        <f t="shared" si="5"/>
        <v>0.03783623529411765</v>
      </c>
      <c r="M18" s="35">
        <f>COUNTIF(Vertices[Closeness Centrality],"&gt;= "&amp;L18)-COUNTIF(Vertices[Closeness Centrality],"&gt;="&amp;L19)</f>
        <v>3</v>
      </c>
      <c r="N18" s="34">
        <f t="shared" si="6"/>
        <v>0.26180941176470585</v>
      </c>
      <c r="O18" s="35">
        <f>COUNTIF(Vertices[Eigenvector Centrality],"&gt;= "&amp;N18)-COUNTIF(Vertices[Eigenvector Centrality],"&gt;="&amp;N19)</f>
        <v>5</v>
      </c>
      <c r="P18" s="34">
        <f t="shared" si="7"/>
        <v>0.00932970588235294</v>
      </c>
      <c r="Q18" s="35">
        <f>COUNTIF(Vertices[PageRank],"&gt;= "&amp;P18)-COUNTIF(Vertices[PageRank],"&gt;="&amp;P19)</f>
        <v>0</v>
      </c>
      <c r="R18" s="34">
        <f t="shared" si="8"/>
        <v>0.23529411764705885</v>
      </c>
      <c r="S18" s="40">
        <f>COUNTIF(Vertices[Clustering Coefficient],"&gt;= "&amp;R18)-COUNTIF(Vertices[Clustering Coefficient],"&gt;="&amp;R19)</f>
        <v>1</v>
      </c>
      <c r="T18" s="34" t="e">
        <f ca="1" t="shared" si="9"/>
        <v>#REF!</v>
      </c>
      <c r="U18" s="35" t="e">
        <f ca="1" t="shared" si="0"/>
        <v>#REF!</v>
      </c>
    </row>
    <row r="19" spans="1:21" ht="15">
      <c r="A19" s="108"/>
      <c r="B19" s="108"/>
      <c r="D19" s="29">
        <f t="shared" si="1"/>
        <v>0</v>
      </c>
      <c r="E19">
        <f>COUNTIF(Vertices[Degree],"&gt;= "&amp;D19)-COUNTIF(Vertices[Degree],"&gt;="&amp;D20)</f>
        <v>0</v>
      </c>
      <c r="F19" s="36">
        <f t="shared" si="2"/>
        <v>8.5</v>
      </c>
      <c r="G19" s="37">
        <f>COUNTIF(Vertices[In-Degree],"&gt;= "&amp;F19)-COUNTIF(Vertices[In-Degree],"&gt;="&amp;F20)</f>
        <v>0</v>
      </c>
      <c r="H19" s="36">
        <f t="shared" si="3"/>
        <v>5.999999999999998</v>
      </c>
      <c r="I19" s="37">
        <f>COUNTIF(Vertices[Out-Degree],"&gt;= "&amp;H19)-COUNTIF(Vertices[Out-Degree],"&gt;="&amp;H20)</f>
        <v>0</v>
      </c>
      <c r="J19" s="36">
        <f t="shared" si="4"/>
        <v>174.00000000000006</v>
      </c>
      <c r="K19" s="37">
        <f>COUNTIF(Vertices[Betweenness Centrality],"&gt;= "&amp;J19)-COUNTIF(Vertices[Betweenness Centrality],"&gt;="&amp;J20)</f>
        <v>0</v>
      </c>
      <c r="L19" s="36">
        <f t="shared" si="5"/>
        <v>0.040201</v>
      </c>
      <c r="M19" s="37">
        <f>COUNTIF(Vertices[Closeness Centrality],"&gt;= "&amp;L19)-COUNTIF(Vertices[Closeness Centrality],"&gt;="&amp;L20)</f>
        <v>20</v>
      </c>
      <c r="N19" s="36">
        <f t="shared" si="6"/>
        <v>0.27817249999999993</v>
      </c>
      <c r="O19" s="37">
        <f>COUNTIF(Vertices[Eigenvector Centrality],"&gt;= "&amp;N19)-COUNTIF(Vertices[Eigenvector Centrality],"&gt;="&amp;N20)</f>
        <v>0</v>
      </c>
      <c r="P19" s="36">
        <f t="shared" si="7"/>
        <v>0.009638999999999998</v>
      </c>
      <c r="Q19" s="37">
        <f>COUNTIF(Vertices[PageRank],"&gt;= "&amp;P19)-COUNTIF(Vertices[PageRank],"&gt;="&amp;P20)</f>
        <v>0</v>
      </c>
      <c r="R19" s="36">
        <f t="shared" si="8"/>
        <v>0.25</v>
      </c>
      <c r="S19" s="41">
        <f>COUNTIF(Vertices[Clustering Coefficient],"&gt;= "&amp;R19)-COUNTIF(Vertices[Clustering Coefficient],"&gt;="&amp;R20)</f>
        <v>0</v>
      </c>
      <c r="T19" s="36" t="e">
        <f ca="1" t="shared" si="9"/>
        <v>#REF!</v>
      </c>
      <c r="U19" s="37" t="e">
        <f ca="1" t="shared" si="0"/>
        <v>#REF!</v>
      </c>
    </row>
    <row r="20" spans="1:21" ht="15">
      <c r="A20" s="31" t="s">
        <v>156</v>
      </c>
      <c r="B20" s="31">
        <v>8</v>
      </c>
      <c r="D20" s="29">
        <f t="shared" si="1"/>
        <v>0</v>
      </c>
      <c r="E20">
        <f>COUNTIF(Vertices[Degree],"&gt;= "&amp;D20)-COUNTIF(Vertices[Degree],"&gt;="&amp;D21)</f>
        <v>0</v>
      </c>
      <c r="F20" s="34">
        <f t="shared" si="2"/>
        <v>9</v>
      </c>
      <c r="G20" s="35">
        <f>COUNTIF(Vertices[In-Degree],"&gt;= "&amp;F20)-COUNTIF(Vertices[In-Degree],"&gt;="&amp;F21)</f>
        <v>0</v>
      </c>
      <c r="H20" s="34">
        <f t="shared" si="3"/>
        <v>6.352941176470586</v>
      </c>
      <c r="I20" s="35">
        <f>COUNTIF(Vertices[Out-Degree],"&gt;= "&amp;H20)-COUNTIF(Vertices[Out-Degree],"&gt;="&amp;H21)</f>
        <v>0</v>
      </c>
      <c r="J20" s="34">
        <f t="shared" si="4"/>
        <v>184.23529411764713</v>
      </c>
      <c r="K20" s="35">
        <f>COUNTIF(Vertices[Betweenness Centrality],"&gt;= "&amp;J20)-COUNTIF(Vertices[Betweenness Centrality],"&gt;="&amp;J21)</f>
        <v>0</v>
      </c>
      <c r="L20" s="34">
        <f t="shared" si="5"/>
        <v>0.04256576470588235</v>
      </c>
      <c r="M20" s="35">
        <f>COUNTIF(Vertices[Closeness Centrality],"&gt;= "&amp;L20)-COUNTIF(Vertices[Closeness Centrality],"&gt;="&amp;L21)</f>
        <v>4</v>
      </c>
      <c r="N20" s="34">
        <f t="shared" si="6"/>
        <v>0.294535588235294</v>
      </c>
      <c r="O20" s="35">
        <f>COUNTIF(Vertices[Eigenvector Centrality],"&gt;= "&amp;N20)-COUNTIF(Vertices[Eigenvector Centrality],"&gt;="&amp;N21)</f>
        <v>0</v>
      </c>
      <c r="P20" s="34">
        <f t="shared" si="7"/>
        <v>0.009948294117647057</v>
      </c>
      <c r="Q20" s="35">
        <f>COUNTIF(Vertices[PageRank],"&gt;= "&amp;P20)-COUNTIF(Vertices[PageRank],"&gt;="&amp;P21)</f>
        <v>0</v>
      </c>
      <c r="R20" s="34">
        <f t="shared" si="8"/>
        <v>0.2647058823529412</v>
      </c>
      <c r="S20" s="40">
        <f>COUNTIF(Vertices[Clustering Coefficient],"&gt;= "&amp;R20)-COUNTIF(Vertices[Clustering Coefficient],"&gt;="&amp;R21)</f>
        <v>0</v>
      </c>
      <c r="T20" s="34" t="e">
        <f ca="1" t="shared" si="9"/>
        <v>#REF!</v>
      </c>
      <c r="U20" s="35" t="e">
        <f ca="1" t="shared" si="0"/>
        <v>#REF!</v>
      </c>
    </row>
    <row r="21" spans="1:21" ht="15">
      <c r="A21" s="31" t="s">
        <v>157</v>
      </c>
      <c r="B21" s="31">
        <v>2.091892</v>
      </c>
      <c r="D21" s="29">
        <f t="shared" si="1"/>
        <v>0</v>
      </c>
      <c r="E21">
        <f>COUNTIF(Vertices[Degree],"&gt;= "&amp;D21)-COUNTIF(Vertices[Degree],"&gt;="&amp;D22)</f>
        <v>0</v>
      </c>
      <c r="F21" s="36">
        <f t="shared" si="2"/>
        <v>9.5</v>
      </c>
      <c r="G21" s="37">
        <f>COUNTIF(Vertices[In-Degree],"&gt;= "&amp;F21)-COUNTIF(Vertices[In-Degree],"&gt;="&amp;F22)</f>
        <v>0</v>
      </c>
      <c r="H21" s="36">
        <f t="shared" si="3"/>
        <v>6.705882352941174</v>
      </c>
      <c r="I21" s="37">
        <f>COUNTIF(Vertices[Out-Degree],"&gt;= "&amp;H21)-COUNTIF(Vertices[Out-Degree],"&gt;="&amp;H22)</f>
        <v>0</v>
      </c>
      <c r="J21" s="36">
        <f t="shared" si="4"/>
        <v>194.4705882352942</v>
      </c>
      <c r="K21" s="37">
        <f>COUNTIF(Vertices[Betweenness Centrality],"&gt;= "&amp;J21)-COUNTIF(Vertices[Betweenness Centrality],"&gt;="&amp;J22)</f>
        <v>0</v>
      </c>
      <c r="L21" s="36">
        <f t="shared" si="5"/>
        <v>0.0449305294117647</v>
      </c>
      <c r="M21" s="37">
        <f>COUNTIF(Vertices[Closeness Centrality],"&gt;= "&amp;L21)-COUNTIF(Vertices[Closeness Centrality],"&gt;="&amp;L22)</f>
        <v>0</v>
      </c>
      <c r="N21" s="36">
        <f t="shared" si="6"/>
        <v>0.3108986764705881</v>
      </c>
      <c r="O21" s="37">
        <f>COUNTIF(Vertices[Eigenvector Centrality],"&gt;= "&amp;N21)-COUNTIF(Vertices[Eigenvector Centrality],"&gt;="&amp;N22)</f>
        <v>0</v>
      </c>
      <c r="P21" s="36">
        <f t="shared" si="7"/>
        <v>0.010257588235294116</v>
      </c>
      <c r="Q21" s="37">
        <f>COUNTIF(Vertices[PageRank],"&gt;= "&amp;P21)-COUNTIF(Vertices[PageRank],"&gt;="&amp;P22)</f>
        <v>0</v>
      </c>
      <c r="R21" s="36">
        <f t="shared" si="8"/>
        <v>0.27941176470588236</v>
      </c>
      <c r="S21" s="41">
        <f>COUNTIF(Vertices[Clustering Coefficient],"&gt;= "&amp;R21)-COUNTIF(Vertices[Clustering Coefficient],"&gt;="&amp;R22)</f>
        <v>0</v>
      </c>
      <c r="T21" s="36" t="e">
        <f ca="1" t="shared" si="9"/>
        <v>#REF!</v>
      </c>
      <c r="U21" s="37" t="e">
        <f ca="1" t="shared" si="0"/>
        <v>#REF!</v>
      </c>
    </row>
    <row r="22" spans="1:21" ht="15">
      <c r="A22" s="108"/>
      <c r="B22" s="108"/>
      <c r="D22" s="29">
        <f t="shared" si="1"/>
        <v>0</v>
      </c>
      <c r="E22">
        <f>COUNTIF(Vertices[Degree],"&gt;= "&amp;D22)-COUNTIF(Vertices[Degree],"&gt;="&amp;D23)</f>
        <v>0</v>
      </c>
      <c r="F22" s="34">
        <f t="shared" si="2"/>
        <v>10</v>
      </c>
      <c r="G22" s="35">
        <f>COUNTIF(Vertices[In-Degree],"&gt;= "&amp;F22)-COUNTIF(Vertices[In-Degree],"&gt;="&amp;F23)</f>
        <v>0</v>
      </c>
      <c r="H22" s="34">
        <f t="shared" si="3"/>
        <v>7.058823529411762</v>
      </c>
      <c r="I22" s="35">
        <f>COUNTIF(Vertices[Out-Degree],"&gt;= "&amp;H22)-COUNTIF(Vertices[Out-Degree],"&gt;="&amp;H23)</f>
        <v>0</v>
      </c>
      <c r="J22" s="34">
        <f t="shared" si="4"/>
        <v>204.70588235294127</v>
      </c>
      <c r="K22" s="35">
        <f>COUNTIF(Vertices[Betweenness Centrality],"&gt;= "&amp;J22)-COUNTIF(Vertices[Betweenness Centrality],"&gt;="&amp;J23)</f>
        <v>1</v>
      </c>
      <c r="L22" s="34">
        <f t="shared" si="5"/>
        <v>0.04729529411764705</v>
      </c>
      <c r="M22" s="35">
        <f>COUNTIF(Vertices[Closeness Centrality],"&gt;= "&amp;L22)-COUNTIF(Vertices[Closeness Centrality],"&gt;="&amp;L23)</f>
        <v>0</v>
      </c>
      <c r="N22" s="34">
        <f t="shared" si="6"/>
        <v>0.3272617647058822</v>
      </c>
      <c r="O22" s="35">
        <f>COUNTIF(Vertices[Eigenvector Centrality],"&gt;= "&amp;N22)-COUNTIF(Vertices[Eigenvector Centrality],"&gt;="&amp;N23)</f>
        <v>0</v>
      </c>
      <c r="P22" s="34">
        <f t="shared" si="7"/>
        <v>0.010566882352941174</v>
      </c>
      <c r="Q22" s="35">
        <f>COUNTIF(Vertices[PageRank],"&gt;= "&amp;P22)-COUNTIF(Vertices[PageRank],"&gt;="&amp;P23)</f>
        <v>0</v>
      </c>
      <c r="R22" s="34">
        <f t="shared" si="8"/>
        <v>0.29411764705882354</v>
      </c>
      <c r="S22" s="40">
        <f>COUNTIF(Vertices[Clustering Coefficient],"&gt;= "&amp;R22)-COUNTIF(Vertices[Clustering Coefficient],"&gt;="&amp;R23)</f>
        <v>0</v>
      </c>
      <c r="T22" s="34" t="e">
        <f ca="1" t="shared" si="9"/>
        <v>#REF!</v>
      </c>
      <c r="U22" s="35" t="e">
        <f ca="1" t="shared" si="0"/>
        <v>#REF!</v>
      </c>
    </row>
    <row r="23" spans="1:21" ht="15">
      <c r="A23" s="31" t="s">
        <v>158</v>
      </c>
      <c r="B23" s="31">
        <v>0.0037688442211055275</v>
      </c>
      <c r="D23" s="29">
        <f t="shared" si="1"/>
        <v>0</v>
      </c>
      <c r="E23">
        <f>COUNTIF(Vertices[Degree],"&gt;= "&amp;D23)-COUNTIF(Vertices[Degree],"&gt;="&amp;D24)</f>
        <v>0</v>
      </c>
      <c r="F23" s="36">
        <f t="shared" si="2"/>
        <v>10.5</v>
      </c>
      <c r="G23" s="37">
        <f>COUNTIF(Vertices[In-Degree],"&gt;= "&amp;F23)-COUNTIF(Vertices[In-Degree],"&gt;="&amp;F24)</f>
        <v>0</v>
      </c>
      <c r="H23" s="36">
        <f t="shared" si="3"/>
        <v>7.41176470588235</v>
      </c>
      <c r="I23" s="37">
        <f>COUNTIF(Vertices[Out-Degree],"&gt;= "&amp;H23)-COUNTIF(Vertices[Out-Degree],"&gt;="&amp;H24)</f>
        <v>0</v>
      </c>
      <c r="J23" s="36">
        <f t="shared" si="4"/>
        <v>214.94117647058835</v>
      </c>
      <c r="K23" s="37">
        <f>COUNTIF(Vertices[Betweenness Centrality],"&gt;= "&amp;J23)-COUNTIF(Vertices[Betweenness Centrality],"&gt;="&amp;J24)</f>
        <v>0</v>
      </c>
      <c r="L23" s="36">
        <f t="shared" si="5"/>
        <v>0.049660058823529404</v>
      </c>
      <c r="M23" s="37">
        <f>COUNTIF(Vertices[Closeness Centrality],"&gt;= "&amp;L23)-COUNTIF(Vertices[Closeness Centrality],"&gt;="&amp;L24)</f>
        <v>0</v>
      </c>
      <c r="N23" s="36">
        <f t="shared" si="6"/>
        <v>0.3436248529411763</v>
      </c>
      <c r="O23" s="37">
        <f>COUNTIF(Vertices[Eigenvector Centrality],"&gt;= "&amp;N23)-COUNTIF(Vertices[Eigenvector Centrality],"&gt;="&amp;N24)</f>
        <v>0</v>
      </c>
      <c r="P23" s="36">
        <f t="shared" si="7"/>
        <v>0.010876176470588233</v>
      </c>
      <c r="Q23" s="37">
        <f>COUNTIF(Vertices[PageRank],"&gt;= "&amp;P23)-COUNTIF(Vertices[PageRank],"&gt;="&amp;P24)</f>
        <v>0</v>
      </c>
      <c r="R23" s="36">
        <f t="shared" si="8"/>
        <v>0.3088235294117647</v>
      </c>
      <c r="S23" s="41">
        <f>COUNTIF(Vertices[Clustering Coefficient],"&gt;= "&amp;R23)-COUNTIF(Vertices[Clustering Coefficient],"&gt;="&amp;R24)</f>
        <v>0</v>
      </c>
      <c r="T23" s="36" t="e">
        <f ca="1" t="shared" si="9"/>
        <v>#REF!</v>
      </c>
      <c r="U23" s="37" t="e">
        <f ca="1" t="shared" si="0"/>
        <v>#REF!</v>
      </c>
    </row>
    <row r="24" spans="1:21" ht="15">
      <c r="A24" s="31" t="s">
        <v>1790</v>
      </c>
      <c r="B24" s="31">
        <v>0.794911</v>
      </c>
      <c r="D24" s="29">
        <f t="shared" si="1"/>
        <v>0</v>
      </c>
      <c r="E24">
        <f>COUNTIF(Vertices[Degree],"&gt;= "&amp;D24)-COUNTIF(Vertices[Degree],"&gt;="&amp;D25)</f>
        <v>0</v>
      </c>
      <c r="F24" s="34">
        <f t="shared" si="2"/>
        <v>11</v>
      </c>
      <c r="G24" s="35">
        <f>COUNTIF(Vertices[In-Degree],"&gt;= "&amp;F24)-COUNTIF(Vertices[In-Degree],"&gt;="&amp;F25)</f>
        <v>0</v>
      </c>
      <c r="H24" s="34">
        <f t="shared" si="3"/>
        <v>7.764705882352938</v>
      </c>
      <c r="I24" s="35">
        <f>COUNTIF(Vertices[Out-Degree],"&gt;= "&amp;H24)-COUNTIF(Vertices[Out-Degree],"&gt;="&amp;H25)</f>
        <v>0</v>
      </c>
      <c r="J24" s="34">
        <f t="shared" si="4"/>
        <v>225.17647058823542</v>
      </c>
      <c r="K24" s="35">
        <f>COUNTIF(Vertices[Betweenness Centrality],"&gt;= "&amp;J24)-COUNTIF(Vertices[Betweenness Centrality],"&gt;="&amp;J25)</f>
        <v>0</v>
      </c>
      <c r="L24" s="34">
        <f t="shared" si="5"/>
        <v>0.052024823529411755</v>
      </c>
      <c r="M24" s="35">
        <f>COUNTIF(Vertices[Closeness Centrality],"&gt;= "&amp;L24)-COUNTIF(Vertices[Closeness Centrality],"&gt;="&amp;L25)</f>
        <v>1</v>
      </c>
      <c r="N24" s="34">
        <f t="shared" si="6"/>
        <v>0.35998794117647037</v>
      </c>
      <c r="O24" s="35">
        <f>COUNTIF(Vertices[Eigenvector Centrality],"&gt;= "&amp;N24)-COUNTIF(Vertices[Eigenvector Centrality],"&gt;="&amp;N25)</f>
        <v>0</v>
      </c>
      <c r="P24" s="34">
        <f t="shared" si="7"/>
        <v>0.011185470588235292</v>
      </c>
      <c r="Q24" s="35">
        <f>COUNTIF(Vertices[PageRank],"&gt;= "&amp;P24)-COUNTIF(Vertices[PageRank],"&gt;="&amp;P25)</f>
        <v>0</v>
      </c>
      <c r="R24" s="34">
        <f t="shared" si="8"/>
        <v>0.3235294117647059</v>
      </c>
      <c r="S24" s="40">
        <f>COUNTIF(Vertices[Clustering Coefficient],"&gt;= "&amp;R24)-COUNTIF(Vertices[Clustering Coefficient],"&gt;="&amp;R25)</f>
        <v>16</v>
      </c>
      <c r="T24" s="34" t="e">
        <f ca="1" t="shared" si="9"/>
        <v>#REF!</v>
      </c>
      <c r="U24" s="35" t="e">
        <f ca="1" t="shared" si="0"/>
        <v>#REF!</v>
      </c>
    </row>
    <row r="25" spans="1:21" ht="15">
      <c r="A25" s="108"/>
      <c r="B25" s="108"/>
      <c r="D25" s="29">
        <f t="shared" si="1"/>
        <v>0</v>
      </c>
      <c r="E25">
        <f>COUNTIF(Vertices[Degree],"&gt;= "&amp;D25)-COUNTIF(Vertices[Degree],"&gt;="&amp;D26)</f>
        <v>0</v>
      </c>
      <c r="F25" s="36">
        <f t="shared" si="2"/>
        <v>11.5</v>
      </c>
      <c r="G25" s="37">
        <f>COUNTIF(Vertices[In-Degree],"&gt;= "&amp;F25)-COUNTIF(Vertices[In-Degree],"&gt;="&amp;F26)</f>
        <v>0</v>
      </c>
      <c r="H25" s="36">
        <f t="shared" si="3"/>
        <v>8.117647058823525</v>
      </c>
      <c r="I25" s="37">
        <f>COUNTIF(Vertices[Out-Degree],"&gt;= "&amp;H25)-COUNTIF(Vertices[Out-Degree],"&gt;="&amp;H26)</f>
        <v>0</v>
      </c>
      <c r="J25" s="36">
        <f t="shared" si="4"/>
        <v>235.4117647058825</v>
      </c>
      <c r="K25" s="37">
        <f>COUNTIF(Vertices[Betweenness Centrality],"&gt;= "&amp;J25)-COUNTIF(Vertices[Betweenness Centrality],"&gt;="&amp;J26)</f>
        <v>1</v>
      </c>
      <c r="L25" s="36">
        <f t="shared" si="5"/>
        <v>0.054389588235294106</v>
      </c>
      <c r="M25" s="37">
        <f>COUNTIF(Vertices[Closeness Centrality],"&gt;= "&amp;L25)-COUNTIF(Vertices[Closeness Centrality],"&gt;="&amp;L26)</f>
        <v>1</v>
      </c>
      <c r="N25" s="36">
        <f t="shared" si="6"/>
        <v>0.37635102941176446</v>
      </c>
      <c r="O25" s="37">
        <f>COUNTIF(Vertices[Eigenvector Centrality],"&gt;= "&amp;N25)-COUNTIF(Vertices[Eigenvector Centrality],"&gt;="&amp;N26)</f>
        <v>0</v>
      </c>
      <c r="P25" s="36">
        <f t="shared" si="7"/>
        <v>0.01149476470588235</v>
      </c>
      <c r="Q25" s="37">
        <f>COUNTIF(Vertices[PageRank],"&gt;= "&amp;P25)-COUNTIF(Vertices[PageRank],"&gt;="&amp;P26)</f>
        <v>1</v>
      </c>
      <c r="R25" s="36">
        <f t="shared" si="8"/>
        <v>0.3382352941176471</v>
      </c>
      <c r="S25" s="41">
        <f>COUNTIF(Vertices[Clustering Coefficient],"&gt;= "&amp;R25)-COUNTIF(Vertices[Clustering Coefficient],"&gt;="&amp;R26)</f>
        <v>0</v>
      </c>
      <c r="T25" s="36" t="e">
        <f ca="1" t="shared" si="9"/>
        <v>#REF!</v>
      </c>
      <c r="U25" s="37" t="e">
        <f ca="1" t="shared" si="0"/>
        <v>#REF!</v>
      </c>
    </row>
    <row r="26" spans="1:21" ht="15">
      <c r="A26" s="31" t="s">
        <v>1791</v>
      </c>
      <c r="B26" s="31" t="s">
        <v>1806</v>
      </c>
      <c r="D26" s="29">
        <f t="shared" si="1"/>
        <v>0</v>
      </c>
      <c r="E26">
        <f>COUNTIF(Vertices[Degree],"&gt;= "&amp;D26)-COUNTIF(Vertices[Degree],"&gt;="&amp;D27)</f>
        <v>0</v>
      </c>
      <c r="F26" s="34">
        <f t="shared" si="2"/>
        <v>12</v>
      </c>
      <c r="G26" s="35">
        <f>COUNTIF(Vertices[In-Degree],"&gt;= "&amp;F26)-COUNTIF(Vertices[In-Degree],"&gt;="&amp;F27)</f>
        <v>0</v>
      </c>
      <c r="H26" s="34">
        <f t="shared" si="3"/>
        <v>8.470588235294114</v>
      </c>
      <c r="I26" s="35">
        <f>COUNTIF(Vertices[Out-Degree],"&gt;= "&amp;H26)-COUNTIF(Vertices[Out-Degree],"&gt;="&amp;H27)</f>
        <v>0</v>
      </c>
      <c r="J26" s="34">
        <f t="shared" si="4"/>
        <v>245.64705882352956</v>
      </c>
      <c r="K26" s="35">
        <f>COUNTIF(Vertices[Betweenness Centrality],"&gt;= "&amp;J26)-COUNTIF(Vertices[Betweenness Centrality],"&gt;="&amp;J27)</f>
        <v>0</v>
      </c>
      <c r="L26" s="34">
        <f t="shared" si="5"/>
        <v>0.05675435294117646</v>
      </c>
      <c r="M26" s="35">
        <f>COUNTIF(Vertices[Closeness Centrality],"&gt;= "&amp;L26)-COUNTIF(Vertices[Closeness Centrality],"&gt;="&amp;L27)</f>
        <v>0</v>
      </c>
      <c r="N26" s="34">
        <f t="shared" si="6"/>
        <v>0.39271411764705855</v>
      </c>
      <c r="O26" s="35">
        <f>COUNTIF(Vertices[Eigenvector Centrality],"&gt;= "&amp;N26)-COUNTIF(Vertices[Eigenvector Centrality],"&gt;="&amp;N27)</f>
        <v>2</v>
      </c>
      <c r="P26" s="34">
        <f t="shared" si="7"/>
        <v>0.011804058823529409</v>
      </c>
      <c r="Q26" s="35">
        <f>COUNTIF(Vertices[PageRank],"&gt;= "&amp;P26)-COUNTIF(Vertices[PageRank],"&gt;="&amp;P27)</f>
        <v>0</v>
      </c>
      <c r="R26" s="34">
        <f t="shared" si="8"/>
        <v>0.35294117647058826</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08"/>
      <c r="B27" s="108"/>
      <c r="D27" s="29">
        <f t="shared" si="1"/>
        <v>0</v>
      </c>
      <c r="E27">
        <f>COUNTIF(Vertices[Degree],"&gt;= "&amp;D27)-COUNTIF(Vertices[Degree],"&gt;="&amp;D28)</f>
        <v>0</v>
      </c>
      <c r="F27" s="36">
        <f t="shared" si="2"/>
        <v>12.5</v>
      </c>
      <c r="G27" s="37">
        <f>COUNTIF(Vertices[In-Degree],"&gt;= "&amp;F27)-COUNTIF(Vertices[In-Degree],"&gt;="&amp;F28)</f>
        <v>0</v>
      </c>
      <c r="H27" s="36">
        <f t="shared" si="3"/>
        <v>8.823529411764703</v>
      </c>
      <c r="I27" s="37">
        <f>COUNTIF(Vertices[Out-Degree],"&gt;= "&amp;H27)-COUNTIF(Vertices[Out-Degree],"&gt;="&amp;H28)</f>
        <v>0</v>
      </c>
      <c r="J27" s="36">
        <f t="shared" si="4"/>
        <v>255.88235294117663</v>
      </c>
      <c r="K27" s="37">
        <f>COUNTIF(Vertices[Betweenness Centrality],"&gt;= "&amp;J27)-COUNTIF(Vertices[Betweenness Centrality],"&gt;="&amp;J28)</f>
        <v>0</v>
      </c>
      <c r="L27" s="36">
        <f t="shared" si="5"/>
        <v>0.05911911764705881</v>
      </c>
      <c r="M27" s="37">
        <f>COUNTIF(Vertices[Closeness Centrality],"&gt;= "&amp;L27)-COUNTIF(Vertices[Closeness Centrality],"&gt;="&amp;L28)</f>
        <v>0</v>
      </c>
      <c r="N27" s="36">
        <f t="shared" si="6"/>
        <v>0.40907720588235263</v>
      </c>
      <c r="O27" s="37">
        <f>COUNTIF(Vertices[Eigenvector Centrality],"&gt;= "&amp;N27)-COUNTIF(Vertices[Eigenvector Centrality],"&gt;="&amp;N28)</f>
        <v>0</v>
      </c>
      <c r="P27" s="36">
        <f t="shared" si="7"/>
        <v>0.012113352941176467</v>
      </c>
      <c r="Q27" s="37">
        <f>COUNTIF(Vertices[PageRank],"&gt;= "&amp;P27)-COUNTIF(Vertices[PageRank],"&gt;="&amp;P28)</f>
        <v>0</v>
      </c>
      <c r="R27" s="36">
        <f t="shared" si="8"/>
        <v>0.36764705882352944</v>
      </c>
      <c r="S27" s="41">
        <f>COUNTIF(Vertices[Clustering Coefficient],"&gt;= "&amp;R27)-COUNTIF(Vertices[Clustering Coefficient],"&gt;="&amp;R28)</f>
        <v>0</v>
      </c>
      <c r="T27" s="36" t="e">
        <f ca="1" t="shared" si="9"/>
        <v>#REF!</v>
      </c>
      <c r="U27" s="37" t="e">
        <f ca="1" t="shared" si="10"/>
        <v>#REF!</v>
      </c>
    </row>
    <row r="28" spans="1:21" ht="15">
      <c r="A28" s="31" t="s">
        <v>1792</v>
      </c>
      <c r="B28" s="31" t="s">
        <v>1863</v>
      </c>
      <c r="D28" s="29">
        <f t="shared" si="1"/>
        <v>0</v>
      </c>
      <c r="E28">
        <f>COUNTIF(Vertices[Degree],"&gt;= "&amp;D28)-COUNTIF(Vertices[Degree],"&gt;="&amp;D29)</f>
        <v>0</v>
      </c>
      <c r="F28" s="34">
        <f t="shared" si="2"/>
        <v>13</v>
      </c>
      <c r="G28" s="35">
        <f>COUNTIF(Vertices[In-Degree],"&gt;= "&amp;F28)-COUNTIF(Vertices[In-Degree],"&gt;="&amp;F29)</f>
        <v>0</v>
      </c>
      <c r="H28" s="34">
        <f t="shared" si="3"/>
        <v>9.176470588235292</v>
      </c>
      <c r="I28" s="35">
        <f>COUNTIF(Vertices[Out-Degree],"&gt;= "&amp;H28)-COUNTIF(Vertices[Out-Degree],"&gt;="&amp;H29)</f>
        <v>0</v>
      </c>
      <c r="J28" s="34">
        <f t="shared" si="4"/>
        <v>266.1176470588237</v>
      </c>
      <c r="K28" s="35">
        <f>COUNTIF(Vertices[Betweenness Centrality],"&gt;= "&amp;J28)-COUNTIF(Vertices[Betweenness Centrality],"&gt;="&amp;J29)</f>
        <v>0</v>
      </c>
      <c r="L28" s="34">
        <f t="shared" si="5"/>
        <v>0.06148388235294116</v>
      </c>
      <c r="M28" s="35">
        <f>COUNTIF(Vertices[Closeness Centrality],"&gt;= "&amp;L28)-COUNTIF(Vertices[Closeness Centrality],"&gt;="&amp;L29)</f>
        <v>0</v>
      </c>
      <c r="N28" s="34">
        <f t="shared" si="6"/>
        <v>0.4254402941176467</v>
      </c>
      <c r="O28" s="35">
        <f>COUNTIF(Vertices[Eigenvector Centrality],"&gt;= "&amp;N28)-COUNTIF(Vertices[Eigenvector Centrality],"&gt;="&amp;N29)</f>
        <v>0</v>
      </c>
      <c r="P28" s="34">
        <f t="shared" si="7"/>
        <v>0.012422647058823526</v>
      </c>
      <c r="Q28" s="35">
        <f>COUNTIF(Vertices[PageRank],"&gt;= "&amp;P28)-COUNTIF(Vertices[PageRank],"&gt;="&amp;P29)</f>
        <v>0</v>
      </c>
      <c r="R28" s="34">
        <f t="shared" si="8"/>
        <v>0.3823529411764706</v>
      </c>
      <c r="S28" s="40">
        <f>COUNTIF(Vertices[Clustering Coefficient],"&gt;= "&amp;R28)-COUNTIF(Vertices[Clustering Coefficient],"&gt;="&amp;R29)</f>
        <v>0</v>
      </c>
      <c r="T28" s="34" t="e">
        <f ca="1" t="shared" si="9"/>
        <v>#REF!</v>
      </c>
      <c r="U28" s="35" t="e">
        <f ca="1" t="shared" si="10"/>
        <v>#REF!</v>
      </c>
    </row>
    <row r="29" spans="1:21" ht="15">
      <c r="A29" s="31" t="s">
        <v>1793</v>
      </c>
      <c r="B29" s="31" t="s">
        <v>1864</v>
      </c>
      <c r="D29" s="29">
        <f t="shared" si="1"/>
        <v>0</v>
      </c>
      <c r="E29">
        <f>COUNTIF(Vertices[Degree],"&gt;= "&amp;D29)-COUNTIF(Vertices[Degree],"&gt;="&amp;D30)</f>
        <v>0</v>
      </c>
      <c r="F29" s="36">
        <f t="shared" si="2"/>
        <v>13.5</v>
      </c>
      <c r="G29" s="37">
        <f>COUNTIF(Vertices[In-Degree],"&gt;= "&amp;F29)-COUNTIF(Vertices[In-Degree],"&gt;="&amp;F30)</f>
        <v>0</v>
      </c>
      <c r="H29" s="36">
        <f t="shared" si="3"/>
        <v>9.52941176470588</v>
      </c>
      <c r="I29" s="37">
        <f>COUNTIF(Vertices[Out-Degree],"&gt;= "&amp;H29)-COUNTIF(Vertices[Out-Degree],"&gt;="&amp;H30)</f>
        <v>0</v>
      </c>
      <c r="J29" s="36">
        <f t="shared" si="4"/>
        <v>276.3529411764708</v>
      </c>
      <c r="K29" s="37">
        <f>COUNTIF(Vertices[Betweenness Centrality],"&gt;= "&amp;J29)-COUNTIF(Vertices[Betweenness Centrality],"&gt;="&amp;J30)</f>
        <v>0</v>
      </c>
      <c r="L29" s="36">
        <f t="shared" si="5"/>
        <v>0.06384864705882351</v>
      </c>
      <c r="M29" s="37">
        <f>COUNTIF(Vertices[Closeness Centrality],"&gt;= "&amp;L29)-COUNTIF(Vertices[Closeness Centrality],"&gt;="&amp;L30)</f>
        <v>1</v>
      </c>
      <c r="N29" s="36">
        <f t="shared" si="6"/>
        <v>0.4418033823529408</v>
      </c>
      <c r="O29" s="37">
        <f>COUNTIF(Vertices[Eigenvector Centrality],"&gt;= "&amp;N29)-COUNTIF(Vertices[Eigenvector Centrality],"&gt;="&amp;N30)</f>
        <v>0</v>
      </c>
      <c r="P29" s="36">
        <f t="shared" si="7"/>
        <v>0.012731941176470585</v>
      </c>
      <c r="Q29" s="37">
        <f>COUNTIF(Vertices[PageRank],"&gt;= "&amp;P29)-COUNTIF(Vertices[PageRank],"&gt;="&amp;P30)</f>
        <v>0</v>
      </c>
      <c r="R29" s="36">
        <f t="shared" si="8"/>
        <v>0.3970588235294118</v>
      </c>
      <c r="S29" s="41">
        <f>COUNTIF(Vertices[Clustering Coefficient],"&gt;= "&amp;R29)-COUNTIF(Vertices[Clustering Coefficient],"&gt;="&amp;R30)</f>
        <v>0</v>
      </c>
      <c r="T29" s="36" t="e">
        <f ca="1" t="shared" si="9"/>
        <v>#REF!</v>
      </c>
      <c r="U29" s="37" t="e">
        <f ca="1" t="shared" si="10"/>
        <v>#REF!</v>
      </c>
    </row>
    <row r="30" spans="1:21" ht="15">
      <c r="A30" s="108"/>
      <c r="B30" s="108"/>
      <c r="D30" s="29">
        <f t="shared" si="1"/>
        <v>0</v>
      </c>
      <c r="E30">
        <f>COUNTIF(Vertices[Degree],"&gt;= "&amp;D30)-COUNTIF(Vertices[Degree],"&gt;="&amp;D31)</f>
        <v>0</v>
      </c>
      <c r="F30" s="34">
        <f t="shared" si="2"/>
        <v>14</v>
      </c>
      <c r="G30" s="35">
        <f>COUNTIF(Vertices[In-Degree],"&gt;= "&amp;F30)-COUNTIF(Vertices[In-Degree],"&gt;="&amp;F31)</f>
        <v>0</v>
      </c>
      <c r="H30" s="34">
        <f t="shared" si="3"/>
        <v>9.88235294117647</v>
      </c>
      <c r="I30" s="35">
        <f>COUNTIF(Vertices[Out-Degree],"&gt;= "&amp;H30)-COUNTIF(Vertices[Out-Degree],"&gt;="&amp;H31)</f>
        <v>0</v>
      </c>
      <c r="J30" s="34">
        <f t="shared" si="4"/>
        <v>286.58823529411785</v>
      </c>
      <c r="K30" s="35">
        <f>COUNTIF(Vertices[Betweenness Centrality],"&gt;= "&amp;J30)-COUNTIF(Vertices[Betweenness Centrality],"&gt;="&amp;J31)</f>
        <v>0</v>
      </c>
      <c r="L30" s="34">
        <f t="shared" si="5"/>
        <v>0.06621341176470587</v>
      </c>
      <c r="M30" s="35">
        <f>COUNTIF(Vertices[Closeness Centrality],"&gt;= "&amp;L30)-COUNTIF(Vertices[Closeness Centrality],"&gt;="&amp;L31)</f>
        <v>0</v>
      </c>
      <c r="N30" s="34">
        <f t="shared" si="6"/>
        <v>0.4581664705882349</v>
      </c>
      <c r="O30" s="35">
        <f>COUNTIF(Vertices[Eigenvector Centrality],"&gt;= "&amp;N30)-COUNTIF(Vertices[Eigenvector Centrality],"&gt;="&amp;N31)</f>
        <v>0</v>
      </c>
      <c r="P30" s="34">
        <f t="shared" si="7"/>
        <v>0.013041235294117643</v>
      </c>
      <c r="Q30" s="35">
        <f>COUNTIF(Vertices[PageRank],"&gt;= "&amp;P30)-COUNTIF(Vertices[PageRank],"&gt;="&amp;P31)</f>
        <v>0</v>
      </c>
      <c r="R30" s="34">
        <f t="shared" si="8"/>
        <v>0.411764705882353</v>
      </c>
      <c r="S30" s="40">
        <f>COUNTIF(Vertices[Clustering Coefficient],"&gt;= "&amp;R30)-COUNTIF(Vertices[Clustering Coefficient],"&gt;="&amp;R31)</f>
        <v>0</v>
      </c>
      <c r="T30" s="34" t="e">
        <f ca="1" t="shared" si="9"/>
        <v>#REF!</v>
      </c>
      <c r="U30" s="35" t="e">
        <f ca="1" t="shared" si="10"/>
        <v>#REF!</v>
      </c>
    </row>
    <row r="31" spans="1:21" ht="15">
      <c r="A31" s="31" t="s">
        <v>1794</v>
      </c>
      <c r="B31" s="31" t="s">
        <v>1858</v>
      </c>
      <c r="D31" s="29">
        <f t="shared" si="1"/>
        <v>0</v>
      </c>
      <c r="E31">
        <f>COUNTIF(Vertices[Degree],"&gt;= "&amp;D31)-COUNTIF(Vertices[Degree],"&gt;="&amp;D32)</f>
        <v>0</v>
      </c>
      <c r="F31" s="36">
        <f t="shared" si="2"/>
        <v>14.5</v>
      </c>
      <c r="G31" s="37">
        <f>COUNTIF(Vertices[In-Degree],"&gt;= "&amp;F31)-COUNTIF(Vertices[In-Degree],"&gt;="&amp;F32)</f>
        <v>0</v>
      </c>
      <c r="H31" s="36">
        <f t="shared" si="3"/>
        <v>10.235294117647058</v>
      </c>
      <c r="I31" s="37">
        <f>COUNTIF(Vertices[Out-Degree],"&gt;= "&amp;H31)-COUNTIF(Vertices[Out-Degree],"&gt;="&amp;H32)</f>
        <v>0</v>
      </c>
      <c r="J31" s="36">
        <f t="shared" si="4"/>
        <v>296.8235294117649</v>
      </c>
      <c r="K31" s="37">
        <f>COUNTIF(Vertices[Betweenness Centrality],"&gt;= "&amp;J31)-COUNTIF(Vertices[Betweenness Centrality],"&gt;="&amp;J32)</f>
        <v>0</v>
      </c>
      <c r="L31" s="36">
        <f t="shared" si="5"/>
        <v>0.06857817647058823</v>
      </c>
      <c r="M31" s="37">
        <f>COUNTIF(Vertices[Closeness Centrality],"&gt;= "&amp;L31)-COUNTIF(Vertices[Closeness Centrality],"&gt;="&amp;L32)</f>
        <v>0</v>
      </c>
      <c r="N31" s="36">
        <f t="shared" si="6"/>
        <v>0.474529558823529</v>
      </c>
      <c r="O31" s="37">
        <f>COUNTIF(Vertices[Eigenvector Centrality],"&gt;= "&amp;N31)-COUNTIF(Vertices[Eigenvector Centrality],"&gt;="&amp;N32)</f>
        <v>0</v>
      </c>
      <c r="P31" s="36">
        <f t="shared" si="7"/>
        <v>0.013350529411764702</v>
      </c>
      <c r="Q31" s="37">
        <f>COUNTIF(Vertices[PageRank],"&gt;= "&amp;P31)-COUNTIF(Vertices[PageRank],"&gt;="&amp;P32)</f>
        <v>0</v>
      </c>
      <c r="R31" s="36">
        <f t="shared" si="8"/>
        <v>0.42647058823529416</v>
      </c>
      <c r="S31" s="41">
        <f>COUNTIF(Vertices[Clustering Coefficient],"&gt;= "&amp;R31)-COUNTIF(Vertices[Clustering Coefficient],"&gt;="&amp;R32)</f>
        <v>0</v>
      </c>
      <c r="T31" s="36" t="e">
        <f ca="1" t="shared" si="9"/>
        <v>#REF!</v>
      </c>
      <c r="U31" s="37" t="e">
        <f ca="1" t="shared" si="10"/>
        <v>#REF!</v>
      </c>
    </row>
    <row r="32" spans="1:21" ht="15">
      <c r="A32" s="31" t="s">
        <v>1795</v>
      </c>
      <c r="B32" s="31" t="s">
        <v>1859</v>
      </c>
      <c r="D32" s="29">
        <f t="shared" si="1"/>
        <v>0</v>
      </c>
      <c r="E32">
        <f>COUNTIF(Vertices[Degree],"&gt;= "&amp;D32)-COUNTIF(Vertices[Degree],"&gt;="&amp;D33)</f>
        <v>0</v>
      </c>
      <c r="F32" s="34">
        <f t="shared" si="2"/>
        <v>15</v>
      </c>
      <c r="G32" s="35">
        <f>COUNTIF(Vertices[In-Degree],"&gt;= "&amp;F32)-COUNTIF(Vertices[In-Degree],"&gt;="&amp;F33)</f>
        <v>0</v>
      </c>
      <c r="H32" s="34">
        <f t="shared" si="3"/>
        <v>10.588235294117647</v>
      </c>
      <c r="I32" s="35">
        <f>COUNTIF(Vertices[Out-Degree],"&gt;= "&amp;H32)-COUNTIF(Vertices[Out-Degree],"&gt;="&amp;H33)</f>
        <v>0</v>
      </c>
      <c r="J32" s="34">
        <f t="shared" si="4"/>
        <v>307.058823529412</v>
      </c>
      <c r="K32" s="35">
        <f>COUNTIF(Vertices[Betweenness Centrality],"&gt;= "&amp;J32)-COUNTIF(Vertices[Betweenness Centrality],"&gt;="&amp;J33)</f>
        <v>0</v>
      </c>
      <c r="L32" s="34">
        <f t="shared" si="5"/>
        <v>0.07094294117647058</v>
      </c>
      <c r="M32" s="35">
        <f>COUNTIF(Vertices[Closeness Centrality],"&gt;= "&amp;L32)-COUNTIF(Vertices[Closeness Centrality],"&gt;="&amp;L33)</f>
        <v>0</v>
      </c>
      <c r="N32" s="34">
        <f t="shared" si="6"/>
        <v>0.4908926470588231</v>
      </c>
      <c r="O32" s="35">
        <f>COUNTIF(Vertices[Eigenvector Centrality],"&gt;= "&amp;N32)-COUNTIF(Vertices[Eigenvector Centrality],"&gt;="&amp;N33)</f>
        <v>0</v>
      </c>
      <c r="P32" s="34">
        <f t="shared" si="7"/>
        <v>0.01365982352941176</v>
      </c>
      <c r="Q32" s="35">
        <f>COUNTIF(Vertices[PageRank],"&gt;= "&amp;P32)-COUNTIF(Vertices[PageRank],"&gt;="&amp;P33)</f>
        <v>0</v>
      </c>
      <c r="R32" s="34">
        <f t="shared" si="8"/>
        <v>0.44117647058823534</v>
      </c>
      <c r="S32" s="40">
        <f>COUNTIF(Vertices[Clustering Coefficient],"&gt;= "&amp;R32)-COUNTIF(Vertices[Clustering Coefficient],"&gt;="&amp;R33)</f>
        <v>0</v>
      </c>
      <c r="T32" s="34" t="e">
        <f ca="1" t="shared" si="9"/>
        <v>#REF!</v>
      </c>
      <c r="U32" s="35" t="e">
        <f ca="1" t="shared" si="10"/>
        <v>#REF!</v>
      </c>
    </row>
    <row r="33" spans="1:21" ht="409.6">
      <c r="A33" s="31" t="s">
        <v>1796</v>
      </c>
      <c r="B33" s="50" t="s">
        <v>1860</v>
      </c>
      <c r="D33" s="29">
        <f t="shared" si="1"/>
        <v>0</v>
      </c>
      <c r="E33">
        <f>COUNTIF(Vertices[Degree],"&gt;= "&amp;D33)-COUNTIF(Vertices[Degree],"&gt;="&amp;D34)</f>
        <v>0</v>
      </c>
      <c r="F33" s="36">
        <f t="shared" si="2"/>
        <v>15.5</v>
      </c>
      <c r="G33" s="37">
        <f>COUNTIF(Vertices[In-Degree],"&gt;= "&amp;F33)-COUNTIF(Vertices[In-Degree],"&gt;="&amp;F34)</f>
        <v>0</v>
      </c>
      <c r="H33" s="36">
        <f t="shared" si="3"/>
        <v>10.941176470588236</v>
      </c>
      <c r="I33" s="37">
        <f>COUNTIF(Vertices[Out-Degree],"&gt;= "&amp;H33)-COUNTIF(Vertices[Out-Degree],"&gt;="&amp;H34)</f>
        <v>0</v>
      </c>
      <c r="J33" s="36">
        <f t="shared" si="4"/>
        <v>317.29411764705907</v>
      </c>
      <c r="K33" s="37">
        <f>COUNTIF(Vertices[Betweenness Centrality],"&gt;= "&amp;J33)-COUNTIF(Vertices[Betweenness Centrality],"&gt;="&amp;J34)</f>
        <v>0</v>
      </c>
      <c r="L33" s="36">
        <f t="shared" si="5"/>
        <v>0.07330770588235294</v>
      </c>
      <c r="M33" s="37">
        <f>COUNTIF(Vertices[Closeness Centrality],"&gt;= "&amp;L33)-COUNTIF(Vertices[Closeness Centrality],"&gt;="&amp;L34)</f>
        <v>0</v>
      </c>
      <c r="N33" s="36">
        <f t="shared" si="6"/>
        <v>0.5072557352941172</v>
      </c>
      <c r="O33" s="37">
        <f>COUNTIF(Vertices[Eigenvector Centrality],"&gt;= "&amp;N33)-COUNTIF(Vertices[Eigenvector Centrality],"&gt;="&amp;N34)</f>
        <v>0</v>
      </c>
      <c r="P33" s="36">
        <f t="shared" si="7"/>
        <v>0.01396911764705882</v>
      </c>
      <c r="Q33" s="37">
        <f>COUNTIF(Vertices[PageRank],"&gt;= "&amp;P33)-COUNTIF(Vertices[PageRank],"&gt;="&amp;P34)</f>
        <v>0</v>
      </c>
      <c r="R33" s="36">
        <f t="shared" si="8"/>
        <v>0.4558823529411765</v>
      </c>
      <c r="S33" s="41">
        <f>COUNTIF(Vertices[Clustering Coefficient],"&gt;= "&amp;R33)-COUNTIF(Vertices[Clustering Coefficient],"&gt;="&amp;R34)</f>
        <v>0</v>
      </c>
      <c r="T33" s="36" t="e">
        <f ca="1" t="shared" si="9"/>
        <v>#REF!</v>
      </c>
      <c r="U33" s="37" t="e">
        <f ca="1" t="shared" si="10"/>
        <v>#REF!</v>
      </c>
    </row>
    <row r="34" spans="1:21" ht="15">
      <c r="A34" s="31" t="s">
        <v>1797</v>
      </c>
      <c r="B34" s="31" t="s">
        <v>1861</v>
      </c>
      <c r="D34" s="29">
        <f t="shared" si="1"/>
        <v>0</v>
      </c>
      <c r="E34">
        <f>COUNTIF(Vertices[Degree],"&gt;= "&amp;D34)-COUNTIF(Vertices[Degree],"&gt;="&amp;D35)</f>
        <v>0</v>
      </c>
      <c r="F34" s="34">
        <f t="shared" si="2"/>
        <v>16</v>
      </c>
      <c r="G34" s="35">
        <f>COUNTIF(Vertices[In-Degree],"&gt;= "&amp;F34)-COUNTIF(Vertices[In-Degree],"&gt;="&amp;F35)</f>
        <v>0</v>
      </c>
      <c r="H34" s="34">
        <f t="shared" si="3"/>
        <v>11.294117647058824</v>
      </c>
      <c r="I34" s="35">
        <f>COUNTIF(Vertices[Out-Degree],"&gt;= "&amp;H34)-COUNTIF(Vertices[Out-Degree],"&gt;="&amp;H35)</f>
        <v>0</v>
      </c>
      <c r="J34" s="34">
        <f t="shared" si="4"/>
        <v>327.52941176470614</v>
      </c>
      <c r="K34" s="35">
        <f>COUNTIF(Vertices[Betweenness Centrality],"&gt;= "&amp;J34)-COUNTIF(Vertices[Betweenness Centrality],"&gt;="&amp;J35)</f>
        <v>0</v>
      </c>
      <c r="L34" s="34">
        <f t="shared" si="5"/>
        <v>0.0756724705882353</v>
      </c>
      <c r="M34" s="35">
        <f>COUNTIF(Vertices[Closeness Centrality],"&gt;= "&amp;L34)-COUNTIF(Vertices[Closeness Centrality],"&gt;="&amp;L35)</f>
        <v>0</v>
      </c>
      <c r="N34" s="34">
        <f t="shared" si="6"/>
        <v>0.5236188235294112</v>
      </c>
      <c r="O34" s="35">
        <f>COUNTIF(Vertices[Eigenvector Centrality],"&gt;= "&amp;N34)-COUNTIF(Vertices[Eigenvector Centrality],"&gt;="&amp;N35)</f>
        <v>0</v>
      </c>
      <c r="P34" s="34">
        <f t="shared" si="7"/>
        <v>0.014278411764705878</v>
      </c>
      <c r="Q34" s="35">
        <f>COUNTIF(Vertices[PageRank],"&gt;= "&amp;P34)-COUNTIF(Vertices[PageRank],"&gt;="&amp;P35)</f>
        <v>0</v>
      </c>
      <c r="R34" s="34">
        <f t="shared" si="8"/>
        <v>0.4705882352941177</v>
      </c>
      <c r="S34" s="40">
        <f>COUNTIF(Vertices[Clustering Coefficient],"&gt;= "&amp;R34)-COUNTIF(Vertices[Clustering Coefficient],"&gt;="&amp;R35)</f>
        <v>0</v>
      </c>
      <c r="T34" s="34" t="e">
        <f ca="1" t="shared" si="9"/>
        <v>#REF!</v>
      </c>
      <c r="U34" s="35" t="e">
        <f ca="1" t="shared" si="10"/>
        <v>#REF!</v>
      </c>
    </row>
    <row r="35" spans="1:21" ht="15">
      <c r="A35" s="31" t="s">
        <v>1798</v>
      </c>
      <c r="B35" s="31" t="s">
        <v>1862</v>
      </c>
      <c r="D35" s="29">
        <f t="shared" si="1"/>
        <v>0</v>
      </c>
      <c r="E35">
        <f>COUNTIF(Vertices[Degree],"&gt;= "&amp;D35)-COUNTIF(Vertices[Degree],"&gt;="&amp;D36)</f>
        <v>0</v>
      </c>
      <c r="F35" s="36">
        <f t="shared" si="2"/>
        <v>16.5</v>
      </c>
      <c r="G35" s="37">
        <f>COUNTIF(Vertices[In-Degree],"&gt;= "&amp;F35)-COUNTIF(Vertices[In-Degree],"&gt;="&amp;F36)</f>
        <v>0</v>
      </c>
      <c r="H35" s="36">
        <f t="shared" si="3"/>
        <v>11.647058823529413</v>
      </c>
      <c r="I35" s="37">
        <f>COUNTIF(Vertices[Out-Degree],"&gt;= "&amp;H35)-COUNTIF(Vertices[Out-Degree],"&gt;="&amp;H36)</f>
        <v>0</v>
      </c>
      <c r="J35" s="36">
        <f t="shared" si="4"/>
        <v>337.7647058823532</v>
      </c>
      <c r="K35" s="37">
        <f>COUNTIF(Vertices[Betweenness Centrality],"&gt;= "&amp;J35)-COUNTIF(Vertices[Betweenness Centrality],"&gt;="&amp;J36)</f>
        <v>0</v>
      </c>
      <c r="L35" s="36">
        <f t="shared" si="5"/>
        <v>0.07803723529411766</v>
      </c>
      <c r="M35" s="37">
        <f>COUNTIF(Vertices[Closeness Centrality],"&gt;= "&amp;L35)-COUNTIF(Vertices[Closeness Centrality],"&gt;="&amp;L36)</f>
        <v>0</v>
      </c>
      <c r="N35" s="36">
        <f t="shared" si="6"/>
        <v>0.5399819117647053</v>
      </c>
      <c r="O35" s="37">
        <f>COUNTIF(Vertices[Eigenvector Centrality],"&gt;= "&amp;N35)-COUNTIF(Vertices[Eigenvector Centrality],"&gt;="&amp;N36)</f>
        <v>0</v>
      </c>
      <c r="P35" s="36">
        <f t="shared" si="7"/>
        <v>0.014587705882352937</v>
      </c>
      <c r="Q35" s="37">
        <f>COUNTIF(Vertices[PageRank],"&gt;= "&amp;P35)-COUNTIF(Vertices[PageRank],"&gt;="&amp;P36)</f>
        <v>0</v>
      </c>
      <c r="R35" s="36">
        <f t="shared" si="8"/>
        <v>0.4852941176470589</v>
      </c>
      <c r="S35" s="41">
        <f>COUNTIF(Vertices[Clustering Coefficient],"&gt;= "&amp;R35)-COUNTIF(Vertices[Clustering Coefficient],"&gt;="&amp;R36)</f>
        <v>0</v>
      </c>
      <c r="T35" s="36" t="e">
        <f ca="1" t="shared" si="9"/>
        <v>#REF!</v>
      </c>
      <c r="U35" s="37" t="e">
        <f ca="1" t="shared" si="10"/>
        <v>#REF!</v>
      </c>
    </row>
    <row r="36" spans="1:21" ht="15">
      <c r="A36" s="31" t="s">
        <v>1799</v>
      </c>
      <c r="B36" s="31"/>
      <c r="D36" s="29">
        <f>MAX(Vertices[Degree])</f>
        <v>0</v>
      </c>
      <c r="E36">
        <f>COUNTIF(Vertices[Degree],"&gt;= "&amp;D36)-COUNTIF(Vertices[Degree],"&gt;="&amp;#REF!)</f>
        <v>0</v>
      </c>
      <c r="F36" s="38">
        <f>MAX(Vertices[In-Degree])</f>
        <v>17</v>
      </c>
      <c r="G36" s="39">
        <f>COUNTIF(Vertices[In-Degree],"&gt;= "&amp;F36)-COUNTIF(Vertices[In-Degree],"&gt;="&amp;#REF!)</f>
        <v>1</v>
      </c>
      <c r="H36" s="38">
        <f>MAX(Vertices[Out-Degree])</f>
        <v>12</v>
      </c>
      <c r="I36" s="39">
        <f>COUNTIF(Vertices[Out-Degree],"&gt;= "&amp;H36)-COUNTIF(Vertices[Out-Degree],"&gt;="&amp;#REF!)</f>
        <v>1</v>
      </c>
      <c r="J36" s="38">
        <f>MAX(Vertices[Betweenness Centrality])</f>
        <v>348</v>
      </c>
      <c r="K36" s="39">
        <f>COUNTIF(Vertices[Betweenness Centrality],"&gt;= "&amp;J36)-COUNTIF(Vertices[Betweenness Centrality],"&gt;="&amp;#REF!)</f>
        <v>1</v>
      </c>
      <c r="L36" s="38">
        <f>MAX(Vertices[Closeness Centrality])</f>
        <v>0.080402</v>
      </c>
      <c r="M36" s="39">
        <f>COUNTIF(Vertices[Closeness Centrality],"&gt;= "&amp;L36)-COUNTIF(Vertices[Closeness Centrality],"&gt;="&amp;#REF!)</f>
        <v>1</v>
      </c>
      <c r="N36" s="38">
        <f>MAX(Vertices[Eigenvector Centrality])</f>
        <v>0.556345</v>
      </c>
      <c r="O36" s="39">
        <f>COUNTIF(Vertices[Eigenvector Centrality],"&gt;= "&amp;N36)-COUNTIF(Vertices[Eigenvector Centrality],"&gt;="&amp;#REF!)</f>
        <v>1</v>
      </c>
      <c r="P36" s="38">
        <f>MAX(Vertices[PageRank])</f>
        <v>0.014897</v>
      </c>
      <c r="Q36" s="39">
        <f>COUNTIF(Vertices[PageRank],"&gt;= "&amp;P36)-COUNTIF(Vertices[PageRank],"&gt;="&amp;#REF!)</f>
        <v>1</v>
      </c>
      <c r="R36" s="38">
        <f>MAX(Vertices[Clustering Coefficient])</f>
        <v>0.5</v>
      </c>
      <c r="S36" s="42">
        <f>COUNTIF(Vertices[Clustering Coefficient],"&gt;= "&amp;R36)-COUNTIF(Vertices[Clustering Coefficient],"&gt;="&amp;#REF!)</f>
        <v>8</v>
      </c>
      <c r="T36" s="38" t="e">
        <f ca="1">MAX(INDIRECT(DynamicFilterSourceColumnRange))</f>
        <v>#REF!</v>
      </c>
      <c r="U36" s="39" t="e">
        <f ca="1">COUNTIF(INDIRECT(DynamicFilterSourceColumnRange),"&gt;= "&amp;T36)-COUNTIF(INDIRECT(DynamicFilterSourceColumnRange),"&gt;="&amp;#REF!)</f>
        <v>#REF!</v>
      </c>
    </row>
    <row r="37" spans="1:2" ht="15">
      <c r="A37" s="31" t="s">
        <v>1800</v>
      </c>
      <c r="B37" s="31"/>
    </row>
    <row r="38" spans="1:2" ht="15">
      <c r="A38" s="31" t="s">
        <v>1801</v>
      </c>
      <c r="B38" s="31"/>
    </row>
    <row r="39" spans="1:2" ht="15">
      <c r="A39" s="31" t="s">
        <v>1802</v>
      </c>
      <c r="B39" s="31"/>
    </row>
    <row r="40" spans="1:2" ht="15">
      <c r="A40" s="31" t="s">
        <v>21</v>
      </c>
      <c r="B40" s="31"/>
    </row>
    <row r="41" spans="1:2" ht="15">
      <c r="A41" s="31" t="s">
        <v>1803</v>
      </c>
      <c r="B41" s="31" t="s">
        <v>34</v>
      </c>
    </row>
    <row r="42" spans="1:2" ht="15">
      <c r="A42" s="31" t="s">
        <v>1804</v>
      </c>
      <c r="B42" s="31"/>
    </row>
    <row r="43" spans="1:2" ht="15">
      <c r="A43" s="31" t="s">
        <v>1805</v>
      </c>
      <c r="B4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17</v>
      </c>
    </row>
    <row r="90" spans="1:2" ht="15">
      <c r="A90" s="30" t="s">
        <v>90</v>
      </c>
      <c r="B90" s="44">
        <f>_xlfn.IFERROR(AVERAGE(Vertices[In-Degree]),NoMetricMessage)</f>
        <v>1.02</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12</v>
      </c>
    </row>
    <row r="104" spans="1:2" ht="15">
      <c r="A104" s="30" t="s">
        <v>96</v>
      </c>
      <c r="B104" s="44">
        <f>_xlfn.IFERROR(AVERAGE(Vertices[Out-Degree]),NoMetricMessage)</f>
        <v>1.02</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348</v>
      </c>
    </row>
    <row r="118" spans="1:2" ht="15">
      <c r="A118" s="30" t="s">
        <v>102</v>
      </c>
      <c r="B118" s="44">
        <f>_xlfn.IFERROR(AVERAGE(Vertices[Betweenness Centrality]),NoMetricMessage)</f>
        <v>9.079999995</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0.080402</v>
      </c>
    </row>
    <row r="132" spans="1:2" ht="15">
      <c r="A132" s="30" t="s">
        <v>108</v>
      </c>
      <c r="B132" s="44">
        <f>_xlfn.IFERROR(AVERAGE(Vertices[Closeness Centrality]),NoMetricMessage)</f>
        <v>0.015744739999999983</v>
      </c>
    </row>
    <row r="133" spans="1:2" ht="15">
      <c r="A133" s="30" t="s">
        <v>109</v>
      </c>
      <c r="B133" s="44">
        <f>_xlfn.IFERROR(MEDIAN(Vertices[Closeness Centrality]),NoMetricMessage)</f>
        <v>0.0082915</v>
      </c>
    </row>
    <row r="144" spans="1:2" ht="15">
      <c r="A144" s="30" t="s">
        <v>112</v>
      </c>
      <c r="B144" s="44">
        <f>IF(COUNT(Vertices[Eigenvector Centrality])&gt;0,N2,NoMetricMessage)</f>
        <v>0</v>
      </c>
    </row>
    <row r="145" spans="1:2" ht="15">
      <c r="A145" s="30" t="s">
        <v>113</v>
      </c>
      <c r="B145" s="44">
        <f>IF(COUNT(Vertices[Eigenvector Centrality])&gt;0,N36,NoMetricMessage)</f>
        <v>0.556345</v>
      </c>
    </row>
    <row r="146" spans="1:2" ht="15">
      <c r="A146" s="30" t="s">
        <v>114</v>
      </c>
      <c r="B146" s="44">
        <f>_xlfn.IFERROR(AVERAGE(Vertices[Eigenvector Centrality]),NoMetricMessage)</f>
        <v>0.013727179999999999</v>
      </c>
    </row>
    <row r="147" spans="1:2" ht="15">
      <c r="A147" s="30" t="s">
        <v>115</v>
      </c>
      <c r="B147" s="44">
        <f>_xlfn.IFERROR(MEDIAN(Vertices[Eigenvector Centrality]),NoMetricMessage)</f>
        <v>0</v>
      </c>
    </row>
    <row r="158" spans="1:2" ht="15">
      <c r="A158" s="30" t="s">
        <v>140</v>
      </c>
      <c r="B158" s="44">
        <f>IF(COUNT(Vertices[PageRank])&gt;0,P2,NoMetricMessage)</f>
        <v>0.004381</v>
      </c>
    </row>
    <row r="159" spans="1:2" ht="15">
      <c r="A159" s="30" t="s">
        <v>141</v>
      </c>
      <c r="B159" s="44">
        <f>IF(COUNT(Vertices[PageRank])&gt;0,P36,NoMetricMessage)</f>
        <v>0.014897</v>
      </c>
    </row>
    <row r="160" spans="1:2" ht="15">
      <c r="A160" s="30" t="s">
        <v>142</v>
      </c>
      <c r="B160" s="44">
        <f>_xlfn.IFERROR(AVERAGE(Vertices[PageRank]),NoMetricMessage)</f>
        <v>0.0049999150000000015</v>
      </c>
    </row>
    <row r="161" spans="1:2" ht="15">
      <c r="A161" s="30" t="s">
        <v>143</v>
      </c>
      <c r="B161" s="44">
        <f>_xlfn.IFERROR(MEDIAN(Vertices[PageRank]),NoMetricMessage)</f>
        <v>0.005</v>
      </c>
    </row>
    <row r="172" spans="1:2" ht="15">
      <c r="A172" s="30" t="s">
        <v>118</v>
      </c>
      <c r="B172" s="44">
        <f>IF(COUNT(Vertices[Clustering Coefficient])&gt;0,R2,NoMetricMessage)</f>
        <v>0</v>
      </c>
    </row>
    <row r="173" spans="1:2" ht="15">
      <c r="A173" s="30" t="s">
        <v>119</v>
      </c>
      <c r="B173" s="44">
        <f>IF(COUNT(Vertices[Clustering Coefficient])&gt;0,R36,NoMetricMessage)</f>
        <v>0.5</v>
      </c>
    </row>
    <row r="174" spans="1:2" ht="15">
      <c r="A174" s="30" t="s">
        <v>120</v>
      </c>
      <c r="B174" s="44">
        <f>_xlfn.IFERROR(AVERAGE(Vertices[Clustering Coefficient]),NoMetricMessage)</f>
        <v>0.052806166056166066</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8.8515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202</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16</v>
      </c>
      <c r="R6" t="s">
        <v>129</v>
      </c>
    </row>
    <row r="7" spans="1:11" ht="409.6">
      <c r="A7">
        <v>2</v>
      </c>
      <c r="B7">
        <v>1</v>
      </c>
      <c r="C7">
        <v>0</v>
      </c>
      <c r="D7" t="s">
        <v>60</v>
      </c>
      <c r="E7" t="s">
        <v>60</v>
      </c>
      <c r="F7">
        <v>2</v>
      </c>
      <c r="H7" t="s">
        <v>72</v>
      </c>
      <c r="J7" t="s">
        <v>175</v>
      </c>
      <c r="K7" s="7" t="s">
        <v>1857</v>
      </c>
    </row>
    <row r="8" spans="1:11" ht="409.6">
      <c r="A8"/>
      <c r="B8">
        <v>2</v>
      </c>
      <c r="C8">
        <v>2</v>
      </c>
      <c r="D8" t="s">
        <v>61</v>
      </c>
      <c r="E8" t="s">
        <v>61</v>
      </c>
      <c r="H8" t="s">
        <v>73</v>
      </c>
      <c r="J8" t="s">
        <v>176</v>
      </c>
      <c r="K8" s="7" t="s">
        <v>190</v>
      </c>
    </row>
    <row r="9" spans="1:11" ht="15">
      <c r="A9"/>
      <c r="B9">
        <v>3</v>
      </c>
      <c r="C9">
        <v>4</v>
      </c>
      <c r="D9" t="s">
        <v>62</v>
      </c>
      <c r="E9" t="s">
        <v>62</v>
      </c>
      <c r="H9" t="s">
        <v>74</v>
      </c>
      <c r="J9" t="s">
        <v>177</v>
      </c>
      <c r="K9" t="s">
        <v>191</v>
      </c>
    </row>
    <row r="10" spans="1:11" ht="15">
      <c r="A10"/>
      <c r="B10">
        <v>4</v>
      </c>
      <c r="D10" t="s">
        <v>63</v>
      </c>
      <c r="E10" t="s">
        <v>63</v>
      </c>
      <c r="H10" t="s">
        <v>75</v>
      </c>
      <c r="J10" t="s">
        <v>178</v>
      </c>
      <c r="K10" t="s">
        <v>192</v>
      </c>
    </row>
    <row r="11" spans="1:11" ht="15">
      <c r="A11"/>
      <c r="B11">
        <v>5</v>
      </c>
      <c r="D11" t="s">
        <v>46</v>
      </c>
      <c r="E11">
        <v>1</v>
      </c>
      <c r="H11" t="s">
        <v>76</v>
      </c>
      <c r="J11" t="s">
        <v>179</v>
      </c>
      <c r="K11" t="s">
        <v>193</v>
      </c>
    </row>
    <row r="12" spans="1:11" ht="15">
      <c r="A12"/>
      <c r="B12"/>
      <c r="D12" t="s">
        <v>64</v>
      </c>
      <c r="E12">
        <v>2</v>
      </c>
      <c r="H12">
        <v>0</v>
      </c>
      <c r="J12" t="s">
        <v>180</v>
      </c>
      <c r="K12" t="s">
        <v>194</v>
      </c>
    </row>
    <row r="13" spans="1:11" ht="15">
      <c r="A13"/>
      <c r="B13"/>
      <c r="D13">
        <v>1</v>
      </c>
      <c r="E13">
        <v>3</v>
      </c>
      <c r="H13">
        <v>1</v>
      </c>
      <c r="J13" t="s">
        <v>181</v>
      </c>
      <c r="K13" t="s">
        <v>195</v>
      </c>
    </row>
    <row r="14" spans="4:11" ht="15">
      <c r="D14">
        <v>2</v>
      </c>
      <c r="E14">
        <v>4</v>
      </c>
      <c r="H14">
        <v>2</v>
      </c>
      <c r="J14" t="s">
        <v>182</v>
      </c>
      <c r="K14" t="s">
        <v>196</v>
      </c>
    </row>
    <row r="15" spans="4:11" ht="15">
      <c r="D15">
        <v>3</v>
      </c>
      <c r="E15">
        <v>5</v>
      </c>
      <c r="H15">
        <v>3</v>
      </c>
      <c r="J15" t="s">
        <v>183</v>
      </c>
      <c r="K15" t="s">
        <v>197</v>
      </c>
    </row>
    <row r="16" spans="4:11" ht="15">
      <c r="D16">
        <v>4</v>
      </c>
      <c r="E16">
        <v>6</v>
      </c>
      <c r="H16">
        <v>4</v>
      </c>
      <c r="J16" t="s">
        <v>184</v>
      </c>
      <c r="K16" t="s">
        <v>198</v>
      </c>
    </row>
    <row r="17" spans="4:11" ht="15">
      <c r="D17">
        <v>5</v>
      </c>
      <c r="E17">
        <v>7</v>
      </c>
      <c r="H17">
        <v>5</v>
      </c>
      <c r="J17" t="s">
        <v>185</v>
      </c>
      <c r="K17" t="s">
        <v>199</v>
      </c>
    </row>
    <row r="18" spans="4:11" ht="15">
      <c r="D18">
        <v>6</v>
      </c>
      <c r="E18">
        <v>8</v>
      </c>
      <c r="H18">
        <v>6</v>
      </c>
      <c r="J18" t="s">
        <v>186</v>
      </c>
      <c r="K18" t="s">
        <v>200</v>
      </c>
    </row>
    <row r="19" spans="4:11" ht="15">
      <c r="D19">
        <v>7</v>
      </c>
      <c r="E19">
        <v>9</v>
      </c>
      <c r="H19">
        <v>7</v>
      </c>
      <c r="J19" t="s">
        <v>187</v>
      </c>
      <c r="K19" t="s">
        <v>201</v>
      </c>
    </row>
    <row r="20" spans="4:11" ht="409.6">
      <c r="D20">
        <v>8</v>
      </c>
      <c r="H20">
        <v>8</v>
      </c>
      <c r="J20" t="s">
        <v>188</v>
      </c>
      <c r="K20" s="7" t="s">
        <v>1854</v>
      </c>
    </row>
    <row r="21" spans="4:11" ht="409.6">
      <c r="D21">
        <v>9</v>
      </c>
      <c r="H21">
        <v>9</v>
      </c>
      <c r="J21" t="s">
        <v>189</v>
      </c>
      <c r="K21" s="7" t="s">
        <v>1855</v>
      </c>
    </row>
    <row r="22" spans="4:11" ht="15">
      <c r="D22">
        <v>10</v>
      </c>
      <c r="J22" t="s">
        <v>203</v>
      </c>
      <c r="K22" t="s">
        <v>1853</v>
      </c>
    </row>
    <row r="23" spans="4:11" ht="409.6">
      <c r="D23">
        <v>11</v>
      </c>
      <c r="J23" t="s">
        <v>204</v>
      </c>
      <c r="K23" s="7" t="s">
        <v>1856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15DD0-4683-49A9-B18B-C559F7F501A6}">
  <dimension ref="A1:G9"/>
  <sheetViews>
    <sheetView workbookViewId="0" topLeftCell="A1"/>
  </sheetViews>
  <sheetFormatPr defaultColWidth="11.421875" defaultRowHeight="15"/>
  <cols>
    <col min="1" max="1" width="7.7109375" style="0" bestFit="1" customWidth="1"/>
    <col min="2" max="2" width="8.140625" style="0" bestFit="1" customWidth="1"/>
    <col min="3" max="3" width="9.8515625" style="0" bestFit="1" customWidth="1"/>
    <col min="4" max="4" width="8.28125" style="0" bestFit="1" customWidth="1"/>
    <col min="5" max="7" width="29.7109375" style="0" bestFit="1" customWidth="1"/>
  </cols>
  <sheetData>
    <row r="1" spans="1:7" ht="14.4" customHeight="1">
      <c r="A1" s="7" t="s">
        <v>1749</v>
      </c>
      <c r="B1" s="7" t="s">
        <v>1758</v>
      </c>
      <c r="C1" s="7" t="s">
        <v>1762</v>
      </c>
      <c r="D1" s="7" t="s">
        <v>144</v>
      </c>
      <c r="E1" s="7" t="s">
        <v>1763</v>
      </c>
      <c r="F1" s="7" t="s">
        <v>1764</v>
      </c>
      <c r="G1" s="7" t="s">
        <v>1765</v>
      </c>
    </row>
    <row r="2" spans="1:7" ht="15">
      <c r="A2" s="76" t="s">
        <v>1750</v>
      </c>
      <c r="B2" s="76" t="s">
        <v>1759</v>
      </c>
      <c r="C2" s="104"/>
      <c r="D2" s="76"/>
      <c r="E2" s="76"/>
      <c r="F2" s="76"/>
      <c r="G2" s="76"/>
    </row>
    <row r="3" spans="1:7" ht="15">
      <c r="A3" s="77" t="s">
        <v>1751</v>
      </c>
      <c r="B3" s="76" t="s">
        <v>1760</v>
      </c>
      <c r="C3" s="104"/>
      <c r="D3" s="76"/>
      <c r="E3" s="76"/>
      <c r="F3" s="76"/>
      <c r="G3" s="76"/>
    </row>
    <row r="4" spans="1:7" ht="15">
      <c r="A4" s="77" t="s">
        <v>1752</v>
      </c>
      <c r="B4" s="76" t="s">
        <v>1761</v>
      </c>
      <c r="C4" s="104"/>
      <c r="D4" s="76"/>
      <c r="E4" s="76"/>
      <c r="F4" s="76"/>
      <c r="G4" s="76"/>
    </row>
    <row r="5" spans="1:7" ht="15">
      <c r="A5" s="77" t="s">
        <v>1753</v>
      </c>
      <c r="B5" s="76">
        <v>0</v>
      </c>
      <c r="C5" s="104">
        <v>0</v>
      </c>
      <c r="D5" s="76"/>
      <c r="E5" s="76"/>
      <c r="F5" s="76"/>
      <c r="G5" s="76"/>
    </row>
    <row r="6" spans="1:7" ht="15">
      <c r="A6" s="77" t="s">
        <v>1754</v>
      </c>
      <c r="B6" s="76">
        <v>0</v>
      </c>
      <c r="C6" s="104">
        <v>0</v>
      </c>
      <c r="D6" s="76"/>
      <c r="E6" s="76"/>
      <c r="F6" s="76"/>
      <c r="G6" s="76"/>
    </row>
    <row r="7" spans="1:7" ht="15">
      <c r="A7" s="77" t="s">
        <v>1755</v>
      </c>
      <c r="B7" s="76">
        <v>0</v>
      </c>
      <c r="C7" s="104">
        <v>0</v>
      </c>
      <c r="D7" s="76"/>
      <c r="E7" s="76"/>
      <c r="F7" s="76"/>
      <c r="G7" s="76"/>
    </row>
    <row r="8" spans="1:7" ht="15">
      <c r="A8" s="77" t="s">
        <v>1756</v>
      </c>
      <c r="B8" s="76">
        <v>0</v>
      </c>
      <c r="C8" s="104">
        <v>0</v>
      </c>
      <c r="D8" s="76"/>
      <c r="E8" s="76"/>
      <c r="F8" s="76"/>
      <c r="G8" s="76"/>
    </row>
    <row r="9" spans="1:7" ht="15">
      <c r="A9" s="77" t="s">
        <v>1757</v>
      </c>
      <c r="B9" s="76">
        <v>0</v>
      </c>
      <c r="C9" s="104">
        <v>1</v>
      </c>
      <c r="D9" s="76"/>
      <c r="E9" s="76"/>
      <c r="F9" s="76"/>
      <c r="G9" s="76"/>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FB091-61C6-4856-B3B6-8586433CBA65}">
  <dimension ref="A1:L2"/>
  <sheetViews>
    <sheetView workbookViewId="0" topLeftCell="A1"/>
  </sheetViews>
  <sheetFormatPr defaultColWidth="11.421875" defaultRowHeight="15"/>
  <cols>
    <col min="1" max="2" width="9.28125" style="0" bestFit="1" customWidth="1"/>
    <col min="3" max="3" width="8.140625" style="0" bestFit="1" customWidth="1"/>
    <col min="4" max="4" width="9.8515625" style="0" bestFit="1" customWidth="1"/>
    <col min="5" max="5" width="19.28125" style="0" bestFit="1" customWidth="1"/>
    <col min="6" max="6" width="8.28125" style="0" bestFit="1" customWidth="1"/>
    <col min="7" max="12" width="30.7109375" style="0" bestFit="1" customWidth="1"/>
  </cols>
  <sheetData>
    <row r="1" spans="1:12" ht="14.4" customHeight="1">
      <c r="A1" s="76" t="s">
        <v>1766</v>
      </c>
      <c r="B1" s="76" t="s">
        <v>1767</v>
      </c>
      <c r="C1" s="76" t="s">
        <v>1758</v>
      </c>
      <c r="D1" s="76" t="s">
        <v>1762</v>
      </c>
      <c r="E1" s="76" t="s">
        <v>1768</v>
      </c>
      <c r="F1" s="76" t="s">
        <v>144</v>
      </c>
      <c r="G1" s="76" t="s">
        <v>1769</v>
      </c>
      <c r="H1" s="76" t="s">
        <v>1770</v>
      </c>
      <c r="I1" s="76" t="s">
        <v>1771</v>
      </c>
      <c r="J1" s="76" t="s">
        <v>1772</v>
      </c>
      <c r="K1" s="76" t="s">
        <v>1773</v>
      </c>
      <c r="L1" s="76" t="s">
        <v>1774</v>
      </c>
    </row>
    <row r="2" spans="1:12" ht="15">
      <c r="A2" s="76"/>
      <c r="B2" s="76"/>
      <c r="C2" s="76"/>
      <c r="D2" s="104"/>
      <c r="E2" s="104"/>
      <c r="F2" s="76"/>
      <c r="G2" s="76"/>
      <c r="H2" s="76"/>
      <c r="I2" s="76"/>
      <c r="J2" s="76"/>
      <c r="K2" s="76"/>
      <c r="L2" s="76"/>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7D320C3-391C-49E8-A080-BD3D5D01814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2008-01-30T00:41:58Z</dcterms:created>
  <dcterms:modified xsi:type="dcterms:W3CDTF">2023-02-13T20:40:13Z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