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<sst xmlns="http://schemas.openxmlformats.org/spreadsheetml/2006/main" count="486" uniqueCount="316">
  <si>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</si>
  <si>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</si>
  <si>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</si>
  <si>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</si>
  <si>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</si>
  <si>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</si>
  <si>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</si>
  <si>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</si>
  <si>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</si>
  <si>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</si>
  <si>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</si>
  <si>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</si>
  <si>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</si>
  <si>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</si>
  <si>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</si>
  <si>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</si>
  <si>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</si>
  <si>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</si>
  <si>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</si>
  <si>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</si>
  <si>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</si>
  <si>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</si>
  <si>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</si>
  <si>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</si>
  <si>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</si>
  <si>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</si>
  <si>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</si>
  <si>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</si>
  <si>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</si>
  <si>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</si>
  <si>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</si>
  <si>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</si>
  <si>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</si>
  <si>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</si>
  <si>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</si>
  <si>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</si>
  <si>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</si>
  <si>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</si>
  <si>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</si>
  <si>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</si>
  <si>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</si>
  <si>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</si>
  <si>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</si>
  <si>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</si>
  <si>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</si>
  <si>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</si>
  <si>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</si>
  <si>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</si>
  <si>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</si>
  <si>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</si>
  <si>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</si>
  <si>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</si>
  <si>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</si>
  <si>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</si>
  <si>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</si>
  <si>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</si>
  <si>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</si>
  <si>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</si>
  <si>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</si>
  <si>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</si>
  <si>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</si>
  <si>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</si>
  <si>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</si>
  <si>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</si>
  <si>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</si>
  <si>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</si>
  <si>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</si>
  <si>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</si>
  <si>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</si>
  <si>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</si>
  <si>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</si>
  <si>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</si>
  <si>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</si>
  <si>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</si>
  <si>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</si>
  <si>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</si>
  <si>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</si>
  <si>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</si>
  <si>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</si>
  <si>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</si>
  <si>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</si>
  <si>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</si>
  <si>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</si>
  <si>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</si>
  <si>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</si>
  <si>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</si>
  <si>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</si>
  <si>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</si>
  <si>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</si>
  <si>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</si>
  <si>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</si>
  <si>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</si>
  <si>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</si>
  <si>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</si>
  <si>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</si>
  <si>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</si>
  <si>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</si>
  <si>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</si>
  <si>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</si>
  <si>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</si>
  <si>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</si>
  <si>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</si>
  <si>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</si>
  <si>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</si>
  <si>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</si>
  <si>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</si>
  <si>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</si>
  <si>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</si>
  <si>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</si>
  <si>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</si>
  <si>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</si>
  <si>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</si>
  <si>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</si>
  <si>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</si>
  <si>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</si>
  <si>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</si>
  <si>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</si>
  <si>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</si>
  <si>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</si>
  <si>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</si>
  <si>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</si>
  <si>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</si>
  <si>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</si>
  <si>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</si>
  <si>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</si>
  <si>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</si>
  <si>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</si>
  <si>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</si>
  <si>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</si>
  <si>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</si>
  <si>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</si>
  <si>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</si>
  <si>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</si>
  <si>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</si>
  <si>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</si>
  <si>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</si>
  <si>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</si>
  <si>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</si>
  <si>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</si>
  <si>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</si>
  <si>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</si>
  <si>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</si>
  <si>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</si>
  <si>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</si>
  <si>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</si>
  <si>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</si>
  <si>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</si>
  <si>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</si>
  <si>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</si>
  <si>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</si>
  <si>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</si>
  <si>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</si>
  <si>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</si>
  <si>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</si>
  <si>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</si>
  <si>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</si>
  <si>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</si>
  <si>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</si>
  <si>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</si>
  <si>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</si>
  <si>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</si>
  <si>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</si>
  <si>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</si>
  <si>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</si>
  <si>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</si>
  <si>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</si>
  <si>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</si>
  <si>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</si>
  <si>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</si>
  <si>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</si>
  <si>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</si>
  <si>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</si>
  <si>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</si>
  <si>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</si>
  <si>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</si>
  <si>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</si>
  <si>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</si>
  <si>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</si>
  <si>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</si>
  <si>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</si>
  <si>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</si>
  <si>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</si>
  <si>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</si>
  <si>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</si>
  <si>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</si>
  <si>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</si>
  <si>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</si>
  <si>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</si>
  <si>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</si>
  <si>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</si>
  <si>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</si>
  <si>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</si>
  <si>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</si>
  <si>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</si>
  <si>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</si>
  <si>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</si>
  <si>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</si>
  <si>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</si>
  <si>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</si>
  <si>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</si>
  <si>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</si>
  <si>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</si>
  <si>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</si>
  <si>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</si>
  <si>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</si>
  <si>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</si>
  <si>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</si>
  <si>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</si>
  <si>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</si>
  <si>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</si>
  <si>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</si>
  <si>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</si>
  <si>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</si>
  <si>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</si>
  <si>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twine_solutions</t>
  </si>
  <si>
    <t>margaretagroth</t>
  </si>
  <si>
    <t>#Twinesolutions visited #ecologicalservices to see how our product development thread and yarn waste could receive a second life thanks to local artists. #reuse, #reduce, #upcycle, #zerowaste, #upcycle, #sustainableindustry - https://t.co/P71n7mZvWA https://t.co/qXBt3mIWK2</t>
  </si>
  <si>
    <t>Very happy and proud that Kristiina Oksman and Alberto Vomiero in my department have been awarded funding. #sustainableindustry #WISE https://t.co/cu6Stgbao6</t>
  </si>
  <si>
    <t>twine-s.com</t>
  </si>
  <si>
    <t>linkedin.com</t>
  </si>
  <si>
    <t>twinesolutions ecologicalservices reuse reduce upcycle zerowaste upcycle sustainableindustry</t>
  </si>
  <si>
    <t>sustainableindustry wise</t>
  </si>
  <si>
    <t>14:50:09</t>
  </si>
  <si>
    <t>19:33:55</t>
  </si>
  <si>
    <t>1600502932428013568</t>
  </si>
  <si>
    <t>1598037628678537217</t>
  </si>
  <si>
    <t/>
  </si>
  <si>
    <t>en</t>
  </si>
  <si>
    <t>Twitter Web App</t>
  </si>
  <si>
    <t>LinkedIn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</si>
  <si>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</si>
  <si>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</si>
  <si>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</si>
  <si>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</si>
  <si>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</si>
  <si>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</si>
  <si>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</si>
  <si>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</si>
  <si>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</si>
  <si>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</si>
  <si>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</si>
  <si>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</si>
  <si>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</si>
  <si>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</si>
  <si>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</si>
  <si>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</si>
  <si>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</si>
  <si>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</si>
  <si>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</si>
  <si>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</si>
  <si>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</si>
  <si>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</si>
  <si>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Twine Solutions</t>
  </si>
  <si>
    <t>Margareta Groth</t>
  </si>
  <si>
    <t>1499327870405070851</t>
  </si>
  <si>
    <t>2179853022</t>
  </si>
  <si>
    <t>Twine Solutions developed the world's first digital thread and yarn dyeing tech, that dyes raw/recycled polyester thread and yarn using a waterless process</t>
  </si>
  <si>
    <t>Head of Department, Engineering Sciences and Mathematics @LTU , Mission - making the world a better place</t>
  </si>
  <si>
    <t>Stockholm, Sweden</t>
  </si>
  <si>
    <t>Open Twitter Page for This Person</t>
  </si>
  <si>
    <t>twine_solutions
#Twinesolutions visited #ecologicalservices
to see how our product development
thread and yarn waste could receive
a second life thanks to local artists.
#reuse, #reduce, #upcycle, #zerowaste,
#upcycle, #sustainableindustry
- https://t.co/P71n7mZvWA https://t.co/qXBt3mIWK2</t>
  </si>
  <si>
    <t>margaretagroth
Very happy and proud that Kristiina
Oksman and Alberto Vomiero in my
department have been awarded funding.
#sustainableindustry #WISE https://t.co/cu6Stgbao6</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</si>
  <si>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</si>
  <si>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</si>
  <si>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</si>
  <si>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</si>
  <si>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</si>
  <si>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</si>
  <si>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</si>
  <si>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</si>
  <si>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</si>
  <si>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</si>
  <si>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</si>
  <si>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</si>
  <si>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</si>
  <si>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</si>
  <si>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</si>
  <si>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</si>
  <si>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</si>
  <si>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</si>
  <si>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</si>
  <si>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</si>
  <si>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</si>
  <si>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</si>
  <si>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</si>
  <si>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</si>
  <si>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</si>
  <si>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</si>
  <si>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</si>
  <si>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</si>
  <si>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</si>
  <si>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</si>
  <si>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</si>
  <si>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</si>
  <si>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</si>
  <si>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</si>
  <si>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</si>
  <si>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</si>
  <si>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</si>
  <si>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</si>
  <si>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</si>
  <si>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</si>
  <si>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</si>
  <si>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</si>
  <si>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</si>
  <si>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</si>
  <si>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Top URLs in Tweet</t>
  </si>
  <si>
    <t>https://www.linkedin.com/feed/update/urn:li:share:7003803254115446784 https://twine-s.com/sustainability/</t>
  </si>
  <si>
    <t>Count of Tweet Date (UTC)</t>
  </si>
  <si>
    <t>Row Labels</t>
  </si>
  <si>
    <t>Grand Total</t>
  </si>
  <si>
    <t>128, 128, 128</t>
  </si>
  <si>
    <t>Autofill Workbook Results</t>
  </si>
  <si>
    <t>Edge Weight▓1▓1▓0▓True▓Gray▓Red▓▓Edge Weight▓1▓1▓0▓3▓10▓False▓Edge Weight▓1▓1▓0▓35▓12▓False▓▓0▓0▓0▓True▓Black▓Black▓▓▓0▓0▓0▓0▓0▓False▓▓0▓0▓0▓0▓0▓False▓▓0▓0▓0▓0▓0▓False▓▓0▓0▓0▓0▓0▓False</t>
  </si>
  <si>
    <t>GraphSource░GraphServerTwitterSearch▓GraphTerm░#sustainableindustry▓ImportDescription░The graph represents a network of 2 Twitter users whose tweets in the requested range contained "#sustainableindustry", or who were replied to or mentioned in those tweets.  The network was obtained from the NodeXL Graph Server on Tuesday, 13 December 2022 at 03:15 UTC.
The requested start date was Tuesday, 13 December 2022 at 01:01 UTC and the maximum number of days (going backward) was 14.
The maximum number of tweets collected was 7,500.
The tweets in the network were tweeted over the 6-day, 19-hour, 16-minute period from Wednesday, 30 November 2022 at 19:33 UTC to Wednesday, 07 December 2022 at 14:50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</si>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</sst>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756297"/>
        <c:axId val="34588946"/>
      </c:barChart>
      <c:catAx>
        <c:axId val="187562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588946"/>
        <c:crosses val="autoZero"/>
        <c:auto val="1"/>
        <c:lblOffset val="100"/>
        <c:noMultiLvlLbl val="0"/>
      </c:catAx>
      <c:valAx>
        <c:axId val="34588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56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11/30/2022 19:33</c:v>
                </c:pt>
                <c:pt idx="1">
                  <c:v>12/7/2022 14:50</c:v>
                </c:pt>
              </c:strCache>
            </c:strRef>
          </c:cat>
          <c:val>
            <c:numRef>
              <c:f>'Time Series'!$B$26:$B$28</c:f>
              <c:numCache>
                <c:formatCode>General</c:formatCode>
                <c:ptCount val="2"/>
                <c:pt idx="0">
                  <c:v>1</c:v>
                </c:pt>
                <c:pt idx="1">
                  <c:v>1</c:v>
                </c:pt>
              </c:numCache>
            </c:numRef>
          </c:val>
        </c:ser>
        <c:axId val="20587763"/>
        <c:axId val="51072140"/>
      </c:barChart>
      <c:catAx>
        <c:axId val="20587763"/>
        <c:scaling>
          <c:orientation val="minMax"/>
        </c:scaling>
        <c:axPos val="b"/>
        <c:delete val="0"/>
        <c:numFmt formatCode="General" sourceLinked="1"/>
        <c:majorTickMark val="out"/>
        <c:minorTickMark val="none"/>
        <c:tickLblPos val="nextTo"/>
        <c:crossAx val="51072140"/>
        <c:crosses val="autoZero"/>
        <c:auto val="1"/>
        <c:lblOffset val="100"/>
        <c:noMultiLvlLbl val="0"/>
      </c:catAx>
      <c:valAx>
        <c:axId val="51072140"/>
        <c:scaling>
          <c:orientation val="minMax"/>
        </c:scaling>
        <c:axPos val="l"/>
        <c:majorGridlines/>
        <c:delete val="0"/>
        <c:numFmt formatCode="General" sourceLinked="1"/>
        <c:majorTickMark val="out"/>
        <c:minorTickMark val="none"/>
        <c:tickLblPos val="nextTo"/>
        <c:crossAx val="205877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865059"/>
        <c:axId val="50241212"/>
      </c:barChart>
      <c:catAx>
        <c:axId val="428650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241212"/>
        <c:crosses val="autoZero"/>
        <c:auto val="1"/>
        <c:lblOffset val="100"/>
        <c:noMultiLvlLbl val="0"/>
      </c:catAx>
      <c:valAx>
        <c:axId val="50241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650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517725"/>
        <c:axId val="43006342"/>
      </c:barChart>
      <c:catAx>
        <c:axId val="495177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006342"/>
        <c:crosses val="autoZero"/>
        <c:auto val="1"/>
        <c:lblOffset val="100"/>
        <c:noMultiLvlLbl val="0"/>
      </c:catAx>
      <c:valAx>
        <c:axId val="43006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177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512759"/>
        <c:axId val="60961648"/>
      </c:barChart>
      <c:catAx>
        <c:axId val="515127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961648"/>
        <c:crosses val="autoZero"/>
        <c:auto val="1"/>
        <c:lblOffset val="100"/>
        <c:noMultiLvlLbl val="0"/>
      </c:catAx>
      <c:valAx>
        <c:axId val="60961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127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783921"/>
        <c:axId val="38946426"/>
      </c:barChart>
      <c:catAx>
        <c:axId val="117839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946426"/>
        <c:crosses val="autoZero"/>
        <c:auto val="1"/>
        <c:lblOffset val="100"/>
        <c:noMultiLvlLbl val="0"/>
      </c:catAx>
      <c:valAx>
        <c:axId val="38946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83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973515"/>
        <c:axId val="543908"/>
      </c:barChart>
      <c:catAx>
        <c:axId val="149735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3908"/>
        <c:crosses val="autoZero"/>
        <c:auto val="1"/>
        <c:lblOffset val="100"/>
        <c:noMultiLvlLbl val="0"/>
      </c:catAx>
      <c:valAx>
        <c:axId val="543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735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95173"/>
        <c:axId val="44056558"/>
      </c:barChart>
      <c:catAx>
        <c:axId val="48951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056558"/>
        <c:crosses val="autoZero"/>
        <c:auto val="1"/>
        <c:lblOffset val="100"/>
        <c:noMultiLvlLbl val="0"/>
      </c:catAx>
      <c:valAx>
        <c:axId val="440565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51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964703"/>
        <c:axId val="11811416"/>
      </c:barChart>
      <c:catAx>
        <c:axId val="609647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811416"/>
        <c:crosses val="autoZero"/>
        <c:auto val="1"/>
        <c:lblOffset val="100"/>
        <c:noMultiLvlLbl val="0"/>
      </c:catAx>
      <c:valAx>
        <c:axId val="118114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647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193881"/>
        <c:axId val="17200610"/>
      </c:barChart>
      <c:catAx>
        <c:axId val="39193881"/>
        <c:scaling>
          <c:orientation val="minMax"/>
        </c:scaling>
        <c:axPos val="b"/>
        <c:delete val="1"/>
        <c:majorTickMark val="out"/>
        <c:minorTickMark val="none"/>
        <c:tickLblPos val="none"/>
        <c:crossAx val="17200610"/>
        <c:crosses val="autoZero"/>
        <c:auto val="1"/>
        <c:lblOffset val="100"/>
        <c:noMultiLvlLbl val="0"/>
      </c:catAx>
      <c:valAx>
        <c:axId val="17200610"/>
        <c:scaling>
          <c:orientation val="minMax"/>
        </c:scaling>
        <c:axPos val="l"/>
        <c:delete val="1"/>
        <c:majorTickMark val="out"/>
        <c:minorTickMark val="none"/>
        <c:tickLblPos val="none"/>
        <c:crossAx val="391938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 refreshedBy="Marc" refreshedVersion="5">
  <cacheSource type="worksheet">
    <worksheetSource ref="A2:BE4"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2">
        <s v="sustainableindustry wise"/>
        <s v="twinesolutions ecologicalservices reuse reduce upcycle zerowaste upcycle sustainableindu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
        <d v="2022-11-30T19:33:55.000"/>
        <d v="2022-12-07T14:50:0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
  <r>
    <s v="margaretagroth"/>
    <s v="margaretagroth"/>
    <m/>
    <m/>
    <m/>
    <m/>
    <m/>
    <m/>
    <m/>
    <m/>
    <s v="No"/>
    <n v="3"/>
    <m/>
    <m/>
    <x v="0"/>
    <d v="2022-11-30T19:33:55.000"/>
    <s v="Very happy and proud that Kristiina Oksman and Alberto Vomiero in my department have been awarded funding. #sustainableindustry #WISE https://t.co/cu6Stgbao6"/>
    <s v="https://www.linkedin.com/feed/update/urn:li:share:7003803254115446784"/>
    <s v="linkedin.com"/>
    <x v="0"/>
    <m/>
    <s v="http://pbs.twimg.com/profile_images/1522515322716270592/REZVy4Ye_normal.jpg"/>
    <x v="0"/>
    <d v="2022-11-30T00:00:00.000"/>
    <s v="19:33:55"/>
    <s v="https://twitter.com/#!/margaretagroth/status/1598037628678537217"/>
    <m/>
    <m/>
    <s v="1598037628678537217"/>
    <m/>
    <b v="0"/>
    <n v="2"/>
    <s v=""/>
    <b v="0"/>
    <s v="en"/>
    <m/>
    <s v=""/>
    <b v="0"/>
    <n v="0"/>
    <s v=""/>
    <s v="LinkedIn"/>
    <b v="0"/>
    <s v="1598037628678537217"/>
    <s v="Tweet"/>
    <n v="0"/>
    <n v="0"/>
    <m/>
    <m/>
    <m/>
    <m/>
    <m/>
    <m/>
    <m/>
    <m/>
    <n v="1"/>
    <s v="1"/>
    <s v="1"/>
  </r>
  <r>
    <s v="twine_solutions"/>
    <s v="twine_solutions"/>
    <m/>
    <m/>
    <m/>
    <m/>
    <m/>
    <m/>
    <m/>
    <m/>
    <s v="No"/>
    <n v="4"/>
    <m/>
    <m/>
    <x v="0"/>
    <d v="2022-12-07T14:50:09.000"/>
    <s v="#Twinesolutions visited #ecologicalservices to see how our product development thread and yarn waste could receive a second life thanks to local artists. #reuse, #reduce, #upcycle, #zerowaste, #upcycle, #sustainableindustry - https://t.co/P71n7mZvWA https://t.co/qXBt3mIWK2"/>
    <s v="https://twine-s.com/sustainability/"/>
    <s v="twine-s.com"/>
    <x v="1"/>
    <s v="https://pbs.twimg.com/media/FjYg6hkWAAg9oIB.jpg"/>
    <s v="https://pbs.twimg.com/media/FjYg6hkWAAg9oIB.jpg"/>
    <x v="1"/>
    <d v="2022-12-07T00:00:00.000"/>
    <s v="14:50:09"/>
    <s v="https://twitter.com/#!/twine_solutions/status/1600502932428013568"/>
    <m/>
    <m/>
    <s v="1600502932428013568"/>
    <m/>
    <b v="0"/>
    <n v="1"/>
    <s v=""/>
    <b v="0"/>
    <s v="en"/>
    <m/>
    <s v=""/>
    <b v="0"/>
    <n v="0"/>
    <s v=""/>
    <s v="Twitter Web App"/>
    <b v="0"/>
    <s v="1600502932428013568"/>
    <s v="Tweet"/>
    <n v="0"/>
    <n v="0"/>
    <m/>
    <m/>
    <m/>
    <m/>
    <m/>
    <m/>
    <m/>
    <m/>
    <n v="1"/>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4" totalsRowShown="0" headerRowDxfId="220" dataDxfId="219">
  <autoFilter ref="A2:BE4"/>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4" totalsRowShown="0" headerRowDxfId="165" dataDxfId="164">
  <autoFilter ref="A2:BA4"/>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calculatedColumnFormula>HYPERLINK("http://abs.twimg.com/images/themes/theme1/bg.png")</calculatedColumnFormula>
    </tableColumn>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totalsRowShown="0" headerRowDxfId="112">
  <autoFilter ref="A2:Y3"/>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109" dataDxfId="108">
  <autoFilter ref="A1:C3"/>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4" totalsRowShown="0" headerRowDxfId="57" dataDxfId="56">
  <autoFilter ref="A2:BE4"/>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299</v>
      </c>
      <c r="BD2" s="13" t="s">
        <v>303</v>
      </c>
      <c r="BE2" s="13" t="s">
        <v>304</v>
      </c>
    </row>
    <row r="3" spans="1:57" ht="15" customHeight="1">
      <c r="A3" s="80" t="s">
        <v>215</v>
      </c>
      <c r="B3" s="80" t="s">
        <v>215</v>
      </c>
      <c r="C3" s="53" t="s">
        <v>311</v>
      </c>
      <c r="D3" s="54">
        <v>3</v>
      </c>
      <c r="E3" s="66" t="s">
        <v>132</v>
      </c>
      <c r="F3" s="55">
        <v>35</v>
      </c>
      <c r="G3" s="53"/>
      <c r="H3" s="57"/>
      <c r="I3" s="56"/>
      <c r="J3" s="56"/>
      <c r="K3" s="35" t="s">
        <v>65</v>
      </c>
      <c r="L3" s="62">
        <v>3</v>
      </c>
      <c r="M3" s="62"/>
      <c r="N3" s="63"/>
      <c r="O3" s="81" t="s">
        <v>176</v>
      </c>
      <c r="P3" s="83">
        <v>44895.81521990741</v>
      </c>
      <c r="Q3" s="81" t="s">
        <v>217</v>
      </c>
      <c r="R3" s="85" t="str">
        <f>HYPERLINK("https://www.linkedin.com/feed/update/urn:li:share:7003803254115446784")</f>
        <v>https://www.linkedin.com/feed/update/urn:li:share:7003803254115446784</v>
      </c>
      <c r="S3" s="81" t="s">
        <v>219</v>
      </c>
      <c r="T3" s="87" t="s">
        <v>221</v>
      </c>
      <c r="U3" s="81"/>
      <c r="V3" s="85" t="str">
        <f>HYPERLINK("http://pbs.twimg.com/profile_images/1522515322716270592/REZVy4Ye_normal.jpg")</f>
        <v>http://pbs.twimg.com/profile_images/1522515322716270592/REZVy4Ye_normal.jpg</v>
      </c>
      <c r="W3" s="83">
        <v>44895.81521990741</v>
      </c>
      <c r="X3" s="89">
        <v>44895</v>
      </c>
      <c r="Y3" s="87" t="s">
        <v>223</v>
      </c>
      <c r="Z3" s="85" t="str">
        <f>HYPERLINK("https://twitter.com/#!/margaretagroth/status/1598037628678537217")</f>
        <v>https://twitter.com/#!/margaretagroth/status/1598037628678537217</v>
      </c>
      <c r="AA3" s="81"/>
      <c r="AB3" s="81"/>
      <c r="AC3" s="87" t="s">
        <v>225</v>
      </c>
      <c r="AD3" s="81"/>
      <c r="AE3" s="81" t="b">
        <v>0</v>
      </c>
      <c r="AF3" s="81">
        <v>2</v>
      </c>
      <c r="AG3" s="87" t="s">
        <v>226</v>
      </c>
      <c r="AH3" s="81" t="b">
        <v>0</v>
      </c>
      <c r="AI3" s="81" t="s">
        <v>227</v>
      </c>
      <c r="AJ3" s="81"/>
      <c r="AK3" s="87" t="s">
        <v>226</v>
      </c>
      <c r="AL3" s="81" t="b">
        <v>0</v>
      </c>
      <c r="AM3" s="81">
        <v>0</v>
      </c>
      <c r="AN3" s="87" t="s">
        <v>226</v>
      </c>
      <c r="AO3" s="87" t="s">
        <v>229</v>
      </c>
      <c r="AP3" s="81" t="b">
        <v>0</v>
      </c>
      <c r="AQ3" s="87" t="s">
        <v>225</v>
      </c>
      <c r="AR3" s="81" t="s">
        <v>176</v>
      </c>
      <c r="AS3" s="81">
        <v>0</v>
      </c>
      <c r="AT3" s="81">
        <v>0</v>
      </c>
      <c r="AU3" s="81"/>
      <c r="AV3" s="81"/>
      <c r="AW3" s="81"/>
      <c r="AX3" s="81"/>
      <c r="AY3" s="81"/>
      <c r="AZ3" s="81"/>
      <c r="BA3" s="81"/>
      <c r="BB3" s="81"/>
      <c r="BC3">
        <v>1</v>
      </c>
      <c r="BD3" s="81" t="str">
        <f>REPLACE(INDEX(GroupVertices[Group],MATCH(Edges[[#This Row],[Vertex 1]],GroupVertices[Vertex],0)),1,1,"")</f>
        <v>1</v>
      </c>
      <c r="BE3" s="81" t="str">
        <f>REPLACE(INDEX(GroupVertices[Group],MATCH(Edges[[#This Row],[Vertex 2]],GroupVertices[Vertex],0)),1,1,"")</f>
        <v>1</v>
      </c>
    </row>
    <row r="4" spans="1:57" ht="15" customHeight="1">
      <c r="A4" s="80" t="s">
        <v>214</v>
      </c>
      <c r="B4" s="80" t="s">
        <v>214</v>
      </c>
      <c r="C4" s="53" t="s">
        <v>311</v>
      </c>
      <c r="D4" s="54">
        <v>3</v>
      </c>
      <c r="E4" s="66" t="s">
        <v>132</v>
      </c>
      <c r="F4" s="55">
        <v>35</v>
      </c>
      <c r="G4" s="53"/>
      <c r="H4" s="57"/>
      <c r="I4" s="56"/>
      <c r="J4" s="56"/>
      <c r="K4" s="35" t="s">
        <v>65</v>
      </c>
      <c r="L4" s="79">
        <v>4</v>
      </c>
      <c r="M4" s="79"/>
      <c r="N4" s="63"/>
      <c r="O4" s="82" t="s">
        <v>176</v>
      </c>
      <c r="P4" s="84">
        <v>44902.618159722224</v>
      </c>
      <c r="Q4" s="82" t="s">
        <v>216</v>
      </c>
      <c r="R4" s="86" t="str">
        <f>HYPERLINK("https://twine-s.com/sustainability/")</f>
        <v>https://twine-s.com/sustainability/</v>
      </c>
      <c r="S4" s="82" t="s">
        <v>218</v>
      </c>
      <c r="T4" s="88" t="s">
        <v>220</v>
      </c>
      <c r="U4" s="86" t="str">
        <f>HYPERLINK("https://pbs.twimg.com/media/FjYg6hkWAAg9oIB.jpg")</f>
        <v>https://pbs.twimg.com/media/FjYg6hkWAAg9oIB.jpg</v>
      </c>
      <c r="V4" s="86" t="str">
        <f>HYPERLINK("https://pbs.twimg.com/media/FjYg6hkWAAg9oIB.jpg")</f>
        <v>https://pbs.twimg.com/media/FjYg6hkWAAg9oIB.jpg</v>
      </c>
      <c r="W4" s="84">
        <v>44902.618159722224</v>
      </c>
      <c r="X4" s="90">
        <v>44902</v>
      </c>
      <c r="Y4" s="88" t="s">
        <v>222</v>
      </c>
      <c r="Z4" s="86" t="str">
        <f>HYPERLINK("https://twitter.com/#!/twine_solutions/status/1600502932428013568")</f>
        <v>https://twitter.com/#!/twine_solutions/status/1600502932428013568</v>
      </c>
      <c r="AA4" s="82"/>
      <c r="AB4" s="82"/>
      <c r="AC4" s="88" t="s">
        <v>224</v>
      </c>
      <c r="AD4" s="82"/>
      <c r="AE4" s="82" t="b">
        <v>0</v>
      </c>
      <c r="AF4" s="82">
        <v>1</v>
      </c>
      <c r="AG4" s="88" t="s">
        <v>226</v>
      </c>
      <c r="AH4" s="82" t="b">
        <v>0</v>
      </c>
      <c r="AI4" s="82" t="s">
        <v>227</v>
      </c>
      <c r="AJ4" s="82"/>
      <c r="AK4" s="88" t="s">
        <v>226</v>
      </c>
      <c r="AL4" s="82" t="b">
        <v>0</v>
      </c>
      <c r="AM4" s="82">
        <v>0</v>
      </c>
      <c r="AN4" s="88" t="s">
        <v>226</v>
      </c>
      <c r="AO4" s="88" t="s">
        <v>228</v>
      </c>
      <c r="AP4" s="82" t="b">
        <v>0</v>
      </c>
      <c r="AQ4" s="88" t="s">
        <v>224</v>
      </c>
      <c r="AR4" s="82" t="s">
        <v>176</v>
      </c>
      <c r="AS4" s="82">
        <v>0</v>
      </c>
      <c r="AT4" s="82">
        <v>0</v>
      </c>
      <c r="AU4" s="82"/>
      <c r="AV4" s="82"/>
      <c r="AW4" s="82"/>
      <c r="AX4" s="82"/>
      <c r="AY4" s="82"/>
      <c r="AZ4" s="82"/>
      <c r="BA4" s="82"/>
      <c r="BB4" s="82"/>
      <c r="BC4">
        <v>1</v>
      </c>
      <c r="BD4" s="81" t="str">
        <f>REPLACE(INDEX(GroupVertices[Group],MATCH(Edges[[#This Row],[Vertex 1]],GroupVertices[Vertex],0)),1,1,"")</f>
        <v>1</v>
      </c>
      <c r="BE4" s="81" t="str">
        <f>REPLACE(INDEX(GroupVertices[Group],MATCH(Edges[[#This Row],[Vertex 2]],GroupVertices[Vertex],0)),1,1,"")</f>
        <v>1</v>
      </c>
    </row>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ErrorMessage="1" sqref="N2:N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Color" prompt="To select an optional edge color, right-click and select Select Color on the right-click menu." sqref="C3:C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Opacity" prompt="Enter an optional edge opacity between 0 (transparent) and 100 (opaque)." errorTitle="Invalid Edge Opacity" error="The optional edge opacity must be a whole number between 0 and 10." sqref="F3:F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showErrorMessage="1" promptTitle="Vertex 1 Name" prompt="Enter the name of the edge's first vertex." sqref="A3:A4"/>
    <dataValidation allowBlank="1" showInputMessage="1" showErrorMessage="1" promptTitle="Vertex 2 Name" prompt="Enter the name of the edge's second vertex." sqref="B3:B4"/>
    <dataValidation allowBlank="1" showInputMessage="1" showErrorMessage="1" promptTitle="Edge Label" prompt="Enter an optional edge label." errorTitle="Invalid Edge Visibility" error="You have entered an unrecognized edge visibility.  Try selecting from the drop-down list instead." sqref="H3:H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230</v>
      </c>
      <c r="AE2" s="13" t="s">
        <v>231</v>
      </c>
      <c r="AF2" s="13" t="s">
        <v>232</v>
      </c>
      <c r="AG2" s="13" t="s">
        <v>233</v>
      </c>
      <c r="AH2" s="13" t="s">
        <v>234</v>
      </c>
      <c r="AI2" s="13" t="s">
        <v>235</v>
      </c>
      <c r="AJ2" s="13" t="s">
        <v>236</v>
      </c>
      <c r="AK2" s="13" t="s">
        <v>237</v>
      </c>
      <c r="AL2" s="13" t="s">
        <v>238</v>
      </c>
      <c r="AM2" s="13" t="s">
        <v>239</v>
      </c>
      <c r="AN2" s="13" t="s">
        <v>240</v>
      </c>
      <c r="AO2" s="13" t="s">
        <v>241</v>
      </c>
      <c r="AP2" s="13" t="s">
        <v>242</v>
      </c>
      <c r="AQ2" s="13" t="s">
        <v>243</v>
      </c>
      <c r="AR2" s="13" t="s">
        <v>244</v>
      </c>
      <c r="AS2" s="13" t="s">
        <v>245</v>
      </c>
      <c r="AT2" s="13" t="s">
        <v>194</v>
      </c>
      <c r="AU2" s="13" t="s">
        <v>246</v>
      </c>
      <c r="AV2" s="13" t="s">
        <v>247</v>
      </c>
      <c r="AW2" s="13" t="s">
        <v>248</v>
      </c>
      <c r="AX2" s="13" t="s">
        <v>249</v>
      </c>
      <c r="AY2" s="13" t="s">
        <v>250</v>
      </c>
      <c r="AZ2" s="13" t="s">
        <v>251</v>
      </c>
      <c r="BA2" s="13" t="s">
        <v>302</v>
      </c>
      <c r="BB2" s="3"/>
      <c r="BC2" s="3"/>
    </row>
    <row r="3" spans="1:55" ht="15" customHeight="1">
      <c r="A3" s="49" t="s">
        <v>215</v>
      </c>
      <c r="B3" s="53"/>
      <c r="C3" s="53"/>
      <c r="D3" s="54"/>
      <c r="E3" s="55"/>
      <c r="F3" s="106" t="str">
        <f>HYPERLINK("http://pbs.twimg.com/profile_images/1522515322716270592/REZVy4Ye_normal.jpg")</f>
        <v>http://pbs.twimg.com/profile_images/1522515322716270592/REZVy4Ye_normal.jpg</v>
      </c>
      <c r="G3" s="53"/>
      <c r="H3" s="57" t="s">
        <v>215</v>
      </c>
      <c r="I3" s="56"/>
      <c r="J3" s="56"/>
      <c r="K3" s="108" t="s">
        <v>261</v>
      </c>
      <c r="L3" s="59"/>
      <c r="M3" s="60">
        <v>4999.5</v>
      </c>
      <c r="N3" s="60">
        <v>7417.021484375</v>
      </c>
      <c r="O3" s="58"/>
      <c r="P3" s="61"/>
      <c r="Q3" s="61"/>
      <c r="R3" s="50"/>
      <c r="S3" s="50"/>
      <c r="T3" s="50"/>
      <c r="U3" s="50"/>
      <c r="V3" s="51"/>
      <c r="W3" s="51"/>
      <c r="X3" s="52"/>
      <c r="Y3" s="51"/>
      <c r="Z3" s="51"/>
      <c r="AA3" s="62">
        <v>3</v>
      </c>
      <c r="AB3" s="62"/>
      <c r="AC3" s="63"/>
      <c r="AD3" s="81" t="s">
        <v>253</v>
      </c>
      <c r="AE3" s="87" t="s">
        <v>255</v>
      </c>
      <c r="AF3" s="81">
        <v>3032</v>
      </c>
      <c r="AG3" s="81">
        <v>2329</v>
      </c>
      <c r="AH3" s="81">
        <v>8453</v>
      </c>
      <c r="AI3" s="81">
        <v>39391</v>
      </c>
      <c r="AJ3" s="81"/>
      <c r="AK3" s="81" t="s">
        <v>257</v>
      </c>
      <c r="AL3" s="81" t="s">
        <v>258</v>
      </c>
      <c r="AM3" s="85" t="str">
        <f>HYPERLINK("https://t.co/w09BBsPHhG")</f>
        <v>https://t.co/w09BBsPHhG</v>
      </c>
      <c r="AN3" s="81"/>
      <c r="AO3" s="83">
        <v>41585.45375</v>
      </c>
      <c r="AP3" s="85" t="str">
        <f>HYPERLINK("https://pbs.twimg.com/profile_banners/2179853022/1651830915")</f>
        <v>https://pbs.twimg.com/profile_banners/2179853022/1651830915</v>
      </c>
      <c r="AQ3" s="81" t="b">
        <v>1</v>
      </c>
      <c r="AR3" s="81" t="b">
        <v>0</v>
      </c>
      <c r="AS3" s="81" t="b">
        <v>1</v>
      </c>
      <c r="AT3" s="81"/>
      <c r="AU3" s="81">
        <v>0</v>
      </c>
      <c r="AV3" s="85" t="str">
        <f aca="true" t="shared" si="0" ref="AV3:AV4">HYPERLINK("http://abs.twimg.com/images/themes/theme1/bg.png")</f>
        <v>http://abs.twimg.com/images/themes/theme1/bg.png</v>
      </c>
      <c r="AW3" s="81" t="b">
        <v>0</v>
      </c>
      <c r="AX3" s="81" t="s">
        <v>259</v>
      </c>
      <c r="AY3" s="85" t="str">
        <f>HYPERLINK("https://twitter.com/margaretagroth")</f>
        <v>https://twitter.com/margaretagroth</v>
      </c>
      <c r="AZ3" s="81" t="s">
        <v>66</v>
      </c>
      <c r="BA3" s="81" t="str">
        <f>REPLACE(INDEX(GroupVertices[Group],MATCH(Vertices[[#This Row],[Vertex]],GroupVertices[Vertex],0)),1,1,"")</f>
        <v>1</v>
      </c>
      <c r="BB3" s="3"/>
      <c r="BC3" s="3"/>
    </row>
    <row r="4" spans="1:58" ht="15">
      <c r="A4" s="91" t="s">
        <v>214</v>
      </c>
      <c r="B4" s="92"/>
      <c r="C4" s="92"/>
      <c r="D4" s="93"/>
      <c r="E4" s="94"/>
      <c r="F4" s="107" t="str">
        <f>HYPERLINK("http://pbs.twimg.com/profile_images/1509404007072161794/lyk0p9X9_normal.jpg")</f>
        <v>http://pbs.twimg.com/profile_images/1509404007072161794/lyk0p9X9_normal.jpg</v>
      </c>
      <c r="G4" s="92"/>
      <c r="H4" s="95" t="s">
        <v>214</v>
      </c>
      <c r="I4" s="96"/>
      <c r="J4" s="96"/>
      <c r="K4" s="109" t="s">
        <v>260</v>
      </c>
      <c r="L4" s="97"/>
      <c r="M4" s="98">
        <v>4999.5</v>
      </c>
      <c r="N4" s="98">
        <v>2581.978515625</v>
      </c>
      <c r="O4" s="99"/>
      <c r="P4" s="100"/>
      <c r="Q4" s="100"/>
      <c r="R4" s="101"/>
      <c r="S4" s="101"/>
      <c r="T4" s="101"/>
      <c r="U4" s="101"/>
      <c r="V4" s="102"/>
      <c r="W4" s="102"/>
      <c r="X4" s="102"/>
      <c r="Y4" s="102"/>
      <c r="Z4" s="103"/>
      <c r="AA4" s="104">
        <v>4</v>
      </c>
      <c r="AB4" s="104"/>
      <c r="AC4" s="105"/>
      <c r="AD4" s="81" t="s">
        <v>252</v>
      </c>
      <c r="AE4" s="87" t="s">
        <v>254</v>
      </c>
      <c r="AF4" s="81">
        <v>632</v>
      </c>
      <c r="AG4" s="81">
        <v>70</v>
      </c>
      <c r="AH4" s="81">
        <v>116</v>
      </c>
      <c r="AI4" s="81">
        <v>49</v>
      </c>
      <c r="AJ4" s="81"/>
      <c r="AK4" s="81" t="s">
        <v>256</v>
      </c>
      <c r="AL4" s="81"/>
      <c r="AM4" s="85" t="str">
        <f>HYPERLINK("https://t.co/BizlHqOQtc")</f>
        <v>https://t.co/BizlHqOQtc</v>
      </c>
      <c r="AN4" s="81"/>
      <c r="AO4" s="83">
        <v>44623.42859953704</v>
      </c>
      <c r="AP4" s="85" t="str">
        <f>HYPERLINK("https://pbs.twimg.com/profile_banners/1499327870405070851/1648704935")</f>
        <v>https://pbs.twimg.com/profile_banners/1499327870405070851/1648704935</v>
      </c>
      <c r="AQ4" s="81" t="b">
        <v>1</v>
      </c>
      <c r="AR4" s="81" t="b">
        <v>0</v>
      </c>
      <c r="AS4" s="81" t="b">
        <v>0</v>
      </c>
      <c r="AT4" s="81"/>
      <c r="AU4" s="81">
        <v>1</v>
      </c>
      <c r="AV4" s="85" t="str">
        <f t="shared" si="0"/>
        <v>http://abs.twimg.com/images/themes/theme1/bg.png</v>
      </c>
      <c r="AW4" s="81" t="b">
        <v>0</v>
      </c>
      <c r="AX4" s="81" t="s">
        <v>259</v>
      </c>
      <c r="AY4" s="85" t="str">
        <f>HYPERLINK("https://twitter.com/twine_solutions")</f>
        <v>https://twitter.com/twine_solutions</v>
      </c>
      <c r="AZ4" s="81" t="s">
        <v>66</v>
      </c>
      <c r="BA4" s="81" t="str">
        <f>REPLACE(INDEX(GroupVertices[Group],MATCH(Vertices[[#This Row],[Vertex]],GroupVertices[Vertex],0)),1,1,"")</f>
        <v>1</v>
      </c>
      <c r="BB4" s="2"/>
      <c r="BC4" s="3"/>
      <c r="BD4" s="3"/>
      <c r="BE4" s="3"/>
      <c r="BF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306</v>
      </c>
    </row>
    <row r="3" spans="1:25" ht="15">
      <c r="A3" s="80" t="s">
        <v>300</v>
      </c>
      <c r="B3" s="110" t="s">
        <v>301</v>
      </c>
      <c r="C3" s="110" t="s">
        <v>56</v>
      </c>
      <c r="D3" s="14"/>
      <c r="E3" s="14"/>
      <c r="F3" s="15" t="s">
        <v>300</v>
      </c>
      <c r="G3" s="77"/>
      <c r="H3" s="77"/>
      <c r="I3" s="64">
        <v>3</v>
      </c>
      <c r="J3" s="64"/>
      <c r="K3" s="50">
        <v>2</v>
      </c>
      <c r="L3" s="50">
        <v>2</v>
      </c>
      <c r="M3" s="50">
        <v>0</v>
      </c>
      <c r="N3" s="50">
        <v>2</v>
      </c>
      <c r="O3" s="50">
        <v>2</v>
      </c>
      <c r="P3" s="51" t="s">
        <v>305</v>
      </c>
      <c r="Q3" s="51" t="s">
        <v>305</v>
      </c>
      <c r="R3" s="50">
        <v>2</v>
      </c>
      <c r="S3" s="50">
        <v>2</v>
      </c>
      <c r="T3" s="50">
        <v>1</v>
      </c>
      <c r="U3" s="50">
        <v>1</v>
      </c>
      <c r="V3" s="50">
        <v>0</v>
      </c>
      <c r="W3" s="51">
        <v>0</v>
      </c>
      <c r="X3" s="51">
        <v>0</v>
      </c>
      <c r="Y3" s="81" t="s">
        <v>307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300</v>
      </c>
      <c r="B2" s="87" t="s">
        <v>215</v>
      </c>
      <c r="C2" s="81">
        <f>VLOOKUP(GroupVertices[[#This Row],[Vertex]],Vertices[],MATCH("ID",Vertices[[#Headers],[Vertex]:[Vertex Group]],0),FALSE)</f>
        <v>3</v>
      </c>
    </row>
    <row r="3" spans="1:3" ht="15">
      <c r="A3" s="82" t="s">
        <v>300</v>
      </c>
      <c r="B3" s="87" t="s">
        <v>214</v>
      </c>
      <c r="C3" s="81">
        <f>VLOOKUP(GroupVertices[[#This Row],[Vertex]],Vertices[],MATCH("ID",Vertices[[#Headers],[Vertex]:[Vertex Group]],0),FALSE)</f>
        <v>4</v>
      </c>
    </row>
  </sheetData>
  <dataValidations count="3" xWindow="58" yWindow="226">
    <dataValidation allowBlank="1" showInputMessage="1" showErrorMessage="1" promptTitle="Group Name" prompt="Enter the name of the group.  The group name must also be entered on the Groups worksheet." sqref="A2:A3"/>
    <dataValidation allowBlank="1" showInputMessage="1" showErrorMessage="1" promptTitle="Vertex Name" prompt="Enter the name of a vertex to include in the group." sqref="B2:B3"/>
    <dataValidation allowBlank="1" showInputMessage="1" promptTitle="Vertex ID" prompt="This is the value of the hidden ID cell in the Vertices worksheet.  It gets filled in by the items on the NodeXL, Analysis, Groups menu." sqref="C2:C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1" spans="1:2" ht="15">
      <c r="A51" s="78"/>
      <c r="B51" s="78"/>
    </row>
    <row r="52" spans="1:2" ht="15">
      <c r="A52" s="35"/>
      <c r="B52" s="35"/>
    </row>
    <row r="53" spans="1:2" ht="15">
      <c r="A53" s="78"/>
      <c r="B53" s="78"/>
    </row>
    <row r="54" spans="1:2" ht="15">
      <c r="A54" s="35"/>
      <c r="B54" s="35"/>
    </row>
    <row r="55" spans="1:2" ht="15">
      <c r="A55" s="35"/>
      <c r="B55" s="35"/>
    </row>
    <row r="56" spans="1:2" ht="15">
      <c r="A56" s="35"/>
      <c r="B56" s="35"/>
    </row>
    <row r="57" spans="1:2" ht="15">
      <c r="A57" s="78"/>
      <c r="B57" s="78"/>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t="str">
        <f>IF(COUNT(Vertices[In-Degree])&gt;0,F2,NoMetricMessage)</f>
        <v>Not Available</v>
      </c>
    </row>
    <row r="89" spans="1:2" ht="15">
      <c r="A89" s="34" t="s">
        <v>89</v>
      </c>
      <c r="B89" s="47" t="str">
        <f>IF(COUNT(Vertices[In-Degree])&gt;0,F36,NoMetricMessage)</f>
        <v>Not Available</v>
      </c>
    </row>
    <row r="90" spans="1:2" ht="15">
      <c r="A90" s="34" t="s">
        <v>90</v>
      </c>
      <c r="B90" s="48" t="str">
        <f>_xlfn.IFERROR(AVERAGE(Vertices[In-Degree]),NoMetricMessage)</f>
        <v>Not Available</v>
      </c>
    </row>
    <row r="91" spans="1:2" ht="15">
      <c r="A91" s="34" t="s">
        <v>91</v>
      </c>
      <c r="B91" s="48" t="str">
        <f>_xlfn.IFERROR(MEDIAN(Vertices[In-Degree]),NoMetricMessage)</f>
        <v>Not Available</v>
      </c>
    </row>
    <row r="102" spans="1:2" ht="15">
      <c r="A102" s="34" t="s">
        <v>94</v>
      </c>
      <c r="B102" s="47" t="str">
        <f>IF(COUNT(Vertices[Out-Degree])&gt;0,H2,NoMetricMessage)</f>
        <v>Not Available</v>
      </c>
    </row>
    <row r="103" spans="1:2" ht="15">
      <c r="A103" s="34" t="s">
        <v>95</v>
      </c>
      <c r="B103" s="47" t="str">
        <f>IF(COUNT(Vertices[Out-Degree])&gt;0,H36,NoMetricMessage)</f>
        <v>Not Available</v>
      </c>
    </row>
    <row r="104" spans="1:2" ht="15">
      <c r="A104" s="34" t="s">
        <v>96</v>
      </c>
      <c r="B104" s="48" t="str">
        <f>_xlfn.IFERROR(AVERAGE(Vertices[Out-Degree]),NoMetricMessage)</f>
        <v>Not Available</v>
      </c>
    </row>
    <row r="105" spans="1:2" ht="15">
      <c r="A105" s="34" t="s">
        <v>97</v>
      </c>
      <c r="B105" s="48" t="str">
        <f>_xlfn.IFERROR(MEDIAN(Vertices[Out-Degree]),NoMetricMessage)</f>
        <v>Not Available</v>
      </c>
    </row>
    <row r="116" spans="1:2" ht="15">
      <c r="A116" s="34" t="s">
        <v>100</v>
      </c>
      <c r="B116" s="48" t="str">
        <f>IF(COUNT(Vertices[Betweenness Centrality])&gt;0,J2,NoMetricMessage)</f>
        <v>Not Available</v>
      </c>
    </row>
    <row r="117" spans="1:2" ht="15">
      <c r="A117" s="34" t="s">
        <v>101</v>
      </c>
      <c r="B117" s="48" t="str">
        <f>IF(COUNT(Vertices[Betweenness Centrality])&gt;0,J36,NoMetricMessage)</f>
        <v>Not Available</v>
      </c>
    </row>
    <row r="118" spans="1:2" ht="15">
      <c r="A118" s="34" t="s">
        <v>102</v>
      </c>
      <c r="B118" s="48" t="str">
        <f>_xlfn.IFERROR(AVERAGE(Vertices[Betweenness Centrality]),NoMetricMessage)</f>
        <v>Not Available</v>
      </c>
    </row>
    <row r="119" spans="1:2" ht="15">
      <c r="A119" s="34" t="s">
        <v>103</v>
      </c>
      <c r="B119" s="48" t="str">
        <f>_xlfn.IFERROR(MEDIAN(Vertices[Betweenness Centrality]),NoMetricMessage)</f>
        <v>Not Available</v>
      </c>
    </row>
    <row r="130" spans="1:2" ht="15">
      <c r="A130" s="34" t="s">
        <v>106</v>
      </c>
      <c r="B130" s="48" t="str">
        <f>IF(COUNT(Vertices[Closeness Centrality])&gt;0,L2,NoMetricMessage)</f>
        <v>Not Available</v>
      </c>
    </row>
    <row r="131" spans="1:2" ht="15">
      <c r="A131" s="34" t="s">
        <v>107</v>
      </c>
      <c r="B131" s="48" t="str">
        <f>IF(COUNT(Vertices[Closeness Centrality])&gt;0,L36,NoMetricMessage)</f>
        <v>Not Available</v>
      </c>
    </row>
    <row r="132" spans="1:2" ht="15">
      <c r="A132" s="34" t="s">
        <v>108</v>
      </c>
      <c r="B132" s="48" t="str">
        <f>_xlfn.IFERROR(AVERAGE(Vertices[Closeness Centrality]),NoMetricMessage)</f>
        <v>Not Available</v>
      </c>
    </row>
    <row r="133" spans="1:2" ht="15">
      <c r="A133" s="34" t="s">
        <v>109</v>
      </c>
      <c r="B133" s="48" t="str">
        <f>_xlfn.IFERROR(MEDIAN(Vertices[Closeness Centrality]),NoMetricMessage)</f>
        <v>Not Available</v>
      </c>
    </row>
    <row r="144" spans="1:2" ht="15">
      <c r="A144" s="34" t="s">
        <v>112</v>
      </c>
      <c r="B144" s="48" t="str">
        <f>IF(COUNT(Vertices[Eigenvector Centrality])&gt;0,N2,NoMetricMessage)</f>
        <v>Not Available</v>
      </c>
    </row>
    <row r="145" spans="1:2" ht="15">
      <c r="A145" s="34" t="s">
        <v>113</v>
      </c>
      <c r="B145" s="48" t="str">
        <f>IF(COUNT(Vertices[Eigenvector Centrality])&gt;0,N36,NoMetricMessage)</f>
        <v>Not Available</v>
      </c>
    </row>
    <row r="146" spans="1:2" ht="15">
      <c r="A146" s="34" t="s">
        <v>114</v>
      </c>
      <c r="B146" s="48" t="str">
        <f>_xlfn.IFERROR(AVERAGE(Vertices[Eigenvector Centrality]),NoMetricMessage)</f>
        <v>Not Available</v>
      </c>
    </row>
    <row r="147" spans="1:2" ht="15">
      <c r="A147" s="34" t="s">
        <v>115</v>
      </c>
      <c r="B147" s="48" t="str">
        <f>_xlfn.IFERROR(MEDIAN(Vertices[Eigenvector Centrality]),NoMetricMessage)</f>
        <v>Not Available</v>
      </c>
    </row>
    <row r="158" spans="1:2" ht="15">
      <c r="A158" s="34" t="s">
        <v>140</v>
      </c>
      <c r="B158" s="48" t="str">
        <f>IF(COUNT(Vertices[PageRank])&gt;0,P2,NoMetricMessage)</f>
        <v>Not Available</v>
      </c>
    </row>
    <row r="159" spans="1:2" ht="15">
      <c r="A159" s="34" t="s">
        <v>141</v>
      </c>
      <c r="B159" s="48" t="str">
        <f>IF(COUNT(Vertices[PageRank])&gt;0,P36,NoMetricMessage)</f>
        <v>Not Available</v>
      </c>
    </row>
    <row r="160" spans="1:2" ht="15">
      <c r="A160" s="34" t="s">
        <v>142</v>
      </c>
      <c r="B160" s="48" t="str">
        <f>_xlfn.IFERROR(AVERAGE(Vertices[PageRank]),NoMetricMessage)</f>
        <v>Not Available</v>
      </c>
    </row>
    <row r="161" spans="1:2" ht="15">
      <c r="A161" s="34" t="s">
        <v>143</v>
      </c>
      <c r="B161" s="48" t="str">
        <f>_xlfn.IFERROR(MEDIAN(Vertices[PageRank]),NoMetricMessage)</f>
        <v>Not Available</v>
      </c>
    </row>
    <row r="172" spans="1:2" ht="15">
      <c r="A172" s="34" t="s">
        <v>118</v>
      </c>
      <c r="B172" s="48" t="str">
        <f>IF(COUNT(Vertices[Clustering Coefficient])&gt;0,R2,NoMetricMessage)</f>
        <v>Not Available</v>
      </c>
    </row>
    <row r="173" spans="1:2" ht="15">
      <c r="A173" s="34" t="s">
        <v>119</v>
      </c>
      <c r="B173" s="48" t="str">
        <f>IF(COUNT(Vertices[Clustering Coefficient])&gt;0,R36,NoMetricMessage)</f>
        <v>Not Available</v>
      </c>
    </row>
    <row r="174" spans="1:2" ht="15">
      <c r="A174" s="34" t="s">
        <v>120</v>
      </c>
      <c r="B174" s="48" t="str">
        <f>_xlfn.IFERROR(AVERAGE(Vertices[Clustering Coefficient]),NoMetricMessage)</f>
        <v>Not Available</v>
      </c>
    </row>
    <row r="175" spans="1:2" ht="15">
      <c r="A175" s="34" t="s">
        <v>121</v>
      </c>
      <c r="B175"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299</v>
      </c>
      <c r="BD2" s="13" t="s">
        <v>303</v>
      </c>
      <c r="BE2" s="13" t="s">
        <v>304</v>
      </c>
    </row>
    <row r="3" spans="1:57" ht="15" customHeight="1">
      <c r="A3" s="80" t="s">
        <v>215</v>
      </c>
      <c r="B3" s="80" t="s">
        <v>215</v>
      </c>
      <c r="C3" s="53"/>
      <c r="D3" s="54"/>
      <c r="E3" s="66"/>
      <c r="F3" s="55"/>
      <c r="G3" s="53"/>
      <c r="H3" s="57"/>
      <c r="I3" s="56"/>
      <c r="J3" s="56"/>
      <c r="K3" s="35" t="s">
        <v>65</v>
      </c>
      <c r="L3" s="62">
        <v>3</v>
      </c>
      <c r="M3" s="62"/>
      <c r="N3" s="63"/>
      <c r="O3" s="81" t="s">
        <v>176</v>
      </c>
      <c r="P3" s="83">
        <v>44895.81521990741</v>
      </c>
      <c r="Q3" s="81" t="s">
        <v>217</v>
      </c>
      <c r="R3" s="85" t="str">
        <f>HYPERLINK("https://www.linkedin.com/feed/update/urn:li:share:7003803254115446784")</f>
        <v>https://www.linkedin.com/feed/update/urn:li:share:7003803254115446784</v>
      </c>
      <c r="S3" s="81" t="s">
        <v>219</v>
      </c>
      <c r="T3" s="87" t="s">
        <v>221</v>
      </c>
      <c r="U3" s="81"/>
      <c r="V3" s="85" t="str">
        <f>HYPERLINK("http://pbs.twimg.com/profile_images/1522515322716270592/REZVy4Ye_normal.jpg")</f>
        <v>http://pbs.twimg.com/profile_images/1522515322716270592/REZVy4Ye_normal.jpg</v>
      </c>
      <c r="W3" s="83">
        <v>44895.81521990741</v>
      </c>
      <c r="X3" s="89">
        <v>44895</v>
      </c>
      <c r="Y3" s="87" t="s">
        <v>223</v>
      </c>
      <c r="Z3" s="85" t="str">
        <f>HYPERLINK("https://twitter.com/#!/margaretagroth/status/1598037628678537217")</f>
        <v>https://twitter.com/#!/margaretagroth/status/1598037628678537217</v>
      </c>
      <c r="AA3" s="81"/>
      <c r="AB3" s="81"/>
      <c r="AC3" s="87" t="s">
        <v>225</v>
      </c>
      <c r="AD3" s="81"/>
      <c r="AE3" s="81" t="b">
        <v>0</v>
      </c>
      <c r="AF3" s="81">
        <v>2</v>
      </c>
      <c r="AG3" s="87" t="s">
        <v>226</v>
      </c>
      <c r="AH3" s="81" t="b">
        <v>0</v>
      </c>
      <c r="AI3" s="81" t="s">
        <v>227</v>
      </c>
      <c r="AJ3" s="81"/>
      <c r="AK3" s="87" t="s">
        <v>226</v>
      </c>
      <c r="AL3" s="81" t="b">
        <v>0</v>
      </c>
      <c r="AM3" s="81">
        <v>0</v>
      </c>
      <c r="AN3" s="87" t="s">
        <v>226</v>
      </c>
      <c r="AO3" s="87" t="s">
        <v>229</v>
      </c>
      <c r="AP3" s="81" t="b">
        <v>0</v>
      </c>
      <c r="AQ3" s="87" t="s">
        <v>225</v>
      </c>
      <c r="AR3" s="81" t="s">
        <v>176</v>
      </c>
      <c r="AS3" s="81">
        <v>0</v>
      </c>
      <c r="AT3" s="81">
        <v>0</v>
      </c>
      <c r="AU3" s="81"/>
      <c r="AV3" s="81"/>
      <c r="AW3" s="81"/>
      <c r="AX3" s="81"/>
      <c r="AY3" s="81"/>
      <c r="AZ3" s="81"/>
      <c r="BA3" s="81"/>
      <c r="BB3" s="81"/>
      <c r="BC3">
        <v>1</v>
      </c>
      <c r="BD3" s="81" t="str">
        <f>REPLACE(INDEX(GroupVertices[Group],MATCH(Edges11[[#This Row],[Vertex 1]],GroupVertices[Vertex],0)),1,1,"")</f>
        <v>1</v>
      </c>
      <c r="BE3" s="81" t="str">
        <f>REPLACE(INDEX(GroupVertices[Group],MATCH(Edges11[[#This Row],[Vertex 2]],GroupVertices[Vertex],0)),1,1,"")</f>
        <v>1</v>
      </c>
    </row>
    <row r="4" spans="1:57" ht="15" customHeight="1">
      <c r="A4" s="80" t="s">
        <v>214</v>
      </c>
      <c r="B4" s="80" t="s">
        <v>214</v>
      </c>
      <c r="C4" s="53"/>
      <c r="D4" s="54"/>
      <c r="E4" s="66"/>
      <c r="F4" s="55"/>
      <c r="G4" s="53"/>
      <c r="H4" s="57"/>
      <c r="I4" s="56"/>
      <c r="J4" s="56"/>
      <c r="K4" s="35" t="s">
        <v>65</v>
      </c>
      <c r="L4" s="79">
        <v>4</v>
      </c>
      <c r="M4" s="79"/>
      <c r="N4" s="63"/>
      <c r="O4" s="82" t="s">
        <v>176</v>
      </c>
      <c r="P4" s="84">
        <v>44902.618159722224</v>
      </c>
      <c r="Q4" s="82" t="s">
        <v>216</v>
      </c>
      <c r="R4" s="86" t="str">
        <f>HYPERLINK("https://twine-s.com/sustainability/")</f>
        <v>https://twine-s.com/sustainability/</v>
      </c>
      <c r="S4" s="82" t="s">
        <v>218</v>
      </c>
      <c r="T4" s="88" t="s">
        <v>220</v>
      </c>
      <c r="U4" s="86" t="str">
        <f>HYPERLINK("https://pbs.twimg.com/media/FjYg6hkWAAg9oIB.jpg")</f>
        <v>https://pbs.twimg.com/media/FjYg6hkWAAg9oIB.jpg</v>
      </c>
      <c r="V4" s="86" t="str">
        <f>HYPERLINK("https://pbs.twimg.com/media/FjYg6hkWAAg9oIB.jpg")</f>
        <v>https://pbs.twimg.com/media/FjYg6hkWAAg9oIB.jpg</v>
      </c>
      <c r="W4" s="84">
        <v>44902.618159722224</v>
      </c>
      <c r="X4" s="90">
        <v>44902</v>
      </c>
      <c r="Y4" s="88" t="s">
        <v>222</v>
      </c>
      <c r="Z4" s="86" t="str">
        <f>HYPERLINK("https://twitter.com/#!/twine_solutions/status/1600502932428013568")</f>
        <v>https://twitter.com/#!/twine_solutions/status/1600502932428013568</v>
      </c>
      <c r="AA4" s="82"/>
      <c r="AB4" s="82"/>
      <c r="AC4" s="88" t="s">
        <v>224</v>
      </c>
      <c r="AD4" s="82"/>
      <c r="AE4" s="82" t="b">
        <v>0</v>
      </c>
      <c r="AF4" s="82">
        <v>1</v>
      </c>
      <c r="AG4" s="88" t="s">
        <v>226</v>
      </c>
      <c r="AH4" s="82" t="b">
        <v>0</v>
      </c>
      <c r="AI4" s="82" t="s">
        <v>227</v>
      </c>
      <c r="AJ4" s="82"/>
      <c r="AK4" s="88" t="s">
        <v>226</v>
      </c>
      <c r="AL4" s="82" t="b">
        <v>0</v>
      </c>
      <c r="AM4" s="82">
        <v>0</v>
      </c>
      <c r="AN4" s="88" t="s">
        <v>226</v>
      </c>
      <c r="AO4" s="88" t="s">
        <v>228</v>
      </c>
      <c r="AP4" s="82" t="b">
        <v>0</v>
      </c>
      <c r="AQ4" s="88" t="s">
        <v>224</v>
      </c>
      <c r="AR4" s="82" t="s">
        <v>176</v>
      </c>
      <c r="AS4" s="82">
        <v>0</v>
      </c>
      <c r="AT4" s="82">
        <v>0</v>
      </c>
      <c r="AU4" s="82"/>
      <c r="AV4" s="82"/>
      <c r="AW4" s="82"/>
      <c r="AX4" s="82"/>
      <c r="AY4" s="82"/>
      <c r="AZ4" s="82"/>
      <c r="BA4" s="82"/>
      <c r="BB4" s="82"/>
      <c r="BC4">
        <v>1</v>
      </c>
      <c r="BD4" s="81" t="str">
        <f>REPLACE(INDEX(GroupVertices[Group],MATCH(Edges11[[#This Row],[Vertex 1]],GroupVertices[Vertex],0)),1,1,"")</f>
        <v>1</v>
      </c>
      <c r="BE4" s="81" t="str">
        <f>REPLACE(INDEX(GroupVertices[Group],MATCH(Edges11[[#This Row],[Vertex 2]],GroupVertices[Vertex],0)),1,1,"")</f>
        <v>1</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
    <dataValidation allowBlank="1" showInputMessage="1" showErrorMessage="1" promptTitle="Vertex 2 Name" prompt="Enter the name of the edge's second vertex." sqref="B3:B4"/>
    <dataValidation allowBlank="1" showInputMessage="1" showErrorMessage="1" promptTitle="Vertex 1 Name" prompt="Enter the name of the edge's first vertex." sqref="A3:A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Color" prompt="To select an optional edge color, right-click and select Select Color on the right-click menu." sqref="C3:C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ErrorMessage="1" sqref="N2:N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264</v>
      </c>
      <c r="K7" s="13" t="s">
        <v>265</v>
      </c>
    </row>
    <row r="8" spans="1:11" ht="409.5">
      <c r="A8"/>
      <c r="B8">
        <v>2</v>
      </c>
      <c r="C8">
        <v>2</v>
      </c>
      <c r="D8" t="s">
        <v>61</v>
      </c>
      <c r="E8" t="s">
        <v>61</v>
      </c>
      <c r="H8" t="s">
        <v>73</v>
      </c>
      <c r="J8" t="s">
        <v>266</v>
      </c>
      <c r="K8" s="13" t="s">
        <v>267</v>
      </c>
    </row>
    <row r="9" spans="1:11" ht="409.5">
      <c r="A9"/>
      <c r="B9">
        <v>3</v>
      </c>
      <c r="C9">
        <v>4</v>
      </c>
      <c r="D9" t="s">
        <v>62</v>
      </c>
      <c r="E9" t="s">
        <v>62</v>
      </c>
      <c r="H9" t="s">
        <v>74</v>
      </c>
      <c r="J9" t="s">
        <v>268</v>
      </c>
      <c r="K9" s="13" t="s">
        <v>269</v>
      </c>
    </row>
    <row r="10" spans="1:11" ht="409.5">
      <c r="A10"/>
      <c r="B10">
        <v>4</v>
      </c>
      <c r="D10" t="s">
        <v>63</v>
      </c>
      <c r="E10" t="s">
        <v>63</v>
      </c>
      <c r="H10" t="s">
        <v>75</v>
      </c>
      <c r="J10" t="s">
        <v>270</v>
      </c>
      <c r="K10" s="13" t="s">
        <v>271</v>
      </c>
    </row>
    <row r="11" spans="1:11" ht="15">
      <c r="A11"/>
      <c r="B11">
        <v>5</v>
      </c>
      <c r="D11" t="s">
        <v>46</v>
      </c>
      <c r="E11">
        <v>1</v>
      </c>
      <c r="H11" t="s">
        <v>76</v>
      </c>
      <c r="J11" t="s">
        <v>272</v>
      </c>
      <c r="K11" t="s">
        <v>273</v>
      </c>
    </row>
    <row r="12" spans="1:11" ht="15">
      <c r="A12"/>
      <c r="B12"/>
      <c r="D12" t="s">
        <v>64</v>
      </c>
      <c r="E12">
        <v>2</v>
      </c>
      <c r="H12">
        <v>0</v>
      </c>
      <c r="J12" t="s">
        <v>274</v>
      </c>
      <c r="K12" t="s">
        <v>275</v>
      </c>
    </row>
    <row r="13" spans="1:11" ht="15">
      <c r="A13"/>
      <c r="B13"/>
      <c r="D13">
        <v>1</v>
      </c>
      <c r="E13">
        <v>3</v>
      </c>
      <c r="H13">
        <v>1</v>
      </c>
      <c r="J13" t="s">
        <v>276</v>
      </c>
      <c r="K13" t="s">
        <v>277</v>
      </c>
    </row>
    <row r="14" spans="4:11" ht="15">
      <c r="D14">
        <v>2</v>
      </c>
      <c r="E14">
        <v>4</v>
      </c>
      <c r="H14">
        <v>2</v>
      </c>
      <c r="J14" t="s">
        <v>278</v>
      </c>
      <c r="K14" t="s">
        <v>279</v>
      </c>
    </row>
    <row r="15" spans="4:11" ht="15">
      <c r="D15">
        <v>3</v>
      </c>
      <c r="E15">
        <v>5</v>
      </c>
      <c r="H15">
        <v>3</v>
      </c>
      <c r="J15" t="s">
        <v>280</v>
      </c>
      <c r="K15" t="s">
        <v>281</v>
      </c>
    </row>
    <row r="16" spans="4:11" ht="15">
      <c r="D16">
        <v>4</v>
      </c>
      <c r="E16">
        <v>6</v>
      </c>
      <c r="H16">
        <v>4</v>
      </c>
      <c r="J16" t="s">
        <v>282</v>
      </c>
      <c r="K16" t="s">
        <v>283</v>
      </c>
    </row>
    <row r="17" spans="4:11" ht="15">
      <c r="D17">
        <v>5</v>
      </c>
      <c r="E17">
        <v>7</v>
      </c>
      <c r="H17">
        <v>5</v>
      </c>
      <c r="J17" t="s">
        <v>284</v>
      </c>
      <c r="K17" t="s">
        <v>285</v>
      </c>
    </row>
    <row r="18" spans="4:11" ht="15">
      <c r="D18">
        <v>6</v>
      </c>
      <c r="E18">
        <v>8</v>
      </c>
      <c r="H18">
        <v>6</v>
      </c>
      <c r="J18" t="s">
        <v>286</v>
      </c>
      <c r="K18" t="s">
        <v>287</v>
      </c>
    </row>
    <row r="19" spans="4:11" ht="15">
      <c r="D19">
        <v>7</v>
      </c>
      <c r="E19">
        <v>9</v>
      </c>
      <c r="H19">
        <v>7</v>
      </c>
      <c r="J19" t="s">
        <v>288</v>
      </c>
      <c r="K19" t="s">
        <v>289</v>
      </c>
    </row>
    <row r="20" spans="4:11" ht="15">
      <c r="D20">
        <v>8</v>
      </c>
      <c r="H20">
        <v>8</v>
      </c>
      <c r="J20" t="s">
        <v>290</v>
      </c>
      <c r="K20" t="s">
        <v>291</v>
      </c>
    </row>
    <row r="21" spans="4:11" ht="409.5">
      <c r="D21">
        <v>9</v>
      </c>
      <c r="H21">
        <v>9</v>
      </c>
      <c r="J21" t="s">
        <v>292</v>
      </c>
      <c r="K21" s="13" t="s">
        <v>293</v>
      </c>
    </row>
    <row r="22" spans="4:11" ht="409.5">
      <c r="D22">
        <v>10</v>
      </c>
      <c r="J22" t="s">
        <v>294</v>
      </c>
      <c r="K22" s="13" t="s">
        <v>295</v>
      </c>
    </row>
    <row r="23" spans="4:11" ht="409.5">
      <c r="D23">
        <v>11</v>
      </c>
      <c r="J23" t="s">
        <v>296</v>
      </c>
      <c r="K23" s="13" t="s">
        <v>315</v>
      </c>
    </row>
    <row r="24" spans="10:11" ht="409.5">
      <c r="J24" t="s">
        <v>297</v>
      </c>
      <c r="K24" s="13" t="s">
        <v>314</v>
      </c>
    </row>
    <row r="25" spans="10:11" ht="15">
      <c r="J25" t="s">
        <v>298</v>
      </c>
      <c r="K25" t="b">
        <v>0</v>
      </c>
    </row>
    <row r="26" spans="10:11" ht="15">
      <c r="J26" t="s">
        <v>312</v>
      </c>
      <c r="K26" t="s">
        <v>313</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11" t="s">
        <v>309</v>
      </c>
      <c r="B25" t="s">
        <v>308</v>
      </c>
    </row>
    <row r="26" spans="1:2" ht="15">
      <c r="A26" s="112">
        <v>44895.81521990741</v>
      </c>
      <c r="B26" s="3">
        <v>1</v>
      </c>
    </row>
    <row r="27" spans="1:2" ht="15">
      <c r="A27" s="112">
        <v>44902.618159722224</v>
      </c>
      <c r="B27" s="3">
        <v>1</v>
      </c>
    </row>
    <row r="28" spans="1:2" ht="15">
      <c r="A28" s="112" t="s">
        <v>310</v>
      </c>
      <c r="B28" s="3">
        <v>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2022-12-13T16:44:14Z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