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<sst xmlns="http://schemas.openxmlformats.org/spreadsheetml/2006/main" count="1236" uniqueCount="436">
  <si>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</si>
  <si>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</si>
  <si>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</si>
  <si>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</si>
  <si>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</si>
  <si>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</si>
  <si>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</si>
  <si>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</si>
  <si>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</si>
  <si>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</si>
  <si>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</si>
  <si>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</si>
  <si>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</si>
  <si>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</si>
  <si>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</si>
  <si>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</si>
  <si>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</si>
  <si>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</si>
  <si>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</si>
  <si>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</si>
  <si>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</si>
  <si>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</si>
  <si>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</si>
  <si>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</si>
  <si>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</si>
  <si>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</si>
  <si>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</si>
  <si>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</si>
  <si>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</si>
  <si>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</si>
  <si>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</si>
  <si>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</si>
  <si>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</si>
  <si>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</si>
  <si>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</si>
  <si>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</si>
  <si>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</si>
  <si>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</si>
  <si>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</si>
  <si>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</si>
  <si>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</si>
  <si>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</si>
  <si>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</si>
  <si>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</si>
  <si>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</si>
  <si>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</si>
  <si>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</si>
  <si>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</si>
  <si>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</si>
  <si>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</si>
  <si>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</si>
  <si>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</si>
  <si>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</si>
  <si>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</si>
  <si>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</si>
  <si>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</si>
  <si>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</si>
  <si>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</si>
  <si>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</si>
  <si>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</si>
  <si>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</si>
  <si>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</si>
  <si>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</si>
  <si>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</si>
  <si>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</si>
  <si>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</si>
  <si>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</si>
  <si>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</si>
  <si>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</si>
  <si>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</si>
  <si>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</si>
  <si>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</si>
  <si>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</si>
  <si>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</si>
  <si>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</si>
  <si>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</si>
  <si>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</si>
  <si>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</si>
  <si>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</si>
  <si>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</si>
  <si>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</si>
  <si>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</si>
  <si>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</si>
  <si>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</si>
  <si>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</si>
  <si>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</si>
  <si>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</si>
  <si>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</si>
  <si>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</si>
  <si>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</si>
  <si>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</si>
  <si>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</si>
  <si>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</si>
  <si>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</si>
  <si>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</si>
  <si>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</si>
  <si>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</si>
  <si>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</si>
  <si>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</si>
  <si>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</si>
  <si>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</si>
  <si>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</si>
  <si>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</si>
  <si>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</si>
  <si>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</si>
  <si>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</si>
  <si>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</si>
  <si>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</si>
  <si>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</si>
  <si>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</si>
  <si>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</si>
  <si>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</si>
  <si>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</si>
  <si>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</si>
  <si>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</si>
  <si>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</si>
  <si>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</si>
  <si>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</si>
  <si>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</si>
  <si>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</si>
  <si>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</si>
  <si>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</si>
  <si>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</si>
  <si>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</si>
  <si>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</si>
  <si>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</si>
  <si>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</si>
  <si>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</si>
  <si>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</si>
  <si>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</si>
  <si>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</si>
  <si>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</si>
  <si>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</si>
  <si>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</si>
  <si>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</si>
  <si>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</si>
  <si>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</si>
  <si>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</si>
  <si>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</si>
  <si>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</si>
  <si>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</si>
  <si>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</si>
  <si>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</si>
  <si>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</si>
  <si>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</si>
  <si>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</si>
  <si>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</si>
  <si>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</si>
  <si>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</si>
  <si>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</si>
  <si>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</si>
  <si>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</si>
  <si>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</si>
  <si>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</si>
  <si>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</si>
  <si>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</si>
  <si>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</si>
  <si>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</si>
  <si>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</si>
  <si>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</si>
  <si>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</si>
  <si>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</si>
  <si>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</si>
  <si>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</si>
  <si>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</si>
  <si>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</si>
  <si>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</si>
  <si>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</si>
  <si>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</si>
  <si>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</si>
  <si>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</si>
  <si>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</si>
  <si>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</si>
  <si>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</si>
  <si>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</si>
  <si>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</si>
  <si>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</si>
  <si>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</si>
  <si>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</si>
  <si>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</si>
  <si>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</si>
  <si>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</si>
  <si>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</si>
  <si>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</si>
  <si>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</si>
  <si>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</si>
  <si>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</si>
  <si>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</si>
  <si>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</si>
  <si>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</si>
  <si>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</si>
  <si>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</si>
  <si>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</si>
  <si>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</si>
  <si>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</si>
  <si>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</si>
  <si>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</si>
  <si>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</si>
  <si>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</si>
  <si>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</si>
  <si>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</si>
  <si>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</si>
  <si>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</si>
  <si>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</si>
  <si>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</si>
  <si>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</si>
  <si>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</si>
  <si>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</si>
  <si>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</si>
  <si>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</si>
  <si>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</si>
  <si>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</si>
  <si>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</si>
  <si>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</si>
  <si>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ldduval11</t>
  </si>
  <si>
    <t>nkoopatrice</t>
  </si>
  <si>
    <t>ecawinner12</t>
  </si>
  <si>
    <t>latinageeks</t>
  </si>
  <si>
    <t>svforum</t>
  </si>
  <si>
    <t>stanfordnlp</t>
  </si>
  <si>
    <t>cityofpaloalto</t>
  </si>
  <si>
    <t>vfhive</t>
  </si>
  <si>
    <t>svrising</t>
  </si>
  <si>
    <t>svb_financial</t>
  </si>
  <si>
    <t>gdgsv</t>
  </si>
  <si>
    <t>svforum_elsig</t>
  </si>
  <si>
    <t>harryherma_1</t>
  </si>
  <si>
    <t>goodkarmag</t>
  </si>
  <si>
    <t>0807wincityx</t>
  </si>
  <si>
    <t>kuldeep12327367</t>
  </si>
  <si>
    <t>zeroblade4201</t>
  </si>
  <si>
    <t>humphreysimiy19</t>
  </si>
  <si>
    <t>blacque_virgo</t>
  </si>
  <si>
    <t>sfdenyse</t>
  </si>
  <si>
    <t>Mentions</t>
  </si>
  <si>
    <t>Replies to</t>
  </si>
  <si>
    <t>I had the pleasure of talking with the Former CEO @SVForum and @LatinaGeeks Managing Director @SFDenyse today. It was a great conversation about LatAm future, and how Silicon Valley leaders could help the region to growth. https://t.co/wMonUFabLm</t>
  </si>
  <si>
    <t>@gdgsv @SVB_Financial @SVForum @SVRising @VFHIVE @cityofpaloalto @stanfordnlp https://t.co/eDSMAxJLvD</t>
  </si>
  <si>
    <t>We will survive with this project in this space  #100xGems #Presale #defi @blacque_virgo @HumphreySimiy19 @zeroblade4201 @kuldeep12327367 @0807wincityx @GoodKarmaG @harryherma_1 @SVForum_ELSIG https://t.co/KP3wXUEtxZ</t>
  </si>
  <si>
    <t>twitter.com</t>
  </si>
  <si>
    <t>100xgems presale defi</t>
  </si>
  <si>
    <t>06:04:07</t>
  </si>
  <si>
    <t>18:01:21</t>
  </si>
  <si>
    <t>22:06:10</t>
  </si>
  <si>
    <t>1554709681783705601</t>
  </si>
  <si>
    <t>1582431654101983233</t>
  </si>
  <si>
    <t>1592277737699278849</t>
  </si>
  <si>
    <t/>
  </si>
  <si>
    <t>17302763</t>
  </si>
  <si>
    <t>en</t>
  </si>
  <si>
    <t>und</t>
  </si>
  <si>
    <t>1592027045063802880</t>
  </si>
  <si>
    <t>Twitter for iPhone</t>
  </si>
  <si>
    <t>Hootsuite Inc.</t>
  </si>
  <si>
    <t>Twitter Web App</t>
  </si>
  <si>
    <t>-122.4891333,37.786925 
-122.446306,37.786925 
-122.446306,37.8128675 
-122.4891333,37.8128675</t>
  </si>
  <si>
    <t>United States</t>
  </si>
  <si>
    <t>US</t>
  </si>
  <si>
    <t>Presidio, San Francisco</t>
  </si>
  <si>
    <t>df51dec6f4ee2b2c</t>
  </si>
  <si>
    <t>Presidio</t>
  </si>
  <si>
    <t>neighborhood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</si>
  <si>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</si>
  <si>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</si>
  <si>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</si>
  <si>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</si>
  <si>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</si>
  <si>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</si>
  <si>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</si>
  <si>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</si>
  <si>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</si>
  <si>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</si>
  <si>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</si>
  <si>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</si>
  <si>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</si>
  <si>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</si>
  <si>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</si>
  <si>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</si>
  <si>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</si>
  <si>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</si>
  <si>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</si>
  <si>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</si>
  <si>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</si>
  <si>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</si>
  <si>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Denyse _xD83D__xDCCC_</t>
  </si>
  <si>
    <t>#LatinaGeeks</t>
  </si>
  <si>
    <t>Silicon Valley Forum</t>
  </si>
  <si>
    <t>Patrice</t>
  </si>
  <si>
    <t>Stanford NLP Group</t>
  </si>
  <si>
    <t>City of Palo Alto</t>
  </si>
  <si>
    <t>The Hive</t>
  </si>
  <si>
    <t>SiliconValleyRising</t>
  </si>
  <si>
    <t>SVB</t>
  </si>
  <si>
    <t>GDG Silicon Valley</t>
  </si>
  <si>
    <t>Pi-Rate</t>
  </si>
  <si>
    <t>Engineering Leaders</t>
  </si>
  <si>
    <t>Hari  Hermawan</t>
  </si>
  <si>
    <t>GoodKarma</t>
  </si>
  <si>
    <t>BIGWIN SEPTEMBER_xD83E__xDD47_Freetag</t>
  </si>
  <si>
    <t>kuldeep rajput</t>
  </si>
  <si>
    <t>Kogashuko</t>
  </si>
  <si>
    <t>Humphrey Simiyu</t>
  </si>
  <si>
    <t>Omololu</t>
  </si>
  <si>
    <t>Luis D. Duval</t>
  </si>
  <si>
    <t>468825971</t>
  </si>
  <si>
    <t>627801443</t>
  </si>
  <si>
    <t>14607461</t>
  </si>
  <si>
    <t>2708762197</t>
  </si>
  <si>
    <t>118263124</t>
  </si>
  <si>
    <t>80651045</t>
  </si>
  <si>
    <t>4719519395</t>
  </si>
  <si>
    <t>3011651401</t>
  </si>
  <si>
    <t>17396865</t>
  </si>
  <si>
    <t>1589623283116277761</t>
  </si>
  <si>
    <t>73891005</t>
  </si>
  <si>
    <t>181078212</t>
  </si>
  <si>
    <t>1290705823522594818</t>
  </si>
  <si>
    <t>1520267588584210432</t>
  </si>
  <si>
    <t>876403368872353792</t>
  </si>
  <si>
    <t>752401461116538880</t>
  </si>
  <si>
    <t>1466790392301510665</t>
  </si>
  <si>
    <t>381177590</t>
  </si>
  <si>
    <t>119826872</t>
  </si>
  <si>
    <t>Executive Director of @SVForum • Board @LatinaGeeks • Founder @WiTFestival • Startups _xD83D__xDE80_ • Women in Tech _xD83D__xDCAA__xD83C__xDFFD_ • Occasionally funny _xD83D__xDC40_ • #RaiderNation</t>
  </si>
  <si>
    <t>On a mission to educate &amp; empower Latinas through hands-on workshops &amp; career development programs. No cost to join membership _xD83E__xDD13_</t>
  </si>
  <si>
    <t>Connecting people and orgs from around the world to the knowledge and networks of Silicon Valley. Guiding startups through their startup journey. CEO @SFDenyse.</t>
  </si>
  <si>
    <t>Founder of Tech4Stress - 
Manage your Emotions with Tech4stress Mobile Apps #leadership #motivation #success</t>
  </si>
  <si>
    <t>Computational Linguists—Natural Language—Machine Learning @chrmanning @jurafsky @percyliang @ChrisGPotts @tatsu_hashimoto @MonicaSLam @Diyi_Yang @StanfordAILab</t>
  </si>
  <si>
    <t>As the birthplace of Silicon Valley, we’re home to global tech leaders &amp; educated citizens. Official account sharing news, tips &amp; events.</t>
  </si>
  <si>
    <t>The Hive covers society's power corridors—Silicon Valley, Wall Street, and D.C.—with the access, insight, heat, and human drama you expect from @VanityFair.</t>
  </si>
  <si>
    <t>Building a tech economy that works for everyone</t>
  </si>
  <si>
    <t>The financial services partner for the innovation economy.</t>
  </si>
  <si>
    <t>Google Developer Group (GDG) Silicon Valley meets at Google on the 1st Wednesday of each month.</t>
  </si>
  <si>
    <t>WEB3 &amp; RE Investoooooor</t>
  </si>
  <si>
    <t>SVForum Engineering Leadership Special Interest Group, SIG.  CTOs, CIOs, Engineering VPs, Architects, Directors, Project Managers &amp; other technology leaders.</t>
  </si>
  <si>
    <t>_xD835__xDE47__xD835__xDE5E__xD835__xDE5B__xD835__xDE5A_ _xD835__xDE5D__xD835__xDE6A__xD835__xDE67__xD835__xDE69__xD835__xDE68_, _xD835__xDE63__xD835__xDE56__xD835__xDE69__xD835__xDE6A__xD835__xDE67__xD835__xDE5A_ _xD835__xDE5D__xD835__xDE5A__xD835__xDE56__xD835__xDE61__xD835__xDE68_.</t>
  </si>
  <si>
    <t>Getting started with NFT. Live a simple life, love and be nice _xD83D__xDC4A__xD83C__xDFFD__xD83D__xDE4F__xD83C__xDFFE_</t>
  </si>
  <si>
    <t>@doamamapapawinx @puppybigwin suspended. please dont reroll me_xD83D__xDE4F_ and i used 2 device bcz my ip battery was sucks. i hope u understand:') _xD83E__xDD0D_</t>
  </si>
  <si>
    <t>Height of my body am proud of it_xD83D__xDE03__xD83D__xDE03_</t>
  </si>
  <si>
    <t>#Philosopher #virgo #fashionista</t>
  </si>
  <si>
    <t>CEO @4TwoOne•co–Founder @integFOODS•Chairman @puntoSUR_Latam &amp; CEO @puntoSURTV | Partner @venue_ventures | Startup Advisor•Mentor•Entrepreneur | Ecuadorian</t>
  </si>
  <si>
    <t>San José, CA</t>
  </si>
  <si>
    <t>LA, San Diego, Silicon Valley</t>
  </si>
  <si>
    <t>Silicon Valley, CA, United States</t>
  </si>
  <si>
    <t>San Francisco, CA</t>
  </si>
  <si>
    <t>Stanford, CA, USA</t>
  </si>
  <si>
    <t>Palo Alto, CA</t>
  </si>
  <si>
    <t>New York, NY</t>
  </si>
  <si>
    <t>San Jose, CA</t>
  </si>
  <si>
    <t>US, Canada, EMEA, China, India</t>
  </si>
  <si>
    <t>Silicon Valley</t>
  </si>
  <si>
    <t>!CHIMP</t>
  </si>
  <si>
    <t>Silicon Valley, California</t>
  </si>
  <si>
    <t>Ciamis, Indonesia</t>
  </si>
  <si>
    <t>Bhopal, India</t>
  </si>
  <si>
    <t>Ohio, USA</t>
  </si>
  <si>
    <t>Nigeria</t>
  </si>
  <si>
    <t>Pacific Time (US &amp; Canada)</t>
  </si>
  <si>
    <t>Open Twitter Page for This Person</t>
  </si>
  <si>
    <t xml:space="preserve">sfdenyse
</t>
  </si>
  <si>
    <t xml:space="preserve">latinageeks
</t>
  </si>
  <si>
    <t xml:space="preserve">svforum
</t>
  </si>
  <si>
    <t>nkoopatrice
@gdgsv @SVB_Financial @SVForum
@SVRising @VFHIVE @cityofpaloalto
@stanfordnlp https://t.co/eDSMAxJLvD</t>
  </si>
  <si>
    <t xml:space="preserve">stanfordnlp
</t>
  </si>
  <si>
    <t xml:space="preserve">cityofpaloalto
</t>
  </si>
  <si>
    <t xml:space="preserve">vfhive
</t>
  </si>
  <si>
    <t xml:space="preserve">svrising
</t>
  </si>
  <si>
    <t xml:space="preserve">svb_financial
</t>
  </si>
  <si>
    <t xml:space="preserve">gdgsv
</t>
  </si>
  <si>
    <t>ecawinner12
We will survive with this project
in this space #100xGems #Presale
#defi @blacque_virgo @HumphreySimiy19
@zeroblade4201 @kuldeep12327367
@0807wincityx @GoodKarmaG @harryherma_1
@SVForum_ELSIG https://t.co/KP3wXUEtxZ</t>
  </si>
  <si>
    <t xml:space="preserve">svforum_elsig
</t>
  </si>
  <si>
    <t xml:space="preserve">harryherma_1
</t>
  </si>
  <si>
    <t xml:space="preserve">goodkarmag
</t>
  </si>
  <si>
    <t xml:space="preserve">0807wincityx
</t>
  </si>
  <si>
    <t xml:space="preserve">kuldeep12327367
</t>
  </si>
  <si>
    <t xml:space="preserve">zeroblade4201
</t>
  </si>
  <si>
    <t xml:space="preserve">humphreysimiy19
</t>
  </si>
  <si>
    <t xml:space="preserve">blacque_virgo
</t>
  </si>
  <si>
    <t>ldduval11
I had the pleasure of talking with
the Former CEO @SVForum and @LatinaGeeks
Managing Director @SFDenyse today.
It was a great conversation about
LatAm future, and how Silicon Valley
leaders could help the region to
growth. https://t.co/wMonUFabLm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</si>
  <si>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</si>
  <si>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</si>
  <si>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</si>
  <si>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</si>
  <si>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</si>
  <si>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</si>
  <si>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</si>
  <si>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</si>
  <si>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</si>
  <si>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</si>
  <si>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</si>
  <si>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</si>
  <si>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</si>
  <si>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</si>
  <si>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</si>
  <si>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</si>
  <si>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</si>
  <si>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</si>
  <si>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</si>
  <si>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</si>
  <si>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</si>
  <si>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</si>
  <si>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</si>
  <si>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</si>
  <si>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</si>
  <si>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</si>
  <si>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</si>
  <si>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</si>
  <si>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</si>
  <si>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</si>
  <si>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</si>
  <si>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</si>
  <si>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</si>
  <si>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</si>
  <si>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</si>
  <si>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</si>
  <si>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</si>
  <si>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</si>
  <si>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</si>
  <si>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</si>
  <si>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</si>
  <si>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</si>
  <si>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</si>
  <si>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</si>
  <si>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</si>
  <si>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</si>
  <si>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</si>
  <si>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Top URLs in Tweet</t>
  </si>
  <si>
    <t>https://twitter.com/DaylightDeFi/status/1592027045063802880</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</si>
  <si>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</si>
  <si>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</si>
  <si>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</si>
  <si>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</si>
  <si>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</si>
  <si>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</si>
  <si>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GraphSource░GraphServerTwitterSearch▓GraphTerm░svforum▓ImportDescription░The graph represents a network of 20 Twitter users whose tweets in the requested range contained "svforum", or who were replied to or mentioned in those tweets.  The network was obtained from the NodeXL Graph Server on Wednesday, 30 November 2022 at 05:40 UTC.
The requested start date was Wednesday, 30 November 2022 at 01:01 UTC and the maximum number of tweets (going backward in time) was 7,500.
The tweets in the network were tweeted over the 103-day, 16-hour, 2-minute period from Wednesday, 03 August 2022 at 06:04 UTC to Monday, 14 November 2022 at 22:06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</si>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</sst>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066481"/>
        <c:axId val="47945146"/>
      </c:barChart>
      <c:catAx>
        <c:axId val="500664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945146"/>
        <c:crosses val="autoZero"/>
        <c:auto val="1"/>
        <c:lblOffset val="100"/>
        <c:noMultiLvlLbl val="0"/>
      </c:catAx>
      <c:valAx>
        <c:axId val="47945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66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svforum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8/3/2022 6:04</c:v>
                </c:pt>
                <c:pt idx="1">
                  <c:v>10/18/2022 18:01</c:v>
                </c:pt>
                <c:pt idx="2">
                  <c:v>11/14/2022 22:06</c:v>
                </c:pt>
              </c:strCache>
            </c:strRef>
          </c:cat>
          <c:val>
            <c:numRef>
              <c:f>'Time Series'!$B$26:$B$29</c:f>
              <c:numCache>
                <c:formatCode>General</c:formatCode>
                <c:ptCount val="3"/>
                <c:pt idx="0">
                  <c:v>3</c:v>
                </c:pt>
                <c:pt idx="1">
                  <c:v>7</c:v>
                </c:pt>
                <c:pt idx="2">
                  <c:v>8</c:v>
                </c:pt>
              </c:numCache>
            </c:numRef>
          </c:val>
        </c:ser>
        <c:axId val="46365403"/>
        <c:axId val="14635444"/>
      </c:barChart>
      <c:catAx>
        <c:axId val="46365403"/>
        <c:scaling>
          <c:orientation val="minMax"/>
        </c:scaling>
        <c:axPos val="b"/>
        <c:delete val="0"/>
        <c:numFmt formatCode="General" sourceLinked="1"/>
        <c:majorTickMark val="out"/>
        <c:minorTickMark val="none"/>
        <c:tickLblPos val="nextTo"/>
        <c:crossAx val="14635444"/>
        <c:crosses val="autoZero"/>
        <c:auto val="1"/>
        <c:lblOffset val="100"/>
        <c:noMultiLvlLbl val="0"/>
      </c:catAx>
      <c:valAx>
        <c:axId val="14635444"/>
        <c:scaling>
          <c:orientation val="minMax"/>
        </c:scaling>
        <c:axPos val="l"/>
        <c:majorGridlines/>
        <c:delete val="0"/>
        <c:numFmt formatCode="General" sourceLinked="1"/>
        <c:majorTickMark val="out"/>
        <c:minorTickMark val="none"/>
        <c:tickLblPos val="nextTo"/>
        <c:crossAx val="463654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853131"/>
        <c:axId val="58351588"/>
      </c:barChart>
      <c:catAx>
        <c:axId val="288531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51588"/>
        <c:crosses val="autoZero"/>
        <c:auto val="1"/>
        <c:lblOffset val="100"/>
        <c:noMultiLvlLbl val="0"/>
      </c:catAx>
      <c:valAx>
        <c:axId val="58351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53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402245"/>
        <c:axId val="28858158"/>
      </c:barChart>
      <c:catAx>
        <c:axId val="554022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858158"/>
        <c:crosses val="autoZero"/>
        <c:auto val="1"/>
        <c:lblOffset val="100"/>
        <c:noMultiLvlLbl val="0"/>
      </c:catAx>
      <c:valAx>
        <c:axId val="28858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02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396831"/>
        <c:axId val="55809432"/>
      </c:barChart>
      <c:catAx>
        <c:axId val="58396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809432"/>
        <c:crosses val="autoZero"/>
        <c:auto val="1"/>
        <c:lblOffset val="100"/>
        <c:noMultiLvlLbl val="0"/>
      </c:catAx>
      <c:valAx>
        <c:axId val="55809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96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522841"/>
        <c:axId val="24270114"/>
      </c:barChart>
      <c:catAx>
        <c:axId val="325228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270114"/>
        <c:crosses val="autoZero"/>
        <c:auto val="1"/>
        <c:lblOffset val="100"/>
        <c:noMultiLvlLbl val="0"/>
      </c:catAx>
      <c:valAx>
        <c:axId val="24270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22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104435"/>
        <c:axId val="19722188"/>
      </c:barChart>
      <c:catAx>
        <c:axId val="171044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722188"/>
        <c:crosses val="autoZero"/>
        <c:auto val="1"/>
        <c:lblOffset val="100"/>
        <c:noMultiLvlLbl val="0"/>
      </c:catAx>
      <c:valAx>
        <c:axId val="1972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04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281965"/>
        <c:axId val="53993366"/>
      </c:barChart>
      <c:catAx>
        <c:axId val="432819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993366"/>
        <c:crosses val="autoZero"/>
        <c:auto val="1"/>
        <c:lblOffset val="100"/>
        <c:noMultiLvlLbl val="0"/>
      </c:catAx>
      <c:valAx>
        <c:axId val="53993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81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178247"/>
        <c:axId val="11386496"/>
      </c:barChart>
      <c:catAx>
        <c:axId val="161782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86496"/>
        <c:crosses val="autoZero"/>
        <c:auto val="1"/>
        <c:lblOffset val="100"/>
        <c:noMultiLvlLbl val="0"/>
      </c:catAx>
      <c:valAx>
        <c:axId val="1138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78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369601"/>
        <c:axId val="49890954"/>
      </c:barChart>
      <c:catAx>
        <c:axId val="35369601"/>
        <c:scaling>
          <c:orientation val="minMax"/>
        </c:scaling>
        <c:axPos val="b"/>
        <c:delete val="1"/>
        <c:majorTickMark val="out"/>
        <c:minorTickMark val="none"/>
        <c:tickLblPos val="none"/>
        <c:crossAx val="49890954"/>
        <c:crosses val="autoZero"/>
        <c:auto val="1"/>
        <c:lblOffset val="100"/>
        <c:noMultiLvlLbl val="0"/>
      </c:catAx>
      <c:valAx>
        <c:axId val="49890954"/>
        <c:scaling>
          <c:orientation val="minMax"/>
        </c:scaling>
        <c:axPos val="l"/>
        <c:delete val="1"/>
        <c:majorTickMark val="out"/>
        <c:minorTickMark val="none"/>
        <c:tickLblPos val="none"/>
        <c:crossAx val="353696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E20"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100xgems presale def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8-03T06:04:07.000"/>
        <d v="2022-10-18T18:01:21.000"/>
        <d v="2022-11-14T22:06:1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ldduval11"/>
    <s v="sfdenyse"/>
    <m/>
    <m/>
    <m/>
    <m/>
    <m/>
    <m/>
    <m/>
    <m/>
    <s v="No"/>
    <n v="3"/>
    <m/>
    <m/>
    <x v="0"/>
    <d v="2022-08-03T06:04:07.000"/>
    <s v="I had the pleasure of talking with the Former CEO @SVForum and @LatinaGeeks Managing Director @SFDenyse today. It was a great conversation about LatAm future, and how Silicon Valley leaders could help the region to growth. https://t.co/wMonUFabLm"/>
    <m/>
    <m/>
    <x v="0"/>
    <s v="https://pbs.twimg.com/media/FZNwNvbUUAEmOP6.jpg"/>
    <s v="https://pbs.twimg.com/media/FZNwNvbUUAEmOP6.jpg"/>
    <x v="0"/>
    <d v="2022-08-03T00:00:00.000"/>
    <s v="06:04:07"/>
    <s v="https://twitter.com/#!/ldduval11/status/1554709681783705601"/>
    <m/>
    <m/>
    <s v="1554709681783705601"/>
    <m/>
    <b v="0"/>
    <n v="5"/>
    <s v=""/>
    <b v="0"/>
    <s v="en"/>
    <m/>
    <s v=""/>
    <b v="0"/>
    <n v="0"/>
    <s v=""/>
    <s v="Twitter for iPhone"/>
    <b v="0"/>
    <s v="1554709681783705601"/>
    <s v="Tweet"/>
    <n v="0"/>
    <n v="0"/>
    <s v="-122.4891333,37.786925 _x000a_-122.446306,37.786925 _x000a_-122.446306,37.8128675 _x000a_-122.4891333,37.8128675"/>
    <s v="United States"/>
    <s v="US"/>
    <s v="Presidio, San Francisco"/>
    <s v="df51dec6f4ee2b2c"/>
    <s v="Presidio"/>
    <s v="neighborhood"/>
    <s v="https://api.twitter.com/1.1/geo/id/df51dec6f4ee2b2c.json"/>
    <n v="1"/>
    <s v="3"/>
    <s v="3"/>
  </r>
  <r>
    <s v="ldduval11"/>
    <s v="latinageeks"/>
    <m/>
    <m/>
    <m/>
    <m/>
    <m/>
    <m/>
    <m/>
    <m/>
    <s v="No"/>
    <n v="4"/>
    <m/>
    <m/>
    <x v="0"/>
    <d v="2022-08-03T06:04:07.000"/>
    <s v="I had the pleasure of talking with the Former CEO @SVForum and @LatinaGeeks Managing Director @SFDenyse today. It was a great conversation about LatAm future, and how Silicon Valley leaders could help the region to growth. https://t.co/wMonUFabLm"/>
    <m/>
    <m/>
    <x v="0"/>
    <s v="https://pbs.twimg.com/media/FZNwNvbUUAEmOP6.jpg"/>
    <s v="https://pbs.twimg.com/media/FZNwNvbUUAEmOP6.jpg"/>
    <x v="0"/>
    <d v="2022-08-03T00:00:00.000"/>
    <s v="06:04:07"/>
    <s v="https://twitter.com/#!/ldduval11/status/1554709681783705601"/>
    <m/>
    <m/>
    <s v="1554709681783705601"/>
    <m/>
    <b v="0"/>
    <n v="5"/>
    <s v=""/>
    <b v="0"/>
    <s v="en"/>
    <m/>
    <s v=""/>
    <b v="0"/>
    <n v="0"/>
    <s v=""/>
    <s v="Twitter for iPhone"/>
    <b v="0"/>
    <s v="1554709681783705601"/>
    <s v="Tweet"/>
    <n v="0"/>
    <n v="0"/>
    <s v="-122.4891333,37.786925 _x000a_-122.446306,37.786925 _x000a_-122.446306,37.8128675 _x000a_-122.4891333,37.8128675"/>
    <s v="United States"/>
    <s v="US"/>
    <s v="Presidio, San Francisco"/>
    <s v="df51dec6f4ee2b2c"/>
    <s v="Presidio"/>
    <s v="neighborhood"/>
    <s v="https://api.twitter.com/1.1/geo/id/df51dec6f4ee2b2c.json"/>
    <n v="1"/>
    <s v="3"/>
    <s v="3"/>
  </r>
  <r>
    <s v="ldduval11"/>
    <s v="svforum"/>
    <m/>
    <m/>
    <m/>
    <m/>
    <m/>
    <m/>
    <m/>
    <m/>
    <s v="No"/>
    <n v="5"/>
    <m/>
    <m/>
    <x v="0"/>
    <d v="2022-08-03T06:04:07.000"/>
    <s v="I had the pleasure of talking with the Former CEO @SVForum and @LatinaGeeks Managing Director @SFDenyse today. It was a great conversation about LatAm future, and how Silicon Valley leaders could help the region to growth. https://t.co/wMonUFabLm"/>
    <m/>
    <m/>
    <x v="0"/>
    <s v="https://pbs.twimg.com/media/FZNwNvbUUAEmOP6.jpg"/>
    <s v="https://pbs.twimg.com/media/FZNwNvbUUAEmOP6.jpg"/>
    <x v="0"/>
    <d v="2022-08-03T00:00:00.000"/>
    <s v="06:04:07"/>
    <s v="https://twitter.com/#!/ldduval11/status/1554709681783705601"/>
    <m/>
    <m/>
    <s v="1554709681783705601"/>
    <m/>
    <b v="0"/>
    <n v="5"/>
    <s v=""/>
    <b v="0"/>
    <s v="en"/>
    <m/>
    <s v=""/>
    <b v="0"/>
    <n v="0"/>
    <s v=""/>
    <s v="Twitter for iPhone"/>
    <b v="0"/>
    <s v="1554709681783705601"/>
    <s v="Tweet"/>
    <n v="0"/>
    <n v="0"/>
    <s v="-122.4891333,37.786925 _x000a_-122.446306,37.786925 _x000a_-122.446306,37.8128675 _x000a_-122.4891333,37.8128675"/>
    <s v="United States"/>
    <s v="US"/>
    <s v="Presidio, San Francisco"/>
    <s v="df51dec6f4ee2b2c"/>
    <s v="Presidio"/>
    <s v="neighborhood"/>
    <s v="https://api.twitter.com/1.1/geo/id/df51dec6f4ee2b2c.json"/>
    <n v="1"/>
    <s v="3"/>
    <s v="3"/>
  </r>
  <r>
    <s v="nkoopatrice"/>
    <s v="stanfordnlp"/>
    <m/>
    <m/>
    <m/>
    <m/>
    <m/>
    <m/>
    <m/>
    <m/>
    <s v="No"/>
    <n v="6"/>
    <m/>
    <m/>
    <x v="0"/>
    <d v="2022-10-18T18:01:21.000"/>
    <s v="@gdgsv @SVB_Financial @SVForum @SVRising @VFHIVE @cityofpaloalto @stanfordnlp https://t.co/eDSMAxJLvD"/>
    <m/>
    <m/>
    <x v="0"/>
    <s v="https://pbs.twimg.com/media/FfXtNA_WAA0EuBF.jpg"/>
    <s v="https://pbs.twimg.com/media/FfXtNA_WAA0EuBF.jpg"/>
    <x v="1"/>
    <d v="2022-10-18T00:00:00.000"/>
    <s v="18:01:21"/>
    <s v="https://twitter.com/#!/nkoopatrice/status/1582431654101983233"/>
    <m/>
    <m/>
    <s v="1582431654101983233"/>
    <m/>
    <b v="0"/>
    <n v="0"/>
    <s v="17302763"/>
    <b v="0"/>
    <s v="und"/>
    <m/>
    <s v=""/>
    <b v="0"/>
    <n v="0"/>
    <s v=""/>
    <s v="Hootsuite Inc."/>
    <b v="0"/>
    <s v="1582431654101983233"/>
    <s v="Tweet"/>
    <n v="0"/>
    <n v="0"/>
    <m/>
    <m/>
    <m/>
    <m/>
    <m/>
    <m/>
    <m/>
    <m/>
    <n v="1"/>
    <s v="2"/>
    <s v="2"/>
  </r>
  <r>
    <s v="nkoopatrice"/>
    <s v="cityofpaloalto"/>
    <m/>
    <m/>
    <m/>
    <m/>
    <m/>
    <m/>
    <m/>
    <m/>
    <s v="No"/>
    <n v="7"/>
    <m/>
    <m/>
    <x v="0"/>
    <d v="2022-10-18T18:01:21.000"/>
    <s v="@gdgsv @SVB_Financial @SVForum @SVRising @VFHIVE @cityofpaloalto @stanfordnlp https://t.co/eDSMAxJLvD"/>
    <m/>
    <m/>
    <x v="0"/>
    <s v="https://pbs.twimg.com/media/FfXtNA_WAA0EuBF.jpg"/>
    <s v="https://pbs.twimg.com/media/FfXtNA_WAA0EuBF.jpg"/>
    <x v="1"/>
    <d v="2022-10-18T00:00:00.000"/>
    <s v="18:01:21"/>
    <s v="https://twitter.com/#!/nkoopatrice/status/1582431654101983233"/>
    <m/>
    <m/>
    <s v="1582431654101983233"/>
    <m/>
    <b v="0"/>
    <n v="0"/>
    <s v="17302763"/>
    <b v="0"/>
    <s v="und"/>
    <m/>
    <s v=""/>
    <b v="0"/>
    <n v="0"/>
    <s v=""/>
    <s v="Hootsuite Inc."/>
    <b v="0"/>
    <s v="1582431654101983233"/>
    <s v="Tweet"/>
    <n v="0"/>
    <n v="0"/>
    <m/>
    <m/>
    <m/>
    <m/>
    <m/>
    <m/>
    <m/>
    <m/>
    <n v="1"/>
    <s v="2"/>
    <s v="2"/>
  </r>
  <r>
    <s v="nkoopatrice"/>
    <s v="vfhive"/>
    <m/>
    <m/>
    <m/>
    <m/>
    <m/>
    <m/>
    <m/>
    <m/>
    <s v="No"/>
    <n v="8"/>
    <m/>
    <m/>
    <x v="0"/>
    <d v="2022-10-18T18:01:21.000"/>
    <s v="@gdgsv @SVB_Financial @SVForum @SVRising @VFHIVE @cityofpaloalto @stanfordnlp https://t.co/eDSMAxJLvD"/>
    <m/>
    <m/>
    <x v="0"/>
    <s v="https://pbs.twimg.com/media/FfXtNA_WAA0EuBF.jpg"/>
    <s v="https://pbs.twimg.com/media/FfXtNA_WAA0EuBF.jpg"/>
    <x v="1"/>
    <d v="2022-10-18T00:00:00.000"/>
    <s v="18:01:21"/>
    <s v="https://twitter.com/#!/nkoopatrice/status/1582431654101983233"/>
    <m/>
    <m/>
    <s v="1582431654101983233"/>
    <m/>
    <b v="0"/>
    <n v="0"/>
    <s v="17302763"/>
    <b v="0"/>
    <s v="und"/>
    <m/>
    <s v=""/>
    <b v="0"/>
    <n v="0"/>
    <s v=""/>
    <s v="Hootsuite Inc."/>
    <b v="0"/>
    <s v="1582431654101983233"/>
    <s v="Tweet"/>
    <n v="0"/>
    <n v="0"/>
    <m/>
    <m/>
    <m/>
    <m/>
    <m/>
    <m/>
    <m/>
    <m/>
    <n v="1"/>
    <s v="2"/>
    <s v="2"/>
  </r>
  <r>
    <s v="nkoopatrice"/>
    <s v="svrising"/>
    <m/>
    <m/>
    <m/>
    <m/>
    <m/>
    <m/>
    <m/>
    <m/>
    <s v="No"/>
    <n v="9"/>
    <m/>
    <m/>
    <x v="0"/>
    <d v="2022-10-18T18:01:21.000"/>
    <s v="@gdgsv @SVB_Financial @SVForum @SVRising @VFHIVE @cityofpaloalto @stanfordnlp https://t.co/eDSMAxJLvD"/>
    <m/>
    <m/>
    <x v="0"/>
    <s v="https://pbs.twimg.com/media/FfXtNA_WAA0EuBF.jpg"/>
    <s v="https://pbs.twimg.com/media/FfXtNA_WAA0EuBF.jpg"/>
    <x v="1"/>
    <d v="2022-10-18T00:00:00.000"/>
    <s v="18:01:21"/>
    <s v="https://twitter.com/#!/nkoopatrice/status/1582431654101983233"/>
    <m/>
    <m/>
    <s v="1582431654101983233"/>
    <m/>
    <b v="0"/>
    <n v="0"/>
    <s v="17302763"/>
    <b v="0"/>
    <s v="und"/>
    <m/>
    <s v=""/>
    <b v="0"/>
    <n v="0"/>
    <s v=""/>
    <s v="Hootsuite Inc."/>
    <b v="0"/>
    <s v="1582431654101983233"/>
    <s v="Tweet"/>
    <n v="0"/>
    <n v="0"/>
    <m/>
    <m/>
    <m/>
    <m/>
    <m/>
    <m/>
    <m/>
    <m/>
    <n v="1"/>
    <s v="2"/>
    <s v="2"/>
  </r>
  <r>
    <s v="nkoopatrice"/>
    <s v="svforum"/>
    <m/>
    <m/>
    <m/>
    <m/>
    <m/>
    <m/>
    <m/>
    <m/>
    <s v="No"/>
    <n v="10"/>
    <m/>
    <m/>
    <x v="0"/>
    <d v="2022-10-18T18:01:21.000"/>
    <s v="@gdgsv @SVB_Financial @SVForum @SVRising @VFHIVE @cityofpaloalto @stanfordnlp https://t.co/eDSMAxJLvD"/>
    <m/>
    <m/>
    <x v="0"/>
    <s v="https://pbs.twimg.com/media/FfXtNA_WAA0EuBF.jpg"/>
    <s v="https://pbs.twimg.com/media/FfXtNA_WAA0EuBF.jpg"/>
    <x v="1"/>
    <d v="2022-10-18T00:00:00.000"/>
    <s v="18:01:21"/>
    <s v="https://twitter.com/#!/nkoopatrice/status/1582431654101983233"/>
    <m/>
    <m/>
    <s v="1582431654101983233"/>
    <m/>
    <b v="0"/>
    <n v="0"/>
    <s v="17302763"/>
    <b v="0"/>
    <s v="und"/>
    <m/>
    <s v=""/>
    <b v="0"/>
    <n v="0"/>
    <s v=""/>
    <s v="Hootsuite Inc."/>
    <b v="0"/>
    <s v="1582431654101983233"/>
    <s v="Tweet"/>
    <n v="0"/>
    <n v="0"/>
    <m/>
    <m/>
    <m/>
    <m/>
    <m/>
    <m/>
    <m/>
    <m/>
    <n v="1"/>
    <s v="2"/>
    <s v="3"/>
  </r>
  <r>
    <s v="nkoopatrice"/>
    <s v="svb_financial"/>
    <m/>
    <m/>
    <m/>
    <m/>
    <m/>
    <m/>
    <m/>
    <m/>
    <s v="No"/>
    <n v="11"/>
    <m/>
    <m/>
    <x v="0"/>
    <d v="2022-10-18T18:01:21.000"/>
    <s v="@gdgsv @SVB_Financial @SVForum @SVRising @VFHIVE @cityofpaloalto @stanfordnlp https://t.co/eDSMAxJLvD"/>
    <m/>
    <m/>
    <x v="0"/>
    <s v="https://pbs.twimg.com/media/FfXtNA_WAA0EuBF.jpg"/>
    <s v="https://pbs.twimg.com/media/FfXtNA_WAA0EuBF.jpg"/>
    <x v="1"/>
    <d v="2022-10-18T00:00:00.000"/>
    <s v="18:01:21"/>
    <s v="https://twitter.com/#!/nkoopatrice/status/1582431654101983233"/>
    <m/>
    <m/>
    <s v="1582431654101983233"/>
    <m/>
    <b v="0"/>
    <n v="0"/>
    <s v="17302763"/>
    <b v="0"/>
    <s v="und"/>
    <m/>
    <s v=""/>
    <b v="0"/>
    <n v="0"/>
    <s v=""/>
    <s v="Hootsuite Inc."/>
    <b v="0"/>
    <s v="1582431654101983233"/>
    <s v="Tweet"/>
    <n v="0"/>
    <n v="0"/>
    <m/>
    <m/>
    <m/>
    <m/>
    <m/>
    <m/>
    <m/>
    <m/>
    <n v="1"/>
    <s v="2"/>
    <s v="2"/>
  </r>
  <r>
    <s v="nkoopatrice"/>
    <s v="gdgsv"/>
    <m/>
    <m/>
    <m/>
    <m/>
    <m/>
    <m/>
    <m/>
    <m/>
    <s v="No"/>
    <n v="12"/>
    <m/>
    <m/>
    <x v="1"/>
    <d v="2022-10-18T18:01:21.000"/>
    <s v="@gdgsv @SVB_Financial @SVForum @SVRising @VFHIVE @cityofpaloalto @stanfordnlp https://t.co/eDSMAxJLvD"/>
    <m/>
    <m/>
    <x v="0"/>
    <s v="https://pbs.twimg.com/media/FfXtNA_WAA0EuBF.jpg"/>
    <s v="https://pbs.twimg.com/media/FfXtNA_WAA0EuBF.jpg"/>
    <x v="1"/>
    <d v="2022-10-18T00:00:00.000"/>
    <s v="18:01:21"/>
    <s v="https://twitter.com/#!/nkoopatrice/status/1582431654101983233"/>
    <m/>
    <m/>
    <s v="1582431654101983233"/>
    <m/>
    <b v="0"/>
    <n v="0"/>
    <s v="17302763"/>
    <b v="0"/>
    <s v="und"/>
    <m/>
    <s v=""/>
    <b v="0"/>
    <n v="0"/>
    <s v=""/>
    <s v="Hootsuite Inc."/>
    <b v="0"/>
    <s v="1582431654101983233"/>
    <s v="Tweet"/>
    <n v="0"/>
    <n v="0"/>
    <m/>
    <m/>
    <m/>
    <m/>
    <m/>
    <m/>
    <m/>
    <m/>
    <n v="1"/>
    <s v="2"/>
    <s v="2"/>
  </r>
  <r>
    <s v="ecawinner12"/>
    <s v="svforum_elsig"/>
    <m/>
    <m/>
    <m/>
    <m/>
    <m/>
    <m/>
    <m/>
    <m/>
    <s v="No"/>
    <n v="13"/>
    <m/>
    <m/>
    <x v="0"/>
    <d v="2022-11-14T22:06:10.000"/>
    <s v="We will survive with this project in this space  #100xGems #Presale #defi @blacque_virgo @HumphreySimiy19 @zeroblade4201 @kuldeep12327367 @0807wincityx @GoodKarmaG @harryherma_1 @SVForum_ELSIG https://t.co/KP3wXUEtxZ"/>
    <s v="https://twitter.com/DaylightDeFi/status/1592027045063802880"/>
    <s v="twitter.com"/>
    <x v="1"/>
    <m/>
    <s v="http://pbs.twimg.com/profile_images/1589623367031836672/3ht0DvKN_normal.jpg"/>
    <x v="2"/>
    <d v="2022-11-14T00:00:00.000"/>
    <s v="22:06:10"/>
    <s v="https://twitter.com/#!/ecawinner12/status/1592277737699278849"/>
    <m/>
    <m/>
    <s v="1592277737699278849"/>
    <m/>
    <b v="0"/>
    <n v="0"/>
    <s v=""/>
    <b v="1"/>
    <s v="en"/>
    <m/>
    <s v="1592027045063802880"/>
    <b v="0"/>
    <n v="0"/>
    <s v=""/>
    <s v="Twitter Web App"/>
    <b v="0"/>
    <s v="1592277737699278849"/>
    <s v="Tweet"/>
    <n v="0"/>
    <n v="0"/>
    <m/>
    <m/>
    <m/>
    <m/>
    <m/>
    <m/>
    <m/>
    <m/>
    <n v="1"/>
    <s v="1"/>
    <s v="1"/>
  </r>
  <r>
    <s v="ecawinner12"/>
    <s v="harryherma_1"/>
    <m/>
    <m/>
    <m/>
    <m/>
    <m/>
    <m/>
    <m/>
    <m/>
    <s v="No"/>
    <n v="14"/>
    <m/>
    <m/>
    <x v="0"/>
    <d v="2022-11-14T22:06:10.000"/>
    <s v="We will survive with this project in this space  #100xGems #Presale #defi @blacque_virgo @HumphreySimiy19 @zeroblade4201 @kuldeep12327367 @0807wincityx @GoodKarmaG @harryherma_1 @SVForum_ELSIG https://t.co/KP3wXUEtxZ"/>
    <s v="https://twitter.com/DaylightDeFi/status/1592027045063802880"/>
    <s v="twitter.com"/>
    <x v="1"/>
    <m/>
    <s v="http://pbs.twimg.com/profile_images/1589623367031836672/3ht0DvKN_normal.jpg"/>
    <x v="2"/>
    <d v="2022-11-14T00:00:00.000"/>
    <s v="22:06:10"/>
    <s v="https://twitter.com/#!/ecawinner12/status/1592277737699278849"/>
    <m/>
    <m/>
    <s v="1592277737699278849"/>
    <m/>
    <b v="0"/>
    <n v="0"/>
    <s v=""/>
    <b v="1"/>
    <s v="en"/>
    <m/>
    <s v="1592027045063802880"/>
    <b v="0"/>
    <n v="0"/>
    <s v=""/>
    <s v="Twitter Web App"/>
    <b v="0"/>
    <s v="1592277737699278849"/>
    <s v="Tweet"/>
    <n v="0"/>
    <n v="0"/>
    <m/>
    <m/>
    <m/>
    <m/>
    <m/>
    <m/>
    <m/>
    <m/>
    <n v="1"/>
    <s v="1"/>
    <s v="1"/>
  </r>
  <r>
    <s v="ecawinner12"/>
    <s v="goodkarmag"/>
    <m/>
    <m/>
    <m/>
    <m/>
    <m/>
    <m/>
    <m/>
    <m/>
    <s v="No"/>
    <n v="15"/>
    <m/>
    <m/>
    <x v="0"/>
    <d v="2022-11-14T22:06:10.000"/>
    <s v="We will survive with this project in this space  #100xGems #Presale #defi @blacque_virgo @HumphreySimiy19 @zeroblade4201 @kuldeep12327367 @0807wincityx @GoodKarmaG @harryherma_1 @SVForum_ELSIG https://t.co/KP3wXUEtxZ"/>
    <s v="https://twitter.com/DaylightDeFi/status/1592027045063802880"/>
    <s v="twitter.com"/>
    <x v="1"/>
    <m/>
    <s v="http://pbs.twimg.com/profile_images/1589623367031836672/3ht0DvKN_normal.jpg"/>
    <x v="2"/>
    <d v="2022-11-14T00:00:00.000"/>
    <s v="22:06:10"/>
    <s v="https://twitter.com/#!/ecawinner12/status/1592277737699278849"/>
    <m/>
    <m/>
    <s v="1592277737699278849"/>
    <m/>
    <b v="0"/>
    <n v="0"/>
    <s v=""/>
    <b v="1"/>
    <s v="en"/>
    <m/>
    <s v="1592027045063802880"/>
    <b v="0"/>
    <n v="0"/>
    <s v=""/>
    <s v="Twitter Web App"/>
    <b v="0"/>
    <s v="1592277737699278849"/>
    <s v="Tweet"/>
    <n v="0"/>
    <n v="0"/>
    <m/>
    <m/>
    <m/>
    <m/>
    <m/>
    <m/>
    <m/>
    <m/>
    <n v="1"/>
    <s v="1"/>
    <s v="1"/>
  </r>
  <r>
    <s v="ecawinner12"/>
    <s v="0807wincityx"/>
    <m/>
    <m/>
    <m/>
    <m/>
    <m/>
    <m/>
    <m/>
    <m/>
    <s v="No"/>
    <n v="16"/>
    <m/>
    <m/>
    <x v="0"/>
    <d v="2022-11-14T22:06:10.000"/>
    <s v="We will survive with this project in this space  #100xGems #Presale #defi @blacque_virgo @HumphreySimiy19 @zeroblade4201 @kuldeep12327367 @0807wincityx @GoodKarmaG @harryherma_1 @SVForum_ELSIG https://t.co/KP3wXUEtxZ"/>
    <s v="https://twitter.com/DaylightDeFi/status/1592027045063802880"/>
    <s v="twitter.com"/>
    <x v="1"/>
    <m/>
    <s v="http://pbs.twimg.com/profile_images/1589623367031836672/3ht0DvKN_normal.jpg"/>
    <x v="2"/>
    <d v="2022-11-14T00:00:00.000"/>
    <s v="22:06:10"/>
    <s v="https://twitter.com/#!/ecawinner12/status/1592277737699278849"/>
    <m/>
    <m/>
    <s v="1592277737699278849"/>
    <m/>
    <b v="0"/>
    <n v="0"/>
    <s v=""/>
    <b v="1"/>
    <s v="en"/>
    <m/>
    <s v="1592027045063802880"/>
    <b v="0"/>
    <n v="0"/>
    <s v=""/>
    <s v="Twitter Web App"/>
    <b v="0"/>
    <s v="1592277737699278849"/>
    <s v="Tweet"/>
    <n v="0"/>
    <n v="0"/>
    <m/>
    <m/>
    <m/>
    <m/>
    <m/>
    <m/>
    <m/>
    <m/>
    <n v="1"/>
    <s v="1"/>
    <s v="1"/>
  </r>
  <r>
    <s v="ecawinner12"/>
    <s v="kuldeep12327367"/>
    <m/>
    <m/>
    <m/>
    <m/>
    <m/>
    <m/>
    <m/>
    <m/>
    <s v="No"/>
    <n v="17"/>
    <m/>
    <m/>
    <x v="0"/>
    <d v="2022-11-14T22:06:10.000"/>
    <s v="We will survive with this project in this space  #100xGems #Presale #defi @blacque_virgo @HumphreySimiy19 @zeroblade4201 @kuldeep12327367 @0807wincityx @GoodKarmaG @harryherma_1 @SVForum_ELSIG https://t.co/KP3wXUEtxZ"/>
    <s v="https://twitter.com/DaylightDeFi/status/1592027045063802880"/>
    <s v="twitter.com"/>
    <x v="1"/>
    <m/>
    <s v="http://pbs.twimg.com/profile_images/1589623367031836672/3ht0DvKN_normal.jpg"/>
    <x v="2"/>
    <d v="2022-11-14T00:00:00.000"/>
    <s v="22:06:10"/>
    <s v="https://twitter.com/#!/ecawinner12/status/1592277737699278849"/>
    <m/>
    <m/>
    <s v="1592277737699278849"/>
    <m/>
    <b v="0"/>
    <n v="0"/>
    <s v=""/>
    <b v="1"/>
    <s v="en"/>
    <m/>
    <s v="1592027045063802880"/>
    <b v="0"/>
    <n v="0"/>
    <s v=""/>
    <s v="Twitter Web App"/>
    <b v="0"/>
    <s v="1592277737699278849"/>
    <s v="Tweet"/>
    <n v="0"/>
    <n v="0"/>
    <m/>
    <m/>
    <m/>
    <m/>
    <m/>
    <m/>
    <m/>
    <m/>
    <n v="1"/>
    <s v="1"/>
    <s v="1"/>
  </r>
  <r>
    <s v="ecawinner12"/>
    <s v="zeroblade4201"/>
    <m/>
    <m/>
    <m/>
    <m/>
    <m/>
    <m/>
    <m/>
    <m/>
    <s v="No"/>
    <n v="18"/>
    <m/>
    <m/>
    <x v="0"/>
    <d v="2022-11-14T22:06:10.000"/>
    <s v="We will survive with this project in this space  #100xGems #Presale #defi @blacque_virgo @HumphreySimiy19 @zeroblade4201 @kuldeep12327367 @0807wincityx @GoodKarmaG @harryherma_1 @SVForum_ELSIG https://t.co/KP3wXUEtxZ"/>
    <s v="https://twitter.com/DaylightDeFi/status/1592027045063802880"/>
    <s v="twitter.com"/>
    <x v="1"/>
    <m/>
    <s v="http://pbs.twimg.com/profile_images/1589623367031836672/3ht0DvKN_normal.jpg"/>
    <x v="2"/>
    <d v="2022-11-14T00:00:00.000"/>
    <s v="22:06:10"/>
    <s v="https://twitter.com/#!/ecawinner12/status/1592277737699278849"/>
    <m/>
    <m/>
    <s v="1592277737699278849"/>
    <m/>
    <b v="0"/>
    <n v="0"/>
    <s v=""/>
    <b v="1"/>
    <s v="en"/>
    <m/>
    <s v="1592027045063802880"/>
    <b v="0"/>
    <n v="0"/>
    <s v=""/>
    <s v="Twitter Web App"/>
    <b v="0"/>
    <s v="1592277737699278849"/>
    <s v="Tweet"/>
    <n v="0"/>
    <n v="0"/>
    <m/>
    <m/>
    <m/>
    <m/>
    <m/>
    <m/>
    <m/>
    <m/>
    <n v="1"/>
    <s v="1"/>
    <s v="1"/>
  </r>
  <r>
    <s v="ecawinner12"/>
    <s v="humphreysimiy19"/>
    <m/>
    <m/>
    <m/>
    <m/>
    <m/>
    <m/>
    <m/>
    <m/>
    <s v="No"/>
    <n v="19"/>
    <m/>
    <m/>
    <x v="0"/>
    <d v="2022-11-14T22:06:10.000"/>
    <s v="We will survive with this project in this space  #100xGems #Presale #defi @blacque_virgo @HumphreySimiy19 @zeroblade4201 @kuldeep12327367 @0807wincityx @GoodKarmaG @harryherma_1 @SVForum_ELSIG https://t.co/KP3wXUEtxZ"/>
    <s v="https://twitter.com/DaylightDeFi/status/1592027045063802880"/>
    <s v="twitter.com"/>
    <x v="1"/>
    <m/>
    <s v="http://pbs.twimg.com/profile_images/1589623367031836672/3ht0DvKN_normal.jpg"/>
    <x v="2"/>
    <d v="2022-11-14T00:00:00.000"/>
    <s v="22:06:10"/>
    <s v="https://twitter.com/#!/ecawinner12/status/1592277737699278849"/>
    <m/>
    <m/>
    <s v="1592277737699278849"/>
    <m/>
    <b v="0"/>
    <n v="0"/>
    <s v=""/>
    <b v="1"/>
    <s v="en"/>
    <m/>
    <s v="1592027045063802880"/>
    <b v="0"/>
    <n v="0"/>
    <s v=""/>
    <s v="Twitter Web App"/>
    <b v="0"/>
    <s v="1592277737699278849"/>
    <s v="Tweet"/>
    <n v="0"/>
    <n v="0"/>
    <m/>
    <m/>
    <m/>
    <m/>
    <m/>
    <m/>
    <m/>
    <m/>
    <n v="1"/>
    <s v="1"/>
    <s v="1"/>
  </r>
  <r>
    <s v="ecawinner12"/>
    <s v="blacque_virgo"/>
    <m/>
    <m/>
    <m/>
    <m/>
    <m/>
    <m/>
    <m/>
    <m/>
    <s v="No"/>
    <n v="20"/>
    <m/>
    <m/>
    <x v="0"/>
    <d v="2022-11-14T22:06:10.000"/>
    <s v="We will survive with this project in this space  #100xGems #Presale #defi @blacque_virgo @HumphreySimiy19 @zeroblade4201 @kuldeep12327367 @0807wincityx @GoodKarmaG @harryherma_1 @SVForum_ELSIG https://t.co/KP3wXUEtxZ"/>
    <s v="https://twitter.com/DaylightDeFi/status/1592027045063802880"/>
    <s v="twitter.com"/>
    <x v="1"/>
    <m/>
    <s v="http://pbs.twimg.com/profile_images/1589623367031836672/3ht0DvKN_normal.jpg"/>
    <x v="2"/>
    <d v="2022-11-14T00:00:00.000"/>
    <s v="22:06:10"/>
    <s v="https://twitter.com/#!/ecawinner12/status/1592277737699278849"/>
    <m/>
    <m/>
    <s v="1592277737699278849"/>
    <m/>
    <b v="0"/>
    <n v="0"/>
    <s v=""/>
    <b v="1"/>
    <s v="en"/>
    <m/>
    <s v="1592027045063802880"/>
    <b v="0"/>
    <n v="0"/>
    <s v=""/>
    <s v="Twitter Web App"/>
    <b v="0"/>
    <s v="1592277737699278849"/>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20" totalsRowShown="0" headerRowDxfId="220" dataDxfId="219">
  <autoFilter ref="A2:BE20"/>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22" totalsRowShown="0" headerRowDxfId="165" dataDxfId="164">
  <autoFilter ref="A2:BA22"/>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5" totalsRowShown="0" headerRowDxfId="112">
  <autoFilter ref="A2:Y5"/>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109" dataDxfId="108">
  <autoFilter ref="A1:C21"/>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20" totalsRowShown="0" headerRowDxfId="57" dataDxfId="56">
  <autoFilter ref="A2:BE20"/>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424</v>
      </c>
      <c r="BE2" s="13" t="s">
        <v>425</v>
      </c>
    </row>
    <row r="3" spans="1:57" ht="15" customHeight="1">
      <c r="A3" s="83" t="s">
        <v>214</v>
      </c>
      <c r="B3" s="83" t="s">
        <v>233</v>
      </c>
      <c r="C3" s="54" t="s">
        <v>431</v>
      </c>
      <c r="D3" s="55">
        <v>3</v>
      </c>
      <c r="E3" s="67" t="s">
        <v>132</v>
      </c>
      <c r="F3" s="56">
        <v>35</v>
      </c>
      <c r="G3" s="54"/>
      <c r="H3" s="58"/>
      <c r="I3" s="57"/>
      <c r="J3" s="57"/>
      <c r="K3" s="36" t="s">
        <v>65</v>
      </c>
      <c r="L3" s="63">
        <v>3</v>
      </c>
      <c r="M3" s="63"/>
      <c r="N3" s="64"/>
      <c r="O3" s="84" t="s">
        <v>234</v>
      </c>
      <c r="P3" s="86">
        <v>44776.252858796295</v>
      </c>
      <c r="Q3" s="84" t="s">
        <v>236</v>
      </c>
      <c r="R3" s="84"/>
      <c r="S3" s="84"/>
      <c r="T3" s="84"/>
      <c r="U3" s="90" t="str">
        <f aca="true" t="shared" si="0" ref="U3:V5">HYPERLINK("https://pbs.twimg.com/media/FZNwNvbUUAEmOP6.jpg")</f>
        <v>https://pbs.twimg.com/media/FZNwNvbUUAEmOP6.jpg</v>
      </c>
      <c r="V3" s="90" t="str">
        <f t="shared" si="0"/>
        <v>https://pbs.twimg.com/media/FZNwNvbUUAEmOP6.jpg</v>
      </c>
      <c r="W3" s="86">
        <v>44776.252858796295</v>
      </c>
      <c r="X3" s="91">
        <v>44776</v>
      </c>
      <c r="Y3" s="93" t="s">
        <v>241</v>
      </c>
      <c r="Z3" s="90" t="str">
        <f>HYPERLINK("https://twitter.com/#!/ldduval11/status/1554709681783705601")</f>
        <v>https://twitter.com/#!/ldduval11/status/1554709681783705601</v>
      </c>
      <c r="AA3" s="84"/>
      <c r="AB3" s="84"/>
      <c r="AC3" s="93" t="s">
        <v>244</v>
      </c>
      <c r="AD3" s="84"/>
      <c r="AE3" s="84" t="b">
        <v>0</v>
      </c>
      <c r="AF3" s="84">
        <v>5</v>
      </c>
      <c r="AG3" s="93" t="s">
        <v>247</v>
      </c>
      <c r="AH3" s="84" t="b">
        <v>0</v>
      </c>
      <c r="AI3" s="84" t="s">
        <v>249</v>
      </c>
      <c r="AJ3" s="84"/>
      <c r="AK3" s="93" t="s">
        <v>247</v>
      </c>
      <c r="AL3" s="84" t="b">
        <v>0</v>
      </c>
      <c r="AM3" s="84">
        <v>0</v>
      </c>
      <c r="AN3" s="93" t="s">
        <v>247</v>
      </c>
      <c r="AO3" s="93" t="s">
        <v>252</v>
      </c>
      <c r="AP3" s="84" t="b">
        <v>0</v>
      </c>
      <c r="AQ3" s="93" t="s">
        <v>244</v>
      </c>
      <c r="AR3" s="84" t="s">
        <v>176</v>
      </c>
      <c r="AS3" s="84">
        <v>0</v>
      </c>
      <c r="AT3" s="84">
        <v>0</v>
      </c>
      <c r="AU3" s="84" t="s">
        <v>255</v>
      </c>
      <c r="AV3" s="84" t="s">
        <v>256</v>
      </c>
      <c r="AW3" s="84" t="s">
        <v>257</v>
      </c>
      <c r="AX3" s="84" t="s">
        <v>258</v>
      </c>
      <c r="AY3" s="84" t="s">
        <v>259</v>
      </c>
      <c r="AZ3" s="84" t="s">
        <v>260</v>
      </c>
      <c r="BA3" s="84" t="s">
        <v>261</v>
      </c>
      <c r="BB3" s="90" t="str">
        <f>HYPERLINK("https://api.twitter.com/1.1/geo/id/df51dec6f4ee2b2c.json")</f>
        <v>https://api.twitter.com/1.1/geo/id/df51dec6f4ee2b2c.json</v>
      </c>
      <c r="BC3">
        <v>1</v>
      </c>
      <c r="BD3" s="84" t="str">
        <f>REPLACE(INDEX(GroupVertices[Group],MATCH(Edges[[#This Row],[Vertex 1]],GroupVertices[Vertex],0)),1,1,"")</f>
        <v>3</v>
      </c>
      <c r="BE3" s="84" t="str">
        <f>REPLACE(INDEX(GroupVertices[Group],MATCH(Edges[[#This Row],[Vertex 2]],GroupVertices[Vertex],0)),1,1,"")</f>
        <v>3</v>
      </c>
    </row>
    <row r="4" spans="1:57" ht="15" customHeight="1">
      <c r="A4" s="83" t="s">
        <v>214</v>
      </c>
      <c r="B4" s="83" t="s">
        <v>217</v>
      </c>
      <c r="C4" s="54" t="s">
        <v>431</v>
      </c>
      <c r="D4" s="55">
        <v>3</v>
      </c>
      <c r="E4" s="67" t="s">
        <v>132</v>
      </c>
      <c r="F4" s="56">
        <v>35</v>
      </c>
      <c r="G4" s="54"/>
      <c r="H4" s="58"/>
      <c r="I4" s="57"/>
      <c r="J4" s="57"/>
      <c r="K4" s="36" t="s">
        <v>65</v>
      </c>
      <c r="L4" s="82">
        <v>4</v>
      </c>
      <c r="M4" s="82"/>
      <c r="N4" s="64"/>
      <c r="O4" s="85" t="s">
        <v>234</v>
      </c>
      <c r="P4" s="87">
        <v>44776.252858796295</v>
      </c>
      <c r="Q4" s="85" t="s">
        <v>236</v>
      </c>
      <c r="R4" s="85"/>
      <c r="S4" s="85"/>
      <c r="T4" s="85"/>
      <c r="U4" s="88" t="str">
        <f t="shared" si="0"/>
        <v>https://pbs.twimg.com/media/FZNwNvbUUAEmOP6.jpg</v>
      </c>
      <c r="V4" s="88" t="str">
        <f t="shared" si="0"/>
        <v>https://pbs.twimg.com/media/FZNwNvbUUAEmOP6.jpg</v>
      </c>
      <c r="W4" s="87">
        <v>44776.252858796295</v>
      </c>
      <c r="X4" s="92">
        <v>44776</v>
      </c>
      <c r="Y4" s="89" t="s">
        <v>241</v>
      </c>
      <c r="Z4" s="88" t="str">
        <f>HYPERLINK("https://twitter.com/#!/ldduval11/status/1554709681783705601")</f>
        <v>https://twitter.com/#!/ldduval11/status/1554709681783705601</v>
      </c>
      <c r="AA4" s="85"/>
      <c r="AB4" s="85"/>
      <c r="AC4" s="89" t="s">
        <v>244</v>
      </c>
      <c r="AD4" s="85"/>
      <c r="AE4" s="85" t="b">
        <v>0</v>
      </c>
      <c r="AF4" s="85">
        <v>5</v>
      </c>
      <c r="AG4" s="89" t="s">
        <v>247</v>
      </c>
      <c r="AH4" s="85" t="b">
        <v>0</v>
      </c>
      <c r="AI4" s="85" t="s">
        <v>249</v>
      </c>
      <c r="AJ4" s="85"/>
      <c r="AK4" s="89" t="s">
        <v>247</v>
      </c>
      <c r="AL4" s="85" t="b">
        <v>0</v>
      </c>
      <c r="AM4" s="85">
        <v>0</v>
      </c>
      <c r="AN4" s="89" t="s">
        <v>247</v>
      </c>
      <c r="AO4" s="89" t="s">
        <v>252</v>
      </c>
      <c r="AP4" s="85" t="b">
        <v>0</v>
      </c>
      <c r="AQ4" s="89" t="s">
        <v>244</v>
      </c>
      <c r="AR4" s="85" t="s">
        <v>176</v>
      </c>
      <c r="AS4" s="85">
        <v>0</v>
      </c>
      <c r="AT4" s="85">
        <v>0</v>
      </c>
      <c r="AU4" s="85" t="s">
        <v>255</v>
      </c>
      <c r="AV4" s="85" t="s">
        <v>256</v>
      </c>
      <c r="AW4" s="85" t="s">
        <v>257</v>
      </c>
      <c r="AX4" s="85" t="s">
        <v>258</v>
      </c>
      <c r="AY4" s="85" t="s">
        <v>259</v>
      </c>
      <c r="AZ4" s="85" t="s">
        <v>260</v>
      </c>
      <c r="BA4" s="85" t="s">
        <v>261</v>
      </c>
      <c r="BB4" s="88" t="str">
        <f>HYPERLINK("https://api.twitter.com/1.1/geo/id/df51dec6f4ee2b2c.json")</f>
        <v>https://api.twitter.com/1.1/geo/id/df51dec6f4ee2b2c.json</v>
      </c>
      <c r="BC4">
        <v>1</v>
      </c>
      <c r="BD4" s="84" t="str">
        <f>REPLACE(INDEX(GroupVertices[Group],MATCH(Edges[[#This Row],[Vertex 1]],GroupVertices[Vertex],0)),1,1,"")</f>
        <v>3</v>
      </c>
      <c r="BE4" s="84" t="str">
        <f>REPLACE(INDEX(GroupVertices[Group],MATCH(Edges[[#This Row],[Vertex 2]],GroupVertices[Vertex],0)),1,1,"")</f>
        <v>3</v>
      </c>
    </row>
    <row r="5" spans="1:57" ht="45">
      <c r="A5" s="83" t="s">
        <v>214</v>
      </c>
      <c r="B5" s="83" t="s">
        <v>218</v>
      </c>
      <c r="C5" s="54" t="s">
        <v>431</v>
      </c>
      <c r="D5" s="55">
        <v>3</v>
      </c>
      <c r="E5" s="67" t="s">
        <v>132</v>
      </c>
      <c r="F5" s="56">
        <v>35</v>
      </c>
      <c r="G5" s="54"/>
      <c r="H5" s="58"/>
      <c r="I5" s="57"/>
      <c r="J5" s="57"/>
      <c r="K5" s="36" t="s">
        <v>65</v>
      </c>
      <c r="L5" s="82">
        <v>5</v>
      </c>
      <c r="M5" s="82"/>
      <c r="N5" s="64"/>
      <c r="O5" s="85" t="s">
        <v>234</v>
      </c>
      <c r="P5" s="87">
        <v>44776.252858796295</v>
      </c>
      <c r="Q5" s="85" t="s">
        <v>236</v>
      </c>
      <c r="R5" s="85"/>
      <c r="S5" s="85"/>
      <c r="T5" s="85"/>
      <c r="U5" s="88" t="str">
        <f t="shared" si="0"/>
        <v>https://pbs.twimg.com/media/FZNwNvbUUAEmOP6.jpg</v>
      </c>
      <c r="V5" s="88" t="str">
        <f t="shared" si="0"/>
        <v>https://pbs.twimg.com/media/FZNwNvbUUAEmOP6.jpg</v>
      </c>
      <c r="W5" s="87">
        <v>44776.252858796295</v>
      </c>
      <c r="X5" s="92">
        <v>44776</v>
      </c>
      <c r="Y5" s="89" t="s">
        <v>241</v>
      </c>
      <c r="Z5" s="88" t="str">
        <f>HYPERLINK("https://twitter.com/#!/ldduval11/status/1554709681783705601")</f>
        <v>https://twitter.com/#!/ldduval11/status/1554709681783705601</v>
      </c>
      <c r="AA5" s="85"/>
      <c r="AB5" s="85"/>
      <c r="AC5" s="89" t="s">
        <v>244</v>
      </c>
      <c r="AD5" s="85"/>
      <c r="AE5" s="85" t="b">
        <v>0</v>
      </c>
      <c r="AF5" s="85">
        <v>5</v>
      </c>
      <c r="AG5" s="89" t="s">
        <v>247</v>
      </c>
      <c r="AH5" s="85" t="b">
        <v>0</v>
      </c>
      <c r="AI5" s="85" t="s">
        <v>249</v>
      </c>
      <c r="AJ5" s="85"/>
      <c r="AK5" s="89" t="s">
        <v>247</v>
      </c>
      <c r="AL5" s="85" t="b">
        <v>0</v>
      </c>
      <c r="AM5" s="85">
        <v>0</v>
      </c>
      <c r="AN5" s="89" t="s">
        <v>247</v>
      </c>
      <c r="AO5" s="89" t="s">
        <v>252</v>
      </c>
      <c r="AP5" s="85" t="b">
        <v>0</v>
      </c>
      <c r="AQ5" s="89" t="s">
        <v>244</v>
      </c>
      <c r="AR5" s="85" t="s">
        <v>176</v>
      </c>
      <c r="AS5" s="85">
        <v>0</v>
      </c>
      <c r="AT5" s="85">
        <v>0</v>
      </c>
      <c r="AU5" s="85" t="s">
        <v>255</v>
      </c>
      <c r="AV5" s="85" t="s">
        <v>256</v>
      </c>
      <c r="AW5" s="85" t="s">
        <v>257</v>
      </c>
      <c r="AX5" s="85" t="s">
        <v>258</v>
      </c>
      <c r="AY5" s="85" t="s">
        <v>259</v>
      </c>
      <c r="AZ5" s="85" t="s">
        <v>260</v>
      </c>
      <c r="BA5" s="85" t="s">
        <v>261</v>
      </c>
      <c r="BB5" s="88" t="str">
        <f>HYPERLINK("https://api.twitter.com/1.1/geo/id/df51dec6f4ee2b2c.json")</f>
        <v>https://api.twitter.com/1.1/geo/id/df51dec6f4ee2b2c.json</v>
      </c>
      <c r="BC5">
        <v>1</v>
      </c>
      <c r="BD5" s="84" t="str">
        <f>REPLACE(INDEX(GroupVertices[Group],MATCH(Edges[[#This Row],[Vertex 1]],GroupVertices[Vertex],0)),1,1,"")</f>
        <v>3</v>
      </c>
      <c r="BE5" s="84" t="str">
        <f>REPLACE(INDEX(GroupVertices[Group],MATCH(Edges[[#This Row],[Vertex 2]],GroupVertices[Vertex],0)),1,1,"")</f>
        <v>3</v>
      </c>
    </row>
    <row r="6" spans="1:57" ht="45">
      <c r="A6" s="83" t="s">
        <v>215</v>
      </c>
      <c r="B6" s="83" t="s">
        <v>219</v>
      </c>
      <c r="C6" s="54" t="s">
        <v>431</v>
      </c>
      <c r="D6" s="55">
        <v>3</v>
      </c>
      <c r="E6" s="67" t="s">
        <v>132</v>
      </c>
      <c r="F6" s="56">
        <v>35</v>
      </c>
      <c r="G6" s="54"/>
      <c r="H6" s="58"/>
      <c r="I6" s="57"/>
      <c r="J6" s="57"/>
      <c r="K6" s="36" t="s">
        <v>65</v>
      </c>
      <c r="L6" s="82">
        <v>6</v>
      </c>
      <c r="M6" s="82"/>
      <c r="N6" s="64"/>
      <c r="O6" s="85" t="s">
        <v>234</v>
      </c>
      <c r="P6" s="87">
        <v>44852.7509375</v>
      </c>
      <c r="Q6" s="85" t="s">
        <v>237</v>
      </c>
      <c r="R6" s="85"/>
      <c r="S6" s="85"/>
      <c r="T6" s="85"/>
      <c r="U6" s="88" t="str">
        <f aca="true" t="shared" si="1" ref="U6:V12">HYPERLINK("https://pbs.twimg.com/media/FfXtNA_WAA0EuBF.jpg")</f>
        <v>https://pbs.twimg.com/media/FfXtNA_WAA0EuBF.jpg</v>
      </c>
      <c r="V6" s="88" t="str">
        <f t="shared" si="1"/>
        <v>https://pbs.twimg.com/media/FfXtNA_WAA0EuBF.jpg</v>
      </c>
      <c r="W6" s="87">
        <v>44852.7509375</v>
      </c>
      <c r="X6" s="92">
        <v>44852</v>
      </c>
      <c r="Y6" s="89" t="s">
        <v>242</v>
      </c>
      <c r="Z6" s="88" t="str">
        <f aca="true" t="shared" si="2" ref="Z6:Z12">HYPERLINK("https://twitter.com/#!/nkoopatrice/status/1582431654101983233")</f>
        <v>https://twitter.com/#!/nkoopatrice/status/1582431654101983233</v>
      </c>
      <c r="AA6" s="85"/>
      <c r="AB6" s="85"/>
      <c r="AC6" s="89" t="s">
        <v>245</v>
      </c>
      <c r="AD6" s="85"/>
      <c r="AE6" s="85" t="b">
        <v>0</v>
      </c>
      <c r="AF6" s="85">
        <v>0</v>
      </c>
      <c r="AG6" s="89" t="s">
        <v>248</v>
      </c>
      <c r="AH6" s="85" t="b">
        <v>0</v>
      </c>
      <c r="AI6" s="85" t="s">
        <v>250</v>
      </c>
      <c r="AJ6" s="85"/>
      <c r="AK6" s="89" t="s">
        <v>247</v>
      </c>
      <c r="AL6" s="85" t="b">
        <v>0</v>
      </c>
      <c r="AM6" s="85">
        <v>0</v>
      </c>
      <c r="AN6" s="89" t="s">
        <v>247</v>
      </c>
      <c r="AO6" s="89" t="s">
        <v>253</v>
      </c>
      <c r="AP6" s="85" t="b">
        <v>0</v>
      </c>
      <c r="AQ6" s="89" t="s">
        <v>245</v>
      </c>
      <c r="AR6" s="85" t="s">
        <v>176</v>
      </c>
      <c r="AS6" s="85">
        <v>0</v>
      </c>
      <c r="AT6" s="85">
        <v>0</v>
      </c>
      <c r="AU6" s="85"/>
      <c r="AV6" s="85"/>
      <c r="AW6" s="85"/>
      <c r="AX6" s="85"/>
      <c r="AY6" s="85"/>
      <c r="AZ6" s="85"/>
      <c r="BA6" s="85"/>
      <c r="BB6" s="85"/>
      <c r="BC6">
        <v>1</v>
      </c>
      <c r="BD6" s="84" t="str">
        <f>REPLACE(INDEX(GroupVertices[Group],MATCH(Edges[[#This Row],[Vertex 1]],GroupVertices[Vertex],0)),1,1,"")</f>
        <v>2</v>
      </c>
      <c r="BE6" s="84" t="str">
        <f>REPLACE(INDEX(GroupVertices[Group],MATCH(Edges[[#This Row],[Vertex 2]],GroupVertices[Vertex],0)),1,1,"")</f>
        <v>2</v>
      </c>
    </row>
    <row r="7" spans="1:57" ht="45">
      <c r="A7" s="83" t="s">
        <v>215</v>
      </c>
      <c r="B7" s="83" t="s">
        <v>220</v>
      </c>
      <c r="C7" s="54" t="s">
        <v>431</v>
      </c>
      <c r="D7" s="55">
        <v>3</v>
      </c>
      <c r="E7" s="67" t="s">
        <v>132</v>
      </c>
      <c r="F7" s="56">
        <v>35</v>
      </c>
      <c r="G7" s="54"/>
      <c r="H7" s="58"/>
      <c r="I7" s="57"/>
      <c r="J7" s="57"/>
      <c r="K7" s="36" t="s">
        <v>65</v>
      </c>
      <c r="L7" s="82">
        <v>7</v>
      </c>
      <c r="M7" s="82"/>
      <c r="N7" s="64"/>
      <c r="O7" s="85" t="s">
        <v>234</v>
      </c>
      <c r="P7" s="87">
        <v>44852.7509375</v>
      </c>
      <c r="Q7" s="85" t="s">
        <v>237</v>
      </c>
      <c r="R7" s="85"/>
      <c r="S7" s="85"/>
      <c r="T7" s="85"/>
      <c r="U7" s="88" t="str">
        <f t="shared" si="1"/>
        <v>https://pbs.twimg.com/media/FfXtNA_WAA0EuBF.jpg</v>
      </c>
      <c r="V7" s="88" t="str">
        <f t="shared" si="1"/>
        <v>https://pbs.twimg.com/media/FfXtNA_WAA0EuBF.jpg</v>
      </c>
      <c r="W7" s="87">
        <v>44852.7509375</v>
      </c>
      <c r="X7" s="92">
        <v>44852</v>
      </c>
      <c r="Y7" s="89" t="s">
        <v>242</v>
      </c>
      <c r="Z7" s="88" t="str">
        <f t="shared" si="2"/>
        <v>https://twitter.com/#!/nkoopatrice/status/1582431654101983233</v>
      </c>
      <c r="AA7" s="85"/>
      <c r="AB7" s="85"/>
      <c r="AC7" s="89" t="s">
        <v>245</v>
      </c>
      <c r="AD7" s="85"/>
      <c r="AE7" s="85" t="b">
        <v>0</v>
      </c>
      <c r="AF7" s="85">
        <v>0</v>
      </c>
      <c r="AG7" s="89" t="s">
        <v>248</v>
      </c>
      <c r="AH7" s="85" t="b">
        <v>0</v>
      </c>
      <c r="AI7" s="85" t="s">
        <v>250</v>
      </c>
      <c r="AJ7" s="85"/>
      <c r="AK7" s="89" t="s">
        <v>247</v>
      </c>
      <c r="AL7" s="85" t="b">
        <v>0</v>
      </c>
      <c r="AM7" s="85">
        <v>0</v>
      </c>
      <c r="AN7" s="89" t="s">
        <v>247</v>
      </c>
      <c r="AO7" s="89" t="s">
        <v>253</v>
      </c>
      <c r="AP7" s="85" t="b">
        <v>0</v>
      </c>
      <c r="AQ7" s="89" t="s">
        <v>245</v>
      </c>
      <c r="AR7" s="85" t="s">
        <v>176</v>
      </c>
      <c r="AS7" s="85">
        <v>0</v>
      </c>
      <c r="AT7" s="85">
        <v>0</v>
      </c>
      <c r="AU7" s="85"/>
      <c r="AV7" s="85"/>
      <c r="AW7" s="85"/>
      <c r="AX7" s="85"/>
      <c r="AY7" s="85"/>
      <c r="AZ7" s="85"/>
      <c r="BA7" s="85"/>
      <c r="BB7" s="85"/>
      <c r="BC7">
        <v>1</v>
      </c>
      <c r="BD7" s="84" t="str">
        <f>REPLACE(INDEX(GroupVertices[Group],MATCH(Edges[[#This Row],[Vertex 1]],GroupVertices[Vertex],0)),1,1,"")</f>
        <v>2</v>
      </c>
      <c r="BE7" s="84" t="str">
        <f>REPLACE(INDEX(GroupVertices[Group],MATCH(Edges[[#This Row],[Vertex 2]],GroupVertices[Vertex],0)),1,1,"")</f>
        <v>2</v>
      </c>
    </row>
    <row r="8" spans="1:57" ht="45">
      <c r="A8" s="83" t="s">
        <v>215</v>
      </c>
      <c r="B8" s="83" t="s">
        <v>221</v>
      </c>
      <c r="C8" s="54" t="s">
        <v>431</v>
      </c>
      <c r="D8" s="55">
        <v>3</v>
      </c>
      <c r="E8" s="67" t="s">
        <v>132</v>
      </c>
      <c r="F8" s="56">
        <v>35</v>
      </c>
      <c r="G8" s="54"/>
      <c r="H8" s="58"/>
      <c r="I8" s="57"/>
      <c r="J8" s="57"/>
      <c r="K8" s="36" t="s">
        <v>65</v>
      </c>
      <c r="L8" s="82">
        <v>8</v>
      </c>
      <c r="M8" s="82"/>
      <c r="N8" s="64"/>
      <c r="O8" s="85" t="s">
        <v>234</v>
      </c>
      <c r="P8" s="87">
        <v>44852.7509375</v>
      </c>
      <c r="Q8" s="85" t="s">
        <v>237</v>
      </c>
      <c r="R8" s="85"/>
      <c r="S8" s="85"/>
      <c r="T8" s="85"/>
      <c r="U8" s="88" t="str">
        <f t="shared" si="1"/>
        <v>https://pbs.twimg.com/media/FfXtNA_WAA0EuBF.jpg</v>
      </c>
      <c r="V8" s="88" t="str">
        <f t="shared" si="1"/>
        <v>https://pbs.twimg.com/media/FfXtNA_WAA0EuBF.jpg</v>
      </c>
      <c r="W8" s="87">
        <v>44852.7509375</v>
      </c>
      <c r="X8" s="92">
        <v>44852</v>
      </c>
      <c r="Y8" s="89" t="s">
        <v>242</v>
      </c>
      <c r="Z8" s="88" t="str">
        <f t="shared" si="2"/>
        <v>https://twitter.com/#!/nkoopatrice/status/1582431654101983233</v>
      </c>
      <c r="AA8" s="85"/>
      <c r="AB8" s="85"/>
      <c r="AC8" s="89" t="s">
        <v>245</v>
      </c>
      <c r="AD8" s="85"/>
      <c r="AE8" s="85" t="b">
        <v>0</v>
      </c>
      <c r="AF8" s="85">
        <v>0</v>
      </c>
      <c r="AG8" s="89" t="s">
        <v>248</v>
      </c>
      <c r="AH8" s="85" t="b">
        <v>0</v>
      </c>
      <c r="AI8" s="85" t="s">
        <v>250</v>
      </c>
      <c r="AJ8" s="85"/>
      <c r="AK8" s="89" t="s">
        <v>247</v>
      </c>
      <c r="AL8" s="85" t="b">
        <v>0</v>
      </c>
      <c r="AM8" s="85">
        <v>0</v>
      </c>
      <c r="AN8" s="89" t="s">
        <v>247</v>
      </c>
      <c r="AO8" s="89" t="s">
        <v>253</v>
      </c>
      <c r="AP8" s="85" t="b">
        <v>0</v>
      </c>
      <c r="AQ8" s="89" t="s">
        <v>245</v>
      </c>
      <c r="AR8" s="85" t="s">
        <v>176</v>
      </c>
      <c r="AS8" s="85">
        <v>0</v>
      </c>
      <c r="AT8" s="85">
        <v>0</v>
      </c>
      <c r="AU8" s="85"/>
      <c r="AV8" s="85"/>
      <c r="AW8" s="85"/>
      <c r="AX8" s="85"/>
      <c r="AY8" s="85"/>
      <c r="AZ8" s="85"/>
      <c r="BA8" s="85"/>
      <c r="BB8" s="85"/>
      <c r="BC8">
        <v>1</v>
      </c>
      <c r="BD8" s="84" t="str">
        <f>REPLACE(INDEX(GroupVertices[Group],MATCH(Edges[[#This Row],[Vertex 1]],GroupVertices[Vertex],0)),1,1,"")</f>
        <v>2</v>
      </c>
      <c r="BE8" s="84" t="str">
        <f>REPLACE(INDEX(GroupVertices[Group],MATCH(Edges[[#This Row],[Vertex 2]],GroupVertices[Vertex],0)),1,1,"")</f>
        <v>2</v>
      </c>
    </row>
    <row r="9" spans="1:57" ht="45">
      <c r="A9" s="83" t="s">
        <v>215</v>
      </c>
      <c r="B9" s="83" t="s">
        <v>222</v>
      </c>
      <c r="C9" s="54" t="s">
        <v>431</v>
      </c>
      <c r="D9" s="55">
        <v>3</v>
      </c>
      <c r="E9" s="67" t="s">
        <v>132</v>
      </c>
      <c r="F9" s="56">
        <v>35</v>
      </c>
      <c r="G9" s="54"/>
      <c r="H9" s="58"/>
      <c r="I9" s="57"/>
      <c r="J9" s="57"/>
      <c r="K9" s="36" t="s">
        <v>65</v>
      </c>
      <c r="L9" s="82">
        <v>9</v>
      </c>
      <c r="M9" s="82"/>
      <c r="N9" s="64"/>
      <c r="O9" s="85" t="s">
        <v>234</v>
      </c>
      <c r="P9" s="87">
        <v>44852.7509375</v>
      </c>
      <c r="Q9" s="85" t="s">
        <v>237</v>
      </c>
      <c r="R9" s="85"/>
      <c r="S9" s="85"/>
      <c r="T9" s="85"/>
      <c r="U9" s="88" t="str">
        <f t="shared" si="1"/>
        <v>https://pbs.twimg.com/media/FfXtNA_WAA0EuBF.jpg</v>
      </c>
      <c r="V9" s="88" t="str">
        <f t="shared" si="1"/>
        <v>https://pbs.twimg.com/media/FfXtNA_WAA0EuBF.jpg</v>
      </c>
      <c r="W9" s="87">
        <v>44852.7509375</v>
      </c>
      <c r="X9" s="92">
        <v>44852</v>
      </c>
      <c r="Y9" s="89" t="s">
        <v>242</v>
      </c>
      <c r="Z9" s="88" t="str">
        <f t="shared" si="2"/>
        <v>https://twitter.com/#!/nkoopatrice/status/1582431654101983233</v>
      </c>
      <c r="AA9" s="85"/>
      <c r="AB9" s="85"/>
      <c r="AC9" s="89" t="s">
        <v>245</v>
      </c>
      <c r="AD9" s="85"/>
      <c r="AE9" s="85" t="b">
        <v>0</v>
      </c>
      <c r="AF9" s="85">
        <v>0</v>
      </c>
      <c r="AG9" s="89" t="s">
        <v>248</v>
      </c>
      <c r="AH9" s="85" t="b">
        <v>0</v>
      </c>
      <c r="AI9" s="85" t="s">
        <v>250</v>
      </c>
      <c r="AJ9" s="85"/>
      <c r="AK9" s="89" t="s">
        <v>247</v>
      </c>
      <c r="AL9" s="85" t="b">
        <v>0</v>
      </c>
      <c r="AM9" s="85">
        <v>0</v>
      </c>
      <c r="AN9" s="89" t="s">
        <v>247</v>
      </c>
      <c r="AO9" s="89" t="s">
        <v>253</v>
      </c>
      <c r="AP9" s="85" t="b">
        <v>0</v>
      </c>
      <c r="AQ9" s="89" t="s">
        <v>245</v>
      </c>
      <c r="AR9" s="85" t="s">
        <v>176</v>
      </c>
      <c r="AS9" s="85">
        <v>0</v>
      </c>
      <c r="AT9" s="85">
        <v>0</v>
      </c>
      <c r="AU9" s="85"/>
      <c r="AV9" s="85"/>
      <c r="AW9" s="85"/>
      <c r="AX9" s="85"/>
      <c r="AY9" s="85"/>
      <c r="AZ9" s="85"/>
      <c r="BA9" s="85"/>
      <c r="BB9" s="85"/>
      <c r="BC9">
        <v>1</v>
      </c>
      <c r="BD9" s="84" t="str">
        <f>REPLACE(INDEX(GroupVertices[Group],MATCH(Edges[[#This Row],[Vertex 1]],GroupVertices[Vertex],0)),1,1,"")</f>
        <v>2</v>
      </c>
      <c r="BE9" s="84" t="str">
        <f>REPLACE(INDEX(GroupVertices[Group],MATCH(Edges[[#This Row],[Vertex 2]],GroupVertices[Vertex],0)),1,1,"")</f>
        <v>2</v>
      </c>
    </row>
    <row r="10" spans="1:57" ht="45">
      <c r="A10" s="83" t="s">
        <v>215</v>
      </c>
      <c r="B10" s="83" t="s">
        <v>218</v>
      </c>
      <c r="C10" s="54" t="s">
        <v>431</v>
      </c>
      <c r="D10" s="55">
        <v>3</v>
      </c>
      <c r="E10" s="67" t="s">
        <v>132</v>
      </c>
      <c r="F10" s="56">
        <v>35</v>
      </c>
      <c r="G10" s="54"/>
      <c r="H10" s="58"/>
      <c r="I10" s="57"/>
      <c r="J10" s="57"/>
      <c r="K10" s="36" t="s">
        <v>65</v>
      </c>
      <c r="L10" s="82">
        <v>10</v>
      </c>
      <c r="M10" s="82"/>
      <c r="N10" s="64"/>
      <c r="O10" s="85" t="s">
        <v>234</v>
      </c>
      <c r="P10" s="87">
        <v>44852.7509375</v>
      </c>
      <c r="Q10" s="85" t="s">
        <v>237</v>
      </c>
      <c r="R10" s="85"/>
      <c r="S10" s="85"/>
      <c r="T10" s="85"/>
      <c r="U10" s="88" t="str">
        <f t="shared" si="1"/>
        <v>https://pbs.twimg.com/media/FfXtNA_WAA0EuBF.jpg</v>
      </c>
      <c r="V10" s="88" t="str">
        <f t="shared" si="1"/>
        <v>https://pbs.twimg.com/media/FfXtNA_WAA0EuBF.jpg</v>
      </c>
      <c r="W10" s="87">
        <v>44852.7509375</v>
      </c>
      <c r="X10" s="92">
        <v>44852</v>
      </c>
      <c r="Y10" s="89" t="s">
        <v>242</v>
      </c>
      <c r="Z10" s="88" t="str">
        <f t="shared" si="2"/>
        <v>https://twitter.com/#!/nkoopatrice/status/1582431654101983233</v>
      </c>
      <c r="AA10" s="85"/>
      <c r="AB10" s="85"/>
      <c r="AC10" s="89" t="s">
        <v>245</v>
      </c>
      <c r="AD10" s="85"/>
      <c r="AE10" s="85" t="b">
        <v>0</v>
      </c>
      <c r="AF10" s="85">
        <v>0</v>
      </c>
      <c r="AG10" s="89" t="s">
        <v>248</v>
      </c>
      <c r="AH10" s="85" t="b">
        <v>0</v>
      </c>
      <c r="AI10" s="85" t="s">
        <v>250</v>
      </c>
      <c r="AJ10" s="85"/>
      <c r="AK10" s="89" t="s">
        <v>247</v>
      </c>
      <c r="AL10" s="85" t="b">
        <v>0</v>
      </c>
      <c r="AM10" s="85">
        <v>0</v>
      </c>
      <c r="AN10" s="89" t="s">
        <v>247</v>
      </c>
      <c r="AO10" s="89" t="s">
        <v>253</v>
      </c>
      <c r="AP10" s="85" t="b">
        <v>0</v>
      </c>
      <c r="AQ10" s="89" t="s">
        <v>245</v>
      </c>
      <c r="AR10" s="85" t="s">
        <v>176</v>
      </c>
      <c r="AS10" s="85">
        <v>0</v>
      </c>
      <c r="AT10" s="85">
        <v>0</v>
      </c>
      <c r="AU10" s="85"/>
      <c r="AV10" s="85"/>
      <c r="AW10" s="85"/>
      <c r="AX10" s="85"/>
      <c r="AY10" s="85"/>
      <c r="AZ10" s="85"/>
      <c r="BA10" s="85"/>
      <c r="BB10" s="85"/>
      <c r="BC10">
        <v>1</v>
      </c>
      <c r="BD10" s="84" t="str">
        <f>REPLACE(INDEX(GroupVertices[Group],MATCH(Edges[[#This Row],[Vertex 1]],GroupVertices[Vertex],0)),1,1,"")</f>
        <v>2</v>
      </c>
      <c r="BE10" s="84" t="str">
        <f>REPLACE(INDEX(GroupVertices[Group],MATCH(Edges[[#This Row],[Vertex 2]],GroupVertices[Vertex],0)),1,1,"")</f>
        <v>3</v>
      </c>
    </row>
    <row r="11" spans="1:57" ht="45">
      <c r="A11" s="83" t="s">
        <v>215</v>
      </c>
      <c r="B11" s="83" t="s">
        <v>223</v>
      </c>
      <c r="C11" s="54" t="s">
        <v>431</v>
      </c>
      <c r="D11" s="55">
        <v>3</v>
      </c>
      <c r="E11" s="67" t="s">
        <v>132</v>
      </c>
      <c r="F11" s="56">
        <v>35</v>
      </c>
      <c r="G11" s="54"/>
      <c r="H11" s="58"/>
      <c r="I11" s="57"/>
      <c r="J11" s="57"/>
      <c r="K11" s="36" t="s">
        <v>65</v>
      </c>
      <c r="L11" s="82">
        <v>11</v>
      </c>
      <c r="M11" s="82"/>
      <c r="N11" s="64"/>
      <c r="O11" s="85" t="s">
        <v>234</v>
      </c>
      <c r="P11" s="87">
        <v>44852.7509375</v>
      </c>
      <c r="Q11" s="85" t="s">
        <v>237</v>
      </c>
      <c r="R11" s="85"/>
      <c r="S11" s="85"/>
      <c r="T11" s="85"/>
      <c r="U11" s="88" t="str">
        <f t="shared" si="1"/>
        <v>https://pbs.twimg.com/media/FfXtNA_WAA0EuBF.jpg</v>
      </c>
      <c r="V11" s="88" t="str">
        <f t="shared" si="1"/>
        <v>https://pbs.twimg.com/media/FfXtNA_WAA0EuBF.jpg</v>
      </c>
      <c r="W11" s="87">
        <v>44852.7509375</v>
      </c>
      <c r="X11" s="92">
        <v>44852</v>
      </c>
      <c r="Y11" s="89" t="s">
        <v>242</v>
      </c>
      <c r="Z11" s="88" t="str">
        <f t="shared" si="2"/>
        <v>https://twitter.com/#!/nkoopatrice/status/1582431654101983233</v>
      </c>
      <c r="AA11" s="85"/>
      <c r="AB11" s="85"/>
      <c r="AC11" s="89" t="s">
        <v>245</v>
      </c>
      <c r="AD11" s="85"/>
      <c r="AE11" s="85" t="b">
        <v>0</v>
      </c>
      <c r="AF11" s="85">
        <v>0</v>
      </c>
      <c r="AG11" s="89" t="s">
        <v>248</v>
      </c>
      <c r="AH11" s="85" t="b">
        <v>0</v>
      </c>
      <c r="AI11" s="85" t="s">
        <v>250</v>
      </c>
      <c r="AJ11" s="85"/>
      <c r="AK11" s="89" t="s">
        <v>247</v>
      </c>
      <c r="AL11" s="85" t="b">
        <v>0</v>
      </c>
      <c r="AM11" s="85">
        <v>0</v>
      </c>
      <c r="AN11" s="89" t="s">
        <v>247</v>
      </c>
      <c r="AO11" s="89" t="s">
        <v>253</v>
      </c>
      <c r="AP11" s="85" t="b">
        <v>0</v>
      </c>
      <c r="AQ11" s="89" t="s">
        <v>245</v>
      </c>
      <c r="AR11" s="85" t="s">
        <v>176</v>
      </c>
      <c r="AS11" s="85">
        <v>0</v>
      </c>
      <c r="AT11" s="85">
        <v>0</v>
      </c>
      <c r="AU11" s="85"/>
      <c r="AV11" s="85"/>
      <c r="AW11" s="85"/>
      <c r="AX11" s="85"/>
      <c r="AY11" s="85"/>
      <c r="AZ11" s="85"/>
      <c r="BA11" s="85"/>
      <c r="BB11" s="85"/>
      <c r="BC11">
        <v>1</v>
      </c>
      <c r="BD11" s="84" t="str">
        <f>REPLACE(INDEX(GroupVertices[Group],MATCH(Edges[[#This Row],[Vertex 1]],GroupVertices[Vertex],0)),1,1,"")</f>
        <v>2</v>
      </c>
      <c r="BE11" s="84" t="str">
        <f>REPLACE(INDEX(GroupVertices[Group],MATCH(Edges[[#This Row],[Vertex 2]],GroupVertices[Vertex],0)),1,1,"")</f>
        <v>2</v>
      </c>
    </row>
    <row r="12" spans="1:57" ht="45">
      <c r="A12" s="83" t="s">
        <v>215</v>
      </c>
      <c r="B12" s="83" t="s">
        <v>224</v>
      </c>
      <c r="C12" s="54" t="s">
        <v>431</v>
      </c>
      <c r="D12" s="55">
        <v>3</v>
      </c>
      <c r="E12" s="67" t="s">
        <v>132</v>
      </c>
      <c r="F12" s="56">
        <v>35</v>
      </c>
      <c r="G12" s="54"/>
      <c r="H12" s="58"/>
      <c r="I12" s="57"/>
      <c r="J12" s="57"/>
      <c r="K12" s="36" t="s">
        <v>65</v>
      </c>
      <c r="L12" s="82">
        <v>12</v>
      </c>
      <c r="M12" s="82"/>
      <c r="N12" s="64"/>
      <c r="O12" s="85" t="s">
        <v>235</v>
      </c>
      <c r="P12" s="87">
        <v>44852.7509375</v>
      </c>
      <c r="Q12" s="85" t="s">
        <v>237</v>
      </c>
      <c r="R12" s="85"/>
      <c r="S12" s="85"/>
      <c r="T12" s="85"/>
      <c r="U12" s="88" t="str">
        <f t="shared" si="1"/>
        <v>https://pbs.twimg.com/media/FfXtNA_WAA0EuBF.jpg</v>
      </c>
      <c r="V12" s="88" t="str">
        <f t="shared" si="1"/>
        <v>https://pbs.twimg.com/media/FfXtNA_WAA0EuBF.jpg</v>
      </c>
      <c r="W12" s="87">
        <v>44852.7509375</v>
      </c>
      <c r="X12" s="92">
        <v>44852</v>
      </c>
      <c r="Y12" s="89" t="s">
        <v>242</v>
      </c>
      <c r="Z12" s="88" t="str">
        <f t="shared" si="2"/>
        <v>https://twitter.com/#!/nkoopatrice/status/1582431654101983233</v>
      </c>
      <c r="AA12" s="85"/>
      <c r="AB12" s="85"/>
      <c r="AC12" s="89" t="s">
        <v>245</v>
      </c>
      <c r="AD12" s="85"/>
      <c r="AE12" s="85" t="b">
        <v>0</v>
      </c>
      <c r="AF12" s="85">
        <v>0</v>
      </c>
      <c r="AG12" s="89" t="s">
        <v>248</v>
      </c>
      <c r="AH12" s="85" t="b">
        <v>0</v>
      </c>
      <c r="AI12" s="85" t="s">
        <v>250</v>
      </c>
      <c r="AJ12" s="85"/>
      <c r="AK12" s="89" t="s">
        <v>247</v>
      </c>
      <c r="AL12" s="85" t="b">
        <v>0</v>
      </c>
      <c r="AM12" s="85">
        <v>0</v>
      </c>
      <c r="AN12" s="89" t="s">
        <v>247</v>
      </c>
      <c r="AO12" s="89" t="s">
        <v>253</v>
      </c>
      <c r="AP12" s="85" t="b">
        <v>0</v>
      </c>
      <c r="AQ12" s="89" t="s">
        <v>245</v>
      </c>
      <c r="AR12" s="85" t="s">
        <v>176</v>
      </c>
      <c r="AS12" s="85">
        <v>0</v>
      </c>
      <c r="AT12" s="85">
        <v>0</v>
      </c>
      <c r="AU12" s="85"/>
      <c r="AV12" s="85"/>
      <c r="AW12" s="85"/>
      <c r="AX12" s="85"/>
      <c r="AY12" s="85"/>
      <c r="AZ12" s="85"/>
      <c r="BA12" s="85"/>
      <c r="BB12" s="85"/>
      <c r="BC12">
        <v>1</v>
      </c>
      <c r="BD12" s="84" t="str">
        <f>REPLACE(INDEX(GroupVertices[Group],MATCH(Edges[[#This Row],[Vertex 1]],GroupVertices[Vertex],0)),1,1,"")</f>
        <v>2</v>
      </c>
      <c r="BE12" s="84" t="str">
        <f>REPLACE(INDEX(GroupVertices[Group],MATCH(Edges[[#This Row],[Vertex 2]],GroupVertices[Vertex],0)),1,1,"")</f>
        <v>2</v>
      </c>
    </row>
    <row r="13" spans="1:57" ht="45">
      <c r="A13" s="83" t="s">
        <v>216</v>
      </c>
      <c r="B13" s="83" t="s">
        <v>225</v>
      </c>
      <c r="C13" s="54" t="s">
        <v>431</v>
      </c>
      <c r="D13" s="55">
        <v>3</v>
      </c>
      <c r="E13" s="67" t="s">
        <v>132</v>
      </c>
      <c r="F13" s="56">
        <v>35</v>
      </c>
      <c r="G13" s="54"/>
      <c r="H13" s="58"/>
      <c r="I13" s="57"/>
      <c r="J13" s="57"/>
      <c r="K13" s="36" t="s">
        <v>65</v>
      </c>
      <c r="L13" s="82">
        <v>13</v>
      </c>
      <c r="M13" s="82"/>
      <c r="N13" s="64"/>
      <c r="O13" s="85" t="s">
        <v>234</v>
      </c>
      <c r="P13" s="87">
        <v>44879.920949074076</v>
      </c>
      <c r="Q13" s="85" t="s">
        <v>238</v>
      </c>
      <c r="R13" s="88" t="str">
        <f aca="true" t="shared" si="3" ref="R13:R20">HYPERLINK("https://twitter.com/DaylightDeFi/status/1592027045063802880")</f>
        <v>https://twitter.com/DaylightDeFi/status/1592027045063802880</v>
      </c>
      <c r="S13" s="85" t="s">
        <v>239</v>
      </c>
      <c r="T13" s="89" t="s">
        <v>240</v>
      </c>
      <c r="U13" s="85"/>
      <c r="V13" s="88" t="str">
        <f aca="true" t="shared" si="4" ref="V13:V20">HYPERLINK("http://pbs.twimg.com/profile_images/1589623367031836672/3ht0DvKN_normal.jpg")</f>
        <v>http://pbs.twimg.com/profile_images/1589623367031836672/3ht0DvKN_normal.jpg</v>
      </c>
      <c r="W13" s="87">
        <v>44879.920949074076</v>
      </c>
      <c r="X13" s="92">
        <v>44879</v>
      </c>
      <c r="Y13" s="89" t="s">
        <v>243</v>
      </c>
      <c r="Z13" s="88" t="str">
        <f aca="true" t="shared" si="5" ref="Z13:Z20">HYPERLINK("https://twitter.com/#!/ecawinner12/status/1592277737699278849")</f>
        <v>https://twitter.com/#!/ecawinner12/status/1592277737699278849</v>
      </c>
      <c r="AA13" s="85"/>
      <c r="AB13" s="85"/>
      <c r="AC13" s="89" t="s">
        <v>246</v>
      </c>
      <c r="AD13" s="85"/>
      <c r="AE13" s="85" t="b">
        <v>0</v>
      </c>
      <c r="AF13" s="85">
        <v>0</v>
      </c>
      <c r="AG13" s="89" t="s">
        <v>247</v>
      </c>
      <c r="AH13" s="85" t="b">
        <v>1</v>
      </c>
      <c r="AI13" s="85" t="s">
        <v>249</v>
      </c>
      <c r="AJ13" s="85"/>
      <c r="AK13" s="89" t="s">
        <v>251</v>
      </c>
      <c r="AL13" s="85" t="b">
        <v>0</v>
      </c>
      <c r="AM13" s="85">
        <v>0</v>
      </c>
      <c r="AN13" s="89" t="s">
        <v>247</v>
      </c>
      <c r="AO13" s="89" t="s">
        <v>254</v>
      </c>
      <c r="AP13" s="85" t="b">
        <v>0</v>
      </c>
      <c r="AQ13" s="89" t="s">
        <v>246</v>
      </c>
      <c r="AR13" s="85" t="s">
        <v>176</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row>
    <row r="14" spans="1:57" ht="45">
      <c r="A14" s="83" t="s">
        <v>216</v>
      </c>
      <c r="B14" s="83" t="s">
        <v>226</v>
      </c>
      <c r="C14" s="54" t="s">
        <v>431</v>
      </c>
      <c r="D14" s="55">
        <v>3</v>
      </c>
      <c r="E14" s="67" t="s">
        <v>132</v>
      </c>
      <c r="F14" s="56">
        <v>35</v>
      </c>
      <c r="G14" s="54"/>
      <c r="H14" s="58"/>
      <c r="I14" s="57"/>
      <c r="J14" s="57"/>
      <c r="K14" s="36" t="s">
        <v>65</v>
      </c>
      <c r="L14" s="82">
        <v>14</v>
      </c>
      <c r="M14" s="82"/>
      <c r="N14" s="64"/>
      <c r="O14" s="85" t="s">
        <v>234</v>
      </c>
      <c r="P14" s="87">
        <v>44879.920949074076</v>
      </c>
      <c r="Q14" s="85" t="s">
        <v>238</v>
      </c>
      <c r="R14" s="88" t="str">
        <f t="shared" si="3"/>
        <v>https://twitter.com/DaylightDeFi/status/1592027045063802880</v>
      </c>
      <c r="S14" s="85" t="s">
        <v>239</v>
      </c>
      <c r="T14" s="89" t="s">
        <v>240</v>
      </c>
      <c r="U14" s="85"/>
      <c r="V14" s="88" t="str">
        <f t="shared" si="4"/>
        <v>http://pbs.twimg.com/profile_images/1589623367031836672/3ht0DvKN_normal.jpg</v>
      </c>
      <c r="W14" s="87">
        <v>44879.920949074076</v>
      </c>
      <c r="X14" s="92">
        <v>44879</v>
      </c>
      <c r="Y14" s="89" t="s">
        <v>243</v>
      </c>
      <c r="Z14" s="88" t="str">
        <f t="shared" si="5"/>
        <v>https://twitter.com/#!/ecawinner12/status/1592277737699278849</v>
      </c>
      <c r="AA14" s="85"/>
      <c r="AB14" s="85"/>
      <c r="AC14" s="89" t="s">
        <v>246</v>
      </c>
      <c r="AD14" s="85"/>
      <c r="AE14" s="85" t="b">
        <v>0</v>
      </c>
      <c r="AF14" s="85">
        <v>0</v>
      </c>
      <c r="AG14" s="89" t="s">
        <v>247</v>
      </c>
      <c r="AH14" s="85" t="b">
        <v>1</v>
      </c>
      <c r="AI14" s="85" t="s">
        <v>249</v>
      </c>
      <c r="AJ14" s="85"/>
      <c r="AK14" s="89" t="s">
        <v>251</v>
      </c>
      <c r="AL14" s="85" t="b">
        <v>0</v>
      </c>
      <c r="AM14" s="85">
        <v>0</v>
      </c>
      <c r="AN14" s="89" t="s">
        <v>247</v>
      </c>
      <c r="AO14" s="89" t="s">
        <v>254</v>
      </c>
      <c r="AP14" s="85" t="b">
        <v>0</v>
      </c>
      <c r="AQ14" s="89" t="s">
        <v>246</v>
      </c>
      <c r="AR14" s="85" t="s">
        <v>176</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row>
    <row r="15" spans="1:57" ht="45">
      <c r="A15" s="83" t="s">
        <v>216</v>
      </c>
      <c r="B15" s="83" t="s">
        <v>227</v>
      </c>
      <c r="C15" s="54" t="s">
        <v>431</v>
      </c>
      <c r="D15" s="55">
        <v>3</v>
      </c>
      <c r="E15" s="67" t="s">
        <v>132</v>
      </c>
      <c r="F15" s="56">
        <v>35</v>
      </c>
      <c r="G15" s="54"/>
      <c r="H15" s="58"/>
      <c r="I15" s="57"/>
      <c r="J15" s="57"/>
      <c r="K15" s="36" t="s">
        <v>65</v>
      </c>
      <c r="L15" s="82">
        <v>15</v>
      </c>
      <c r="M15" s="82"/>
      <c r="N15" s="64"/>
      <c r="O15" s="85" t="s">
        <v>234</v>
      </c>
      <c r="P15" s="87">
        <v>44879.920949074076</v>
      </c>
      <c r="Q15" s="85" t="s">
        <v>238</v>
      </c>
      <c r="R15" s="88" t="str">
        <f t="shared" si="3"/>
        <v>https://twitter.com/DaylightDeFi/status/1592027045063802880</v>
      </c>
      <c r="S15" s="85" t="s">
        <v>239</v>
      </c>
      <c r="T15" s="89" t="s">
        <v>240</v>
      </c>
      <c r="U15" s="85"/>
      <c r="V15" s="88" t="str">
        <f t="shared" si="4"/>
        <v>http://pbs.twimg.com/profile_images/1589623367031836672/3ht0DvKN_normal.jpg</v>
      </c>
      <c r="W15" s="87">
        <v>44879.920949074076</v>
      </c>
      <c r="X15" s="92">
        <v>44879</v>
      </c>
      <c r="Y15" s="89" t="s">
        <v>243</v>
      </c>
      <c r="Z15" s="88" t="str">
        <f t="shared" si="5"/>
        <v>https://twitter.com/#!/ecawinner12/status/1592277737699278849</v>
      </c>
      <c r="AA15" s="85"/>
      <c r="AB15" s="85"/>
      <c r="AC15" s="89" t="s">
        <v>246</v>
      </c>
      <c r="AD15" s="85"/>
      <c r="AE15" s="85" t="b">
        <v>0</v>
      </c>
      <c r="AF15" s="85">
        <v>0</v>
      </c>
      <c r="AG15" s="89" t="s">
        <v>247</v>
      </c>
      <c r="AH15" s="85" t="b">
        <v>1</v>
      </c>
      <c r="AI15" s="85" t="s">
        <v>249</v>
      </c>
      <c r="AJ15" s="85"/>
      <c r="AK15" s="89" t="s">
        <v>251</v>
      </c>
      <c r="AL15" s="85" t="b">
        <v>0</v>
      </c>
      <c r="AM15" s="85">
        <v>0</v>
      </c>
      <c r="AN15" s="89" t="s">
        <v>247</v>
      </c>
      <c r="AO15" s="89" t="s">
        <v>254</v>
      </c>
      <c r="AP15" s="85" t="b">
        <v>0</v>
      </c>
      <c r="AQ15" s="89" t="s">
        <v>246</v>
      </c>
      <c r="AR15" s="85" t="s">
        <v>176</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row>
    <row r="16" spans="1:57" ht="45">
      <c r="A16" s="83" t="s">
        <v>216</v>
      </c>
      <c r="B16" s="83" t="s">
        <v>228</v>
      </c>
      <c r="C16" s="54" t="s">
        <v>431</v>
      </c>
      <c r="D16" s="55">
        <v>3</v>
      </c>
      <c r="E16" s="67" t="s">
        <v>132</v>
      </c>
      <c r="F16" s="56">
        <v>35</v>
      </c>
      <c r="G16" s="54"/>
      <c r="H16" s="58"/>
      <c r="I16" s="57"/>
      <c r="J16" s="57"/>
      <c r="K16" s="36" t="s">
        <v>65</v>
      </c>
      <c r="L16" s="82">
        <v>16</v>
      </c>
      <c r="M16" s="82"/>
      <c r="N16" s="64"/>
      <c r="O16" s="85" t="s">
        <v>234</v>
      </c>
      <c r="P16" s="87">
        <v>44879.920949074076</v>
      </c>
      <c r="Q16" s="85" t="s">
        <v>238</v>
      </c>
      <c r="R16" s="88" t="str">
        <f t="shared" si="3"/>
        <v>https://twitter.com/DaylightDeFi/status/1592027045063802880</v>
      </c>
      <c r="S16" s="85" t="s">
        <v>239</v>
      </c>
      <c r="T16" s="89" t="s">
        <v>240</v>
      </c>
      <c r="U16" s="85"/>
      <c r="V16" s="88" t="str">
        <f t="shared" si="4"/>
        <v>http://pbs.twimg.com/profile_images/1589623367031836672/3ht0DvKN_normal.jpg</v>
      </c>
      <c r="W16" s="87">
        <v>44879.920949074076</v>
      </c>
      <c r="X16" s="92">
        <v>44879</v>
      </c>
      <c r="Y16" s="89" t="s">
        <v>243</v>
      </c>
      <c r="Z16" s="88" t="str">
        <f t="shared" si="5"/>
        <v>https://twitter.com/#!/ecawinner12/status/1592277737699278849</v>
      </c>
      <c r="AA16" s="85"/>
      <c r="AB16" s="85"/>
      <c r="AC16" s="89" t="s">
        <v>246</v>
      </c>
      <c r="AD16" s="85"/>
      <c r="AE16" s="85" t="b">
        <v>0</v>
      </c>
      <c r="AF16" s="85">
        <v>0</v>
      </c>
      <c r="AG16" s="89" t="s">
        <v>247</v>
      </c>
      <c r="AH16" s="85" t="b">
        <v>1</v>
      </c>
      <c r="AI16" s="85" t="s">
        <v>249</v>
      </c>
      <c r="AJ16" s="85"/>
      <c r="AK16" s="89" t="s">
        <v>251</v>
      </c>
      <c r="AL16" s="85" t="b">
        <v>0</v>
      </c>
      <c r="AM16" s="85">
        <v>0</v>
      </c>
      <c r="AN16" s="89" t="s">
        <v>247</v>
      </c>
      <c r="AO16" s="89" t="s">
        <v>254</v>
      </c>
      <c r="AP16" s="85" t="b">
        <v>0</v>
      </c>
      <c r="AQ16" s="89" t="s">
        <v>246</v>
      </c>
      <c r="AR16" s="85" t="s">
        <v>176</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row>
    <row r="17" spans="1:57" ht="45">
      <c r="A17" s="83" t="s">
        <v>216</v>
      </c>
      <c r="B17" s="83" t="s">
        <v>229</v>
      </c>
      <c r="C17" s="54" t="s">
        <v>431</v>
      </c>
      <c r="D17" s="55">
        <v>3</v>
      </c>
      <c r="E17" s="67" t="s">
        <v>132</v>
      </c>
      <c r="F17" s="56">
        <v>35</v>
      </c>
      <c r="G17" s="54"/>
      <c r="H17" s="58"/>
      <c r="I17" s="57"/>
      <c r="J17" s="57"/>
      <c r="K17" s="36" t="s">
        <v>65</v>
      </c>
      <c r="L17" s="82">
        <v>17</v>
      </c>
      <c r="M17" s="82"/>
      <c r="N17" s="64"/>
      <c r="O17" s="85" t="s">
        <v>234</v>
      </c>
      <c r="P17" s="87">
        <v>44879.920949074076</v>
      </c>
      <c r="Q17" s="85" t="s">
        <v>238</v>
      </c>
      <c r="R17" s="88" t="str">
        <f t="shared" si="3"/>
        <v>https://twitter.com/DaylightDeFi/status/1592027045063802880</v>
      </c>
      <c r="S17" s="85" t="s">
        <v>239</v>
      </c>
      <c r="T17" s="89" t="s">
        <v>240</v>
      </c>
      <c r="U17" s="85"/>
      <c r="V17" s="88" t="str">
        <f t="shared" si="4"/>
        <v>http://pbs.twimg.com/profile_images/1589623367031836672/3ht0DvKN_normal.jpg</v>
      </c>
      <c r="W17" s="87">
        <v>44879.920949074076</v>
      </c>
      <c r="X17" s="92">
        <v>44879</v>
      </c>
      <c r="Y17" s="89" t="s">
        <v>243</v>
      </c>
      <c r="Z17" s="88" t="str">
        <f t="shared" si="5"/>
        <v>https://twitter.com/#!/ecawinner12/status/1592277737699278849</v>
      </c>
      <c r="AA17" s="85"/>
      <c r="AB17" s="85"/>
      <c r="AC17" s="89" t="s">
        <v>246</v>
      </c>
      <c r="AD17" s="85"/>
      <c r="AE17" s="85" t="b">
        <v>0</v>
      </c>
      <c r="AF17" s="85">
        <v>0</v>
      </c>
      <c r="AG17" s="89" t="s">
        <v>247</v>
      </c>
      <c r="AH17" s="85" t="b">
        <v>1</v>
      </c>
      <c r="AI17" s="85" t="s">
        <v>249</v>
      </c>
      <c r="AJ17" s="85"/>
      <c r="AK17" s="89" t="s">
        <v>251</v>
      </c>
      <c r="AL17" s="85" t="b">
        <v>0</v>
      </c>
      <c r="AM17" s="85">
        <v>0</v>
      </c>
      <c r="AN17" s="89" t="s">
        <v>247</v>
      </c>
      <c r="AO17" s="89" t="s">
        <v>254</v>
      </c>
      <c r="AP17" s="85" t="b">
        <v>0</v>
      </c>
      <c r="AQ17" s="89" t="s">
        <v>246</v>
      </c>
      <c r="AR17" s="85" t="s">
        <v>176</v>
      </c>
      <c r="AS17" s="85">
        <v>0</v>
      </c>
      <c r="AT17" s="85">
        <v>0</v>
      </c>
      <c r="AU17" s="85"/>
      <c r="AV17" s="85"/>
      <c r="AW17" s="85"/>
      <c r="AX17" s="85"/>
      <c r="AY17" s="85"/>
      <c r="AZ17" s="85"/>
      <c r="BA17" s="85"/>
      <c r="BB17" s="85"/>
      <c r="BC17">
        <v>1</v>
      </c>
      <c r="BD17" s="84" t="str">
        <f>REPLACE(INDEX(GroupVertices[Group],MATCH(Edges[[#This Row],[Vertex 1]],GroupVertices[Vertex],0)),1,1,"")</f>
        <v>1</v>
      </c>
      <c r="BE17" s="84" t="str">
        <f>REPLACE(INDEX(GroupVertices[Group],MATCH(Edges[[#This Row],[Vertex 2]],GroupVertices[Vertex],0)),1,1,"")</f>
        <v>1</v>
      </c>
    </row>
    <row r="18" spans="1:57" ht="45">
      <c r="A18" s="83" t="s">
        <v>216</v>
      </c>
      <c r="B18" s="83" t="s">
        <v>230</v>
      </c>
      <c r="C18" s="54" t="s">
        <v>431</v>
      </c>
      <c r="D18" s="55">
        <v>3</v>
      </c>
      <c r="E18" s="67" t="s">
        <v>132</v>
      </c>
      <c r="F18" s="56">
        <v>35</v>
      </c>
      <c r="G18" s="54"/>
      <c r="H18" s="58"/>
      <c r="I18" s="57"/>
      <c r="J18" s="57"/>
      <c r="K18" s="36" t="s">
        <v>65</v>
      </c>
      <c r="L18" s="82">
        <v>18</v>
      </c>
      <c r="M18" s="82"/>
      <c r="N18" s="64"/>
      <c r="O18" s="85" t="s">
        <v>234</v>
      </c>
      <c r="P18" s="87">
        <v>44879.920949074076</v>
      </c>
      <c r="Q18" s="85" t="s">
        <v>238</v>
      </c>
      <c r="R18" s="88" t="str">
        <f t="shared" si="3"/>
        <v>https://twitter.com/DaylightDeFi/status/1592027045063802880</v>
      </c>
      <c r="S18" s="85" t="s">
        <v>239</v>
      </c>
      <c r="T18" s="89" t="s">
        <v>240</v>
      </c>
      <c r="U18" s="85"/>
      <c r="V18" s="88" t="str">
        <f t="shared" si="4"/>
        <v>http://pbs.twimg.com/profile_images/1589623367031836672/3ht0DvKN_normal.jpg</v>
      </c>
      <c r="W18" s="87">
        <v>44879.920949074076</v>
      </c>
      <c r="X18" s="92">
        <v>44879</v>
      </c>
      <c r="Y18" s="89" t="s">
        <v>243</v>
      </c>
      <c r="Z18" s="88" t="str">
        <f t="shared" si="5"/>
        <v>https://twitter.com/#!/ecawinner12/status/1592277737699278849</v>
      </c>
      <c r="AA18" s="85"/>
      <c r="AB18" s="85"/>
      <c r="AC18" s="89" t="s">
        <v>246</v>
      </c>
      <c r="AD18" s="85"/>
      <c r="AE18" s="85" t="b">
        <v>0</v>
      </c>
      <c r="AF18" s="85">
        <v>0</v>
      </c>
      <c r="AG18" s="89" t="s">
        <v>247</v>
      </c>
      <c r="AH18" s="85" t="b">
        <v>1</v>
      </c>
      <c r="AI18" s="85" t="s">
        <v>249</v>
      </c>
      <c r="AJ18" s="85"/>
      <c r="AK18" s="89" t="s">
        <v>251</v>
      </c>
      <c r="AL18" s="85" t="b">
        <v>0</v>
      </c>
      <c r="AM18" s="85">
        <v>0</v>
      </c>
      <c r="AN18" s="89" t="s">
        <v>247</v>
      </c>
      <c r="AO18" s="89" t="s">
        <v>254</v>
      </c>
      <c r="AP18" s="85" t="b">
        <v>0</v>
      </c>
      <c r="AQ18" s="89" t="s">
        <v>246</v>
      </c>
      <c r="AR18" s="85" t="s">
        <v>176</v>
      </c>
      <c r="AS18" s="85">
        <v>0</v>
      </c>
      <c r="AT18" s="85">
        <v>0</v>
      </c>
      <c r="AU18" s="85"/>
      <c r="AV18" s="85"/>
      <c r="AW18" s="85"/>
      <c r="AX18" s="85"/>
      <c r="AY18" s="85"/>
      <c r="AZ18" s="85"/>
      <c r="BA18" s="85"/>
      <c r="BB18" s="85"/>
      <c r="BC18">
        <v>1</v>
      </c>
      <c r="BD18" s="84" t="str">
        <f>REPLACE(INDEX(GroupVertices[Group],MATCH(Edges[[#This Row],[Vertex 1]],GroupVertices[Vertex],0)),1,1,"")</f>
        <v>1</v>
      </c>
      <c r="BE18" s="84" t="str">
        <f>REPLACE(INDEX(GroupVertices[Group],MATCH(Edges[[#This Row],[Vertex 2]],GroupVertices[Vertex],0)),1,1,"")</f>
        <v>1</v>
      </c>
    </row>
    <row r="19" spans="1:57" ht="45">
      <c r="A19" s="83" t="s">
        <v>216</v>
      </c>
      <c r="B19" s="83" t="s">
        <v>231</v>
      </c>
      <c r="C19" s="54" t="s">
        <v>431</v>
      </c>
      <c r="D19" s="55">
        <v>3</v>
      </c>
      <c r="E19" s="67" t="s">
        <v>132</v>
      </c>
      <c r="F19" s="56">
        <v>35</v>
      </c>
      <c r="G19" s="54"/>
      <c r="H19" s="58"/>
      <c r="I19" s="57"/>
      <c r="J19" s="57"/>
      <c r="K19" s="36" t="s">
        <v>65</v>
      </c>
      <c r="L19" s="82">
        <v>19</v>
      </c>
      <c r="M19" s="82"/>
      <c r="N19" s="64"/>
      <c r="O19" s="85" t="s">
        <v>234</v>
      </c>
      <c r="P19" s="87">
        <v>44879.920949074076</v>
      </c>
      <c r="Q19" s="85" t="s">
        <v>238</v>
      </c>
      <c r="R19" s="88" t="str">
        <f t="shared" si="3"/>
        <v>https://twitter.com/DaylightDeFi/status/1592027045063802880</v>
      </c>
      <c r="S19" s="85" t="s">
        <v>239</v>
      </c>
      <c r="T19" s="89" t="s">
        <v>240</v>
      </c>
      <c r="U19" s="85"/>
      <c r="V19" s="88" t="str">
        <f t="shared" si="4"/>
        <v>http://pbs.twimg.com/profile_images/1589623367031836672/3ht0DvKN_normal.jpg</v>
      </c>
      <c r="W19" s="87">
        <v>44879.920949074076</v>
      </c>
      <c r="X19" s="92">
        <v>44879</v>
      </c>
      <c r="Y19" s="89" t="s">
        <v>243</v>
      </c>
      <c r="Z19" s="88" t="str">
        <f t="shared" si="5"/>
        <v>https://twitter.com/#!/ecawinner12/status/1592277737699278849</v>
      </c>
      <c r="AA19" s="85"/>
      <c r="AB19" s="85"/>
      <c r="AC19" s="89" t="s">
        <v>246</v>
      </c>
      <c r="AD19" s="85"/>
      <c r="AE19" s="85" t="b">
        <v>0</v>
      </c>
      <c r="AF19" s="85">
        <v>0</v>
      </c>
      <c r="AG19" s="89" t="s">
        <v>247</v>
      </c>
      <c r="AH19" s="85" t="b">
        <v>1</v>
      </c>
      <c r="AI19" s="85" t="s">
        <v>249</v>
      </c>
      <c r="AJ19" s="85"/>
      <c r="AK19" s="89" t="s">
        <v>251</v>
      </c>
      <c r="AL19" s="85" t="b">
        <v>0</v>
      </c>
      <c r="AM19" s="85">
        <v>0</v>
      </c>
      <c r="AN19" s="89" t="s">
        <v>247</v>
      </c>
      <c r="AO19" s="89" t="s">
        <v>254</v>
      </c>
      <c r="AP19" s="85" t="b">
        <v>0</v>
      </c>
      <c r="AQ19" s="89" t="s">
        <v>246</v>
      </c>
      <c r="AR19" s="85" t="s">
        <v>176</v>
      </c>
      <c r="AS19" s="85">
        <v>0</v>
      </c>
      <c r="AT19" s="85">
        <v>0</v>
      </c>
      <c r="AU19" s="85"/>
      <c r="AV19" s="85"/>
      <c r="AW19" s="85"/>
      <c r="AX19" s="85"/>
      <c r="AY19" s="85"/>
      <c r="AZ19" s="85"/>
      <c r="BA19" s="85"/>
      <c r="BB19" s="85"/>
      <c r="BC19">
        <v>1</v>
      </c>
      <c r="BD19" s="84" t="str">
        <f>REPLACE(INDEX(GroupVertices[Group],MATCH(Edges[[#This Row],[Vertex 1]],GroupVertices[Vertex],0)),1,1,"")</f>
        <v>1</v>
      </c>
      <c r="BE19" s="84" t="str">
        <f>REPLACE(INDEX(GroupVertices[Group],MATCH(Edges[[#This Row],[Vertex 2]],GroupVertices[Vertex],0)),1,1,"")</f>
        <v>1</v>
      </c>
    </row>
    <row r="20" spans="1:57" ht="45">
      <c r="A20" s="83" t="s">
        <v>216</v>
      </c>
      <c r="B20" s="83" t="s">
        <v>232</v>
      </c>
      <c r="C20" s="54" t="s">
        <v>431</v>
      </c>
      <c r="D20" s="55">
        <v>3</v>
      </c>
      <c r="E20" s="67" t="s">
        <v>132</v>
      </c>
      <c r="F20" s="56">
        <v>35</v>
      </c>
      <c r="G20" s="54"/>
      <c r="H20" s="58"/>
      <c r="I20" s="57"/>
      <c r="J20" s="57"/>
      <c r="K20" s="36" t="s">
        <v>65</v>
      </c>
      <c r="L20" s="82">
        <v>20</v>
      </c>
      <c r="M20" s="82"/>
      <c r="N20" s="64"/>
      <c r="O20" s="85" t="s">
        <v>234</v>
      </c>
      <c r="P20" s="87">
        <v>44879.920949074076</v>
      </c>
      <c r="Q20" s="85" t="s">
        <v>238</v>
      </c>
      <c r="R20" s="88" t="str">
        <f t="shared" si="3"/>
        <v>https://twitter.com/DaylightDeFi/status/1592027045063802880</v>
      </c>
      <c r="S20" s="85" t="s">
        <v>239</v>
      </c>
      <c r="T20" s="89" t="s">
        <v>240</v>
      </c>
      <c r="U20" s="85"/>
      <c r="V20" s="88" t="str">
        <f t="shared" si="4"/>
        <v>http://pbs.twimg.com/profile_images/1589623367031836672/3ht0DvKN_normal.jpg</v>
      </c>
      <c r="W20" s="87">
        <v>44879.920949074076</v>
      </c>
      <c r="X20" s="92">
        <v>44879</v>
      </c>
      <c r="Y20" s="89" t="s">
        <v>243</v>
      </c>
      <c r="Z20" s="88" t="str">
        <f t="shared" si="5"/>
        <v>https://twitter.com/#!/ecawinner12/status/1592277737699278849</v>
      </c>
      <c r="AA20" s="85"/>
      <c r="AB20" s="85"/>
      <c r="AC20" s="89" t="s">
        <v>246</v>
      </c>
      <c r="AD20" s="85"/>
      <c r="AE20" s="85" t="b">
        <v>0</v>
      </c>
      <c r="AF20" s="85">
        <v>0</v>
      </c>
      <c r="AG20" s="89" t="s">
        <v>247</v>
      </c>
      <c r="AH20" s="85" t="b">
        <v>1</v>
      </c>
      <c r="AI20" s="85" t="s">
        <v>249</v>
      </c>
      <c r="AJ20" s="85"/>
      <c r="AK20" s="89" t="s">
        <v>251</v>
      </c>
      <c r="AL20" s="85" t="b">
        <v>0</v>
      </c>
      <c r="AM20" s="85">
        <v>0</v>
      </c>
      <c r="AN20" s="89" t="s">
        <v>247</v>
      </c>
      <c r="AO20" s="89" t="s">
        <v>254</v>
      </c>
      <c r="AP20" s="85" t="b">
        <v>0</v>
      </c>
      <c r="AQ20" s="89" t="s">
        <v>246</v>
      </c>
      <c r="AR20" s="85" t="s">
        <v>176</v>
      </c>
      <c r="AS20" s="85">
        <v>0</v>
      </c>
      <c r="AT20" s="85">
        <v>0</v>
      </c>
      <c r="AU20" s="85"/>
      <c r="AV20" s="85"/>
      <c r="AW20" s="85"/>
      <c r="AX20" s="85"/>
      <c r="AY20" s="85"/>
      <c r="AZ20" s="85"/>
      <c r="BA20" s="85"/>
      <c r="BB20" s="85"/>
      <c r="BC20">
        <v>1</v>
      </c>
      <c r="BD20" s="84" t="str">
        <f>REPLACE(INDEX(GroupVertices[Group],MATCH(Edges[[#This Row],[Vertex 1]],GroupVertices[Vertex],0)),1,1,"")</f>
        <v>1</v>
      </c>
      <c r="BE20"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194</v>
      </c>
      <c r="AU2" s="13" t="s">
        <v>278</v>
      </c>
      <c r="AV2" s="13" t="s">
        <v>279</v>
      </c>
      <c r="AW2" s="13" t="s">
        <v>280</v>
      </c>
      <c r="AX2" s="13" t="s">
        <v>281</v>
      </c>
      <c r="AY2" s="13" t="s">
        <v>282</v>
      </c>
      <c r="AZ2" s="13" t="s">
        <v>283</v>
      </c>
      <c r="BA2" s="13" t="s">
        <v>423</v>
      </c>
      <c r="BB2" s="3"/>
      <c r="BC2" s="3"/>
    </row>
    <row r="3" spans="1:55" ht="15" customHeight="1">
      <c r="A3" s="50" t="s">
        <v>214</v>
      </c>
      <c r="B3" s="54"/>
      <c r="C3" s="54"/>
      <c r="D3" s="55"/>
      <c r="E3" s="56"/>
      <c r="F3" s="115" t="str">
        <f>HYPERLINK("http://pbs.twimg.com/profile_images/1243566199603998720/jbCOpz9L_normal.jpg")</f>
        <v>http://pbs.twimg.com/profile_images/1243566199603998720/jbCOpz9L_normal.jpg</v>
      </c>
      <c r="G3" s="54"/>
      <c r="H3" s="58" t="s">
        <v>214</v>
      </c>
      <c r="I3" s="57"/>
      <c r="J3" s="57"/>
      <c r="K3" s="117" t="s">
        <v>378</v>
      </c>
      <c r="L3" s="60"/>
      <c r="M3" s="61">
        <v>8553.6064453125</v>
      </c>
      <c r="N3" s="61">
        <v>2717.65576171875</v>
      </c>
      <c r="O3" s="59"/>
      <c r="P3" s="62"/>
      <c r="Q3" s="62"/>
      <c r="R3" s="51"/>
      <c r="S3" s="51"/>
      <c r="T3" s="51"/>
      <c r="U3" s="51"/>
      <c r="V3" s="52"/>
      <c r="W3" s="52"/>
      <c r="X3" s="53"/>
      <c r="Y3" s="52"/>
      <c r="Z3" s="52"/>
      <c r="AA3" s="63">
        <v>3</v>
      </c>
      <c r="AB3" s="63"/>
      <c r="AC3" s="64"/>
      <c r="AD3" s="84" t="s">
        <v>303</v>
      </c>
      <c r="AE3" s="93" t="s">
        <v>322</v>
      </c>
      <c r="AF3" s="84">
        <v>2969</v>
      </c>
      <c r="AG3" s="84">
        <v>2045</v>
      </c>
      <c r="AH3" s="84">
        <v>45262</v>
      </c>
      <c r="AI3" s="84">
        <v>8255</v>
      </c>
      <c r="AJ3" s="84"/>
      <c r="AK3" s="84" t="s">
        <v>340</v>
      </c>
      <c r="AL3" s="84" t="s">
        <v>344</v>
      </c>
      <c r="AM3" s="90" t="str">
        <f>HYPERLINK("https://t.co/7yosMySYxc")</f>
        <v>https://t.co/7yosMySYxc</v>
      </c>
      <c r="AN3" s="84"/>
      <c r="AO3" s="86">
        <v>40241.80909722222</v>
      </c>
      <c r="AP3" s="90" t="str">
        <f>HYPERLINK("https://pbs.twimg.com/profile_banners/119826872/1513902394")</f>
        <v>https://pbs.twimg.com/profile_banners/119826872/1513902394</v>
      </c>
      <c r="AQ3" s="84" t="b">
        <v>0</v>
      </c>
      <c r="AR3" s="84" t="b">
        <v>0</v>
      </c>
      <c r="AS3" s="84" t="b">
        <v>1</v>
      </c>
      <c r="AT3" s="84"/>
      <c r="AU3" s="84">
        <v>682</v>
      </c>
      <c r="AV3" s="90" t="str">
        <f>HYPERLINK("http://abs.twimg.com/images/themes/theme1/bg.png")</f>
        <v>http://abs.twimg.com/images/themes/theme1/bg.png</v>
      </c>
      <c r="AW3" s="84" t="b">
        <v>0</v>
      </c>
      <c r="AX3" s="84" t="s">
        <v>358</v>
      </c>
      <c r="AY3" s="90" t="str">
        <f>HYPERLINK("https://twitter.com/ldduval11")</f>
        <v>https://twitter.com/ldduval11</v>
      </c>
      <c r="AZ3" s="84" t="s">
        <v>66</v>
      </c>
      <c r="BA3" s="84" t="str">
        <f>REPLACE(INDEX(GroupVertices[Group],MATCH(Vertices[[#This Row],[Vertex]],GroupVertices[Vertex],0)),1,1,"")</f>
        <v>3</v>
      </c>
      <c r="BB3" s="3"/>
      <c r="BC3" s="3"/>
    </row>
    <row r="4" spans="1:58" ht="15">
      <c r="A4" s="14" t="s">
        <v>233</v>
      </c>
      <c r="B4" s="15"/>
      <c r="C4" s="15"/>
      <c r="D4" s="94"/>
      <c r="E4" s="80"/>
      <c r="F4" s="115" t="str">
        <f>HYPERLINK("http://pbs.twimg.com/profile_images/1415387238356058114/Z8vNaGLL_normal.jpg")</f>
        <v>http://pbs.twimg.com/profile_images/1415387238356058114/Z8vNaGLL_normal.jpg</v>
      </c>
      <c r="G4" s="15"/>
      <c r="H4" s="16" t="s">
        <v>233</v>
      </c>
      <c r="I4" s="68"/>
      <c r="J4" s="68"/>
      <c r="K4" s="117" t="s">
        <v>359</v>
      </c>
      <c r="L4" s="95"/>
      <c r="M4" s="96">
        <v>8553.6064453125</v>
      </c>
      <c r="N4" s="96">
        <v>1015.5234375</v>
      </c>
      <c r="O4" s="78"/>
      <c r="P4" s="97"/>
      <c r="Q4" s="97"/>
      <c r="R4" s="98"/>
      <c r="S4" s="98"/>
      <c r="T4" s="98"/>
      <c r="U4" s="98"/>
      <c r="V4" s="53"/>
      <c r="W4" s="53"/>
      <c r="X4" s="53"/>
      <c r="Y4" s="53"/>
      <c r="Z4" s="52"/>
      <c r="AA4" s="81">
        <v>4</v>
      </c>
      <c r="AB4" s="81"/>
      <c r="AC4" s="99"/>
      <c r="AD4" s="84" t="s">
        <v>284</v>
      </c>
      <c r="AE4" s="93" t="s">
        <v>304</v>
      </c>
      <c r="AF4" s="84">
        <v>3711</v>
      </c>
      <c r="AG4" s="84">
        <v>1766</v>
      </c>
      <c r="AH4" s="84">
        <v>4654</v>
      </c>
      <c r="AI4" s="84">
        <v>12118</v>
      </c>
      <c r="AJ4" s="84"/>
      <c r="AK4" s="84" t="s">
        <v>323</v>
      </c>
      <c r="AL4" s="84" t="s">
        <v>341</v>
      </c>
      <c r="AM4" s="90" t="str">
        <f>HYPERLINK("https://t.co/r8KupEODW2")</f>
        <v>https://t.co/r8KupEODW2</v>
      </c>
      <c r="AN4" s="84"/>
      <c r="AO4" s="86">
        <v>40927.97793981482</v>
      </c>
      <c r="AP4" s="90" t="str">
        <f>HYPERLINK("https://pbs.twimg.com/profile_banners/468825971/1630512162")</f>
        <v>https://pbs.twimg.com/profile_banners/468825971/1630512162</v>
      </c>
      <c r="AQ4" s="84" t="b">
        <v>0</v>
      </c>
      <c r="AR4" s="84" t="b">
        <v>0</v>
      </c>
      <c r="AS4" s="84" t="b">
        <v>0</v>
      </c>
      <c r="AT4" s="84"/>
      <c r="AU4" s="84">
        <v>70</v>
      </c>
      <c r="AV4" s="90" t="str">
        <f>HYPERLINK("http://abs.twimg.com/images/themes/theme14/bg.gif")</f>
        <v>http://abs.twimg.com/images/themes/theme14/bg.gif</v>
      </c>
      <c r="AW4" s="84" t="b">
        <v>0</v>
      </c>
      <c r="AX4" s="84" t="s">
        <v>358</v>
      </c>
      <c r="AY4" s="90" t="str">
        <f>HYPERLINK("https://twitter.com/sfdenyse")</f>
        <v>https://twitter.com/sfdenyse</v>
      </c>
      <c r="AZ4" s="84" t="s">
        <v>65</v>
      </c>
      <c r="BA4" s="84" t="str">
        <f>REPLACE(INDEX(GroupVertices[Group],MATCH(Vertices[[#This Row],[Vertex]],GroupVertices[Vertex],0)),1,1,"")</f>
        <v>3</v>
      </c>
      <c r="BB4" s="2"/>
      <c r="BC4" s="3"/>
      <c r="BD4" s="3"/>
      <c r="BE4" s="3"/>
      <c r="BF4" s="3"/>
    </row>
    <row r="5" spans="1:58" ht="15">
      <c r="A5" s="14" t="s">
        <v>217</v>
      </c>
      <c r="B5" s="15"/>
      <c r="C5" s="15"/>
      <c r="D5" s="94"/>
      <c r="E5" s="80"/>
      <c r="F5" s="115" t="str">
        <f>HYPERLINK("http://pbs.twimg.com/profile_images/3153937597/187eade31454bf4566fac2581fbe61f4_normal.png")</f>
        <v>http://pbs.twimg.com/profile_images/3153937597/187eade31454bf4566fac2581fbe61f4_normal.png</v>
      </c>
      <c r="G5" s="15"/>
      <c r="H5" s="16" t="s">
        <v>217</v>
      </c>
      <c r="I5" s="68"/>
      <c r="J5" s="68"/>
      <c r="K5" s="117" t="s">
        <v>360</v>
      </c>
      <c r="L5" s="95"/>
      <c r="M5" s="96">
        <v>5894.54345703125</v>
      </c>
      <c r="N5" s="96">
        <v>1015.5234375</v>
      </c>
      <c r="O5" s="78"/>
      <c r="P5" s="97"/>
      <c r="Q5" s="97"/>
      <c r="R5" s="98"/>
      <c r="S5" s="98"/>
      <c r="T5" s="98"/>
      <c r="U5" s="98"/>
      <c r="V5" s="53"/>
      <c r="W5" s="53"/>
      <c r="X5" s="53"/>
      <c r="Y5" s="53"/>
      <c r="Z5" s="52"/>
      <c r="AA5" s="81">
        <v>5</v>
      </c>
      <c r="AB5" s="81"/>
      <c r="AC5" s="99"/>
      <c r="AD5" s="84" t="s">
        <v>285</v>
      </c>
      <c r="AE5" s="93" t="s">
        <v>305</v>
      </c>
      <c r="AF5" s="84">
        <v>1633</v>
      </c>
      <c r="AG5" s="84">
        <v>6149</v>
      </c>
      <c r="AH5" s="84">
        <v>11286</v>
      </c>
      <c r="AI5" s="84">
        <v>3816</v>
      </c>
      <c r="AJ5" s="84"/>
      <c r="AK5" s="84" t="s">
        <v>324</v>
      </c>
      <c r="AL5" s="84" t="s">
        <v>342</v>
      </c>
      <c r="AM5" s="90" t="str">
        <f>HYPERLINK("http://latinageeks.com/")</f>
        <v>http://latinageeks.com/</v>
      </c>
      <c r="AN5" s="84"/>
      <c r="AO5" s="86">
        <v>41095.9425462963</v>
      </c>
      <c r="AP5" s="90" t="str">
        <f>HYPERLINK("https://pbs.twimg.com/profile_banners/627801443/1567645591")</f>
        <v>https://pbs.twimg.com/profile_banners/627801443/1567645591</v>
      </c>
      <c r="AQ5" s="84" t="b">
        <v>0</v>
      </c>
      <c r="AR5" s="84" t="b">
        <v>0</v>
      </c>
      <c r="AS5" s="84" t="b">
        <v>1</v>
      </c>
      <c r="AT5" s="84"/>
      <c r="AU5" s="84">
        <v>401</v>
      </c>
      <c r="AV5" s="90" t="str">
        <f>HYPERLINK("http://abs.twimg.com/images/themes/theme1/bg.png")</f>
        <v>http://abs.twimg.com/images/themes/theme1/bg.png</v>
      </c>
      <c r="AW5" s="84" t="b">
        <v>0</v>
      </c>
      <c r="AX5" s="84" t="s">
        <v>358</v>
      </c>
      <c r="AY5" s="90" t="str">
        <f>HYPERLINK("https://twitter.com/latinageeks")</f>
        <v>https://twitter.com/latinageeks</v>
      </c>
      <c r="AZ5" s="84" t="s">
        <v>65</v>
      </c>
      <c r="BA5" s="84" t="str">
        <f>REPLACE(INDEX(GroupVertices[Group],MATCH(Vertices[[#This Row],[Vertex]],GroupVertices[Vertex],0)),1,1,"")</f>
        <v>3</v>
      </c>
      <c r="BB5" s="2"/>
      <c r="BC5" s="3"/>
      <c r="BD5" s="3"/>
      <c r="BE5" s="3"/>
      <c r="BF5" s="3"/>
    </row>
    <row r="6" spans="1:58" ht="15">
      <c r="A6" s="14" t="s">
        <v>218</v>
      </c>
      <c r="B6" s="15"/>
      <c r="C6" s="15"/>
      <c r="D6" s="94"/>
      <c r="E6" s="80"/>
      <c r="F6" s="115" t="str">
        <f>HYPERLINK("http://pbs.twimg.com/profile_images/378800000837907359/8a3c011a700fd8f1ce08b6d51d84837f_normal.jpeg")</f>
        <v>http://pbs.twimg.com/profile_images/378800000837907359/8a3c011a700fd8f1ce08b6d51d84837f_normal.jpeg</v>
      </c>
      <c r="G6" s="15"/>
      <c r="H6" s="16" t="s">
        <v>218</v>
      </c>
      <c r="I6" s="68"/>
      <c r="J6" s="68"/>
      <c r="K6" s="117" t="s">
        <v>361</v>
      </c>
      <c r="L6" s="95"/>
      <c r="M6" s="96">
        <v>5894.54345703125</v>
      </c>
      <c r="N6" s="96">
        <v>2717.65576171875</v>
      </c>
      <c r="O6" s="78"/>
      <c r="P6" s="97"/>
      <c r="Q6" s="97"/>
      <c r="R6" s="98"/>
      <c r="S6" s="98"/>
      <c r="T6" s="98"/>
      <c r="U6" s="98"/>
      <c r="V6" s="53"/>
      <c r="W6" s="53"/>
      <c r="X6" s="53"/>
      <c r="Y6" s="53"/>
      <c r="Z6" s="52"/>
      <c r="AA6" s="81">
        <v>6</v>
      </c>
      <c r="AB6" s="81"/>
      <c r="AC6" s="99"/>
      <c r="AD6" s="84" t="s">
        <v>286</v>
      </c>
      <c r="AE6" s="93" t="s">
        <v>306</v>
      </c>
      <c r="AF6" s="84">
        <v>2749</v>
      </c>
      <c r="AG6" s="84">
        <v>11475</v>
      </c>
      <c r="AH6" s="84">
        <v>23018</v>
      </c>
      <c r="AI6" s="84">
        <v>5994</v>
      </c>
      <c r="AJ6" s="84"/>
      <c r="AK6" s="84" t="s">
        <v>325</v>
      </c>
      <c r="AL6" s="84" t="s">
        <v>343</v>
      </c>
      <c r="AM6" s="90" t="str">
        <f>HYPERLINK("https://t.co/wnpJLC2diZ")</f>
        <v>https://t.co/wnpJLC2diZ</v>
      </c>
      <c r="AN6" s="84"/>
      <c r="AO6" s="86">
        <v>39568.9678125</v>
      </c>
      <c r="AP6" s="90" t="str">
        <f>HYPERLINK("https://pbs.twimg.com/profile_banners/14607461/1624469599")</f>
        <v>https://pbs.twimg.com/profile_banners/14607461/1624469599</v>
      </c>
      <c r="AQ6" s="84" t="b">
        <v>0</v>
      </c>
      <c r="AR6" s="84" t="b">
        <v>0</v>
      </c>
      <c r="AS6" s="84" t="b">
        <v>1</v>
      </c>
      <c r="AT6" s="84"/>
      <c r="AU6" s="84">
        <v>669</v>
      </c>
      <c r="AV6" s="90" t="str">
        <f>HYPERLINK("http://abs.twimg.com/images/themes/theme15/bg.png")</f>
        <v>http://abs.twimg.com/images/themes/theme15/bg.png</v>
      </c>
      <c r="AW6" s="84" t="b">
        <v>0</v>
      </c>
      <c r="AX6" s="84" t="s">
        <v>358</v>
      </c>
      <c r="AY6" s="90" t="str">
        <f>HYPERLINK("https://twitter.com/svforum")</f>
        <v>https://twitter.com/svforum</v>
      </c>
      <c r="AZ6" s="84" t="s">
        <v>65</v>
      </c>
      <c r="BA6" s="84" t="str">
        <f>REPLACE(INDEX(GroupVertices[Group],MATCH(Vertices[[#This Row],[Vertex]],GroupVertices[Vertex],0)),1,1,"")</f>
        <v>3</v>
      </c>
      <c r="BB6" s="2"/>
      <c r="BC6" s="3"/>
      <c r="BD6" s="3"/>
      <c r="BE6" s="3"/>
      <c r="BF6" s="3"/>
    </row>
    <row r="7" spans="1:58" ht="15">
      <c r="A7" s="14" t="s">
        <v>215</v>
      </c>
      <c r="B7" s="15"/>
      <c r="C7" s="15"/>
      <c r="D7" s="94"/>
      <c r="E7" s="80"/>
      <c r="F7" s="115" t="str">
        <f>HYPERLINK("http://pbs.twimg.com/profile_images/1379400774980014083/ZqQkJHUi_normal.jpg")</f>
        <v>http://pbs.twimg.com/profile_images/1379400774980014083/ZqQkJHUi_normal.jpg</v>
      </c>
      <c r="G7" s="15"/>
      <c r="H7" s="16" t="s">
        <v>215</v>
      </c>
      <c r="I7" s="68"/>
      <c r="J7" s="68"/>
      <c r="K7" s="117" t="s">
        <v>362</v>
      </c>
      <c r="L7" s="95"/>
      <c r="M7" s="96">
        <v>7224.07470703125</v>
      </c>
      <c r="N7" s="96">
        <v>6783.86083984375</v>
      </c>
      <c r="O7" s="78"/>
      <c r="P7" s="97"/>
      <c r="Q7" s="97"/>
      <c r="R7" s="98"/>
      <c r="S7" s="98"/>
      <c r="T7" s="98"/>
      <c r="U7" s="98"/>
      <c r="V7" s="53"/>
      <c r="W7" s="53"/>
      <c r="X7" s="53"/>
      <c r="Y7" s="53"/>
      <c r="Z7" s="52"/>
      <c r="AA7" s="81">
        <v>7</v>
      </c>
      <c r="AB7" s="81"/>
      <c r="AC7" s="99"/>
      <c r="AD7" s="84" t="s">
        <v>287</v>
      </c>
      <c r="AE7" s="93" t="s">
        <v>307</v>
      </c>
      <c r="AF7" s="84">
        <v>4619</v>
      </c>
      <c r="AG7" s="84">
        <v>636</v>
      </c>
      <c r="AH7" s="84">
        <v>5770</v>
      </c>
      <c r="AI7" s="84">
        <v>156</v>
      </c>
      <c r="AJ7" s="84"/>
      <c r="AK7" s="84" t="s">
        <v>326</v>
      </c>
      <c r="AL7" s="84" t="s">
        <v>344</v>
      </c>
      <c r="AM7" s="90" t="str">
        <f>HYPERLINK("https://t.co/pOHrpq8iqC")</f>
        <v>https://t.co/pOHrpq8iqC</v>
      </c>
      <c r="AN7" s="84"/>
      <c r="AO7" s="86">
        <v>41856.34877314815</v>
      </c>
      <c r="AP7" s="90" t="str">
        <f>HYPERLINK("https://pbs.twimg.com/profile_banners/2708762197/1617709748")</f>
        <v>https://pbs.twimg.com/profile_banners/2708762197/1617709748</v>
      </c>
      <c r="AQ7" s="84" t="b">
        <v>0</v>
      </c>
      <c r="AR7" s="84" t="b">
        <v>0</v>
      </c>
      <c r="AS7" s="84" t="b">
        <v>0</v>
      </c>
      <c r="AT7" s="84"/>
      <c r="AU7" s="84">
        <v>41</v>
      </c>
      <c r="AV7" s="90" t="str">
        <f>HYPERLINK("http://abs.twimg.com/images/themes/theme1/bg.png")</f>
        <v>http://abs.twimg.com/images/themes/theme1/bg.png</v>
      </c>
      <c r="AW7" s="84" t="b">
        <v>0</v>
      </c>
      <c r="AX7" s="84" t="s">
        <v>358</v>
      </c>
      <c r="AY7" s="90" t="str">
        <f>HYPERLINK("https://twitter.com/nkoopatrice")</f>
        <v>https://twitter.com/nkoopatrice</v>
      </c>
      <c r="AZ7" s="84" t="s">
        <v>66</v>
      </c>
      <c r="BA7" s="84" t="str">
        <f>REPLACE(INDEX(GroupVertices[Group],MATCH(Vertices[[#This Row],[Vertex]],GroupVertices[Vertex],0)),1,1,"")</f>
        <v>2</v>
      </c>
      <c r="BB7" s="2"/>
      <c r="BC7" s="3"/>
      <c r="BD7" s="3"/>
      <c r="BE7" s="3"/>
      <c r="BF7" s="3"/>
    </row>
    <row r="8" spans="1:58" ht="15">
      <c r="A8" s="14" t="s">
        <v>219</v>
      </c>
      <c r="B8" s="15"/>
      <c r="C8" s="15"/>
      <c r="D8" s="94"/>
      <c r="E8" s="80"/>
      <c r="F8" s="115" t="str">
        <f>HYPERLINK("http://pbs.twimg.com/profile_images/1279513564793802752/UqI_jHb5_normal.jpg")</f>
        <v>http://pbs.twimg.com/profile_images/1279513564793802752/UqI_jHb5_normal.jpg</v>
      </c>
      <c r="G8" s="15"/>
      <c r="H8" s="16" t="s">
        <v>219</v>
      </c>
      <c r="I8" s="68"/>
      <c r="J8" s="68"/>
      <c r="K8" s="117" t="s">
        <v>363</v>
      </c>
      <c r="L8" s="95"/>
      <c r="M8" s="96">
        <v>9883.13671875</v>
      </c>
      <c r="N8" s="96">
        <v>5492.88232421875</v>
      </c>
      <c r="O8" s="78"/>
      <c r="P8" s="97"/>
      <c r="Q8" s="97"/>
      <c r="R8" s="98"/>
      <c r="S8" s="98"/>
      <c r="T8" s="98"/>
      <c r="U8" s="98"/>
      <c r="V8" s="53"/>
      <c r="W8" s="53"/>
      <c r="X8" s="53"/>
      <c r="Y8" s="53"/>
      <c r="Z8" s="52"/>
      <c r="AA8" s="81">
        <v>8</v>
      </c>
      <c r="AB8" s="81"/>
      <c r="AC8" s="99"/>
      <c r="AD8" s="84" t="s">
        <v>288</v>
      </c>
      <c r="AE8" s="93" t="s">
        <v>308</v>
      </c>
      <c r="AF8" s="84">
        <v>97</v>
      </c>
      <c r="AG8" s="84">
        <v>119100</v>
      </c>
      <c r="AH8" s="84">
        <v>9528</v>
      </c>
      <c r="AI8" s="84">
        <v>6</v>
      </c>
      <c r="AJ8" s="84"/>
      <c r="AK8" s="84" t="s">
        <v>327</v>
      </c>
      <c r="AL8" s="84" t="s">
        <v>345</v>
      </c>
      <c r="AM8" s="90" t="str">
        <f>HYPERLINK("https://t.co/fNaf6nMEEs")</f>
        <v>https://t.co/fNaf6nMEEs</v>
      </c>
      <c r="AN8" s="84"/>
      <c r="AO8" s="86">
        <v>40237.14450231481</v>
      </c>
      <c r="AP8" s="90" t="str">
        <f>HYPERLINK("https://pbs.twimg.com/profile_banners/118263124/1660243016")</f>
        <v>https://pbs.twimg.com/profile_banners/118263124/1660243016</v>
      </c>
      <c r="AQ8" s="84" t="b">
        <v>0</v>
      </c>
      <c r="AR8" s="84" t="b">
        <v>0</v>
      </c>
      <c r="AS8" s="84" t="b">
        <v>0</v>
      </c>
      <c r="AT8" s="84"/>
      <c r="AU8" s="84">
        <v>2740</v>
      </c>
      <c r="AV8" s="90" t="str">
        <f>HYPERLINK("http://abs.twimg.com/images/themes/theme1/bg.png")</f>
        <v>http://abs.twimg.com/images/themes/theme1/bg.png</v>
      </c>
      <c r="AW8" s="84" t="b">
        <v>0</v>
      </c>
      <c r="AX8" s="84" t="s">
        <v>358</v>
      </c>
      <c r="AY8" s="90" t="str">
        <f>HYPERLINK("https://twitter.com/stanfordnlp")</f>
        <v>https://twitter.com/stanfordnlp</v>
      </c>
      <c r="AZ8" s="84" t="s">
        <v>65</v>
      </c>
      <c r="BA8" s="84" t="str">
        <f>REPLACE(INDEX(GroupVertices[Group],MATCH(Vertices[[#This Row],[Vertex]],GroupVertices[Vertex],0)),1,1,"")</f>
        <v>2</v>
      </c>
      <c r="BB8" s="2"/>
      <c r="BC8" s="3"/>
      <c r="BD8" s="3"/>
      <c r="BE8" s="3"/>
      <c r="BF8" s="3"/>
    </row>
    <row r="9" spans="1:58" ht="15">
      <c r="A9" s="14" t="s">
        <v>220</v>
      </c>
      <c r="B9" s="15"/>
      <c r="C9" s="15"/>
      <c r="D9" s="94"/>
      <c r="E9" s="80"/>
      <c r="F9" s="115" t="str">
        <f>HYPERLINK("http://pbs.twimg.com/profile_images/1265766729604427776/hS26SEXi_normal.jpg")</f>
        <v>http://pbs.twimg.com/profile_images/1265766729604427776/hS26SEXi_normal.jpg</v>
      </c>
      <c r="G9" s="15"/>
      <c r="H9" s="16" t="s">
        <v>220</v>
      </c>
      <c r="I9" s="68"/>
      <c r="J9" s="68"/>
      <c r="K9" s="117" t="s">
        <v>364</v>
      </c>
      <c r="L9" s="95"/>
      <c r="M9" s="96">
        <v>6964.9755859375</v>
      </c>
      <c r="N9" s="96">
        <v>9834.54296875</v>
      </c>
      <c r="O9" s="78"/>
      <c r="P9" s="97"/>
      <c r="Q9" s="97"/>
      <c r="R9" s="98"/>
      <c r="S9" s="98"/>
      <c r="T9" s="98"/>
      <c r="U9" s="98"/>
      <c r="V9" s="53"/>
      <c r="W9" s="53"/>
      <c r="X9" s="53"/>
      <c r="Y9" s="53"/>
      <c r="Z9" s="52"/>
      <c r="AA9" s="81">
        <v>9</v>
      </c>
      <c r="AB9" s="81"/>
      <c r="AC9" s="99"/>
      <c r="AD9" s="84" t="s">
        <v>289</v>
      </c>
      <c r="AE9" s="93" t="s">
        <v>309</v>
      </c>
      <c r="AF9" s="84">
        <v>3119</v>
      </c>
      <c r="AG9" s="84">
        <v>18095</v>
      </c>
      <c r="AH9" s="84">
        <v>7160</v>
      </c>
      <c r="AI9" s="84">
        <v>2673</v>
      </c>
      <c r="AJ9" s="84"/>
      <c r="AK9" s="84" t="s">
        <v>328</v>
      </c>
      <c r="AL9" s="84" t="s">
        <v>346</v>
      </c>
      <c r="AM9" s="90" t="str">
        <f>HYPERLINK("https://t.co/6MovTIL7mO")</f>
        <v>https://t.co/6MovTIL7mO</v>
      </c>
      <c r="AN9" s="84"/>
      <c r="AO9" s="86">
        <v>40093.78739583334</v>
      </c>
      <c r="AP9" s="90" t="str">
        <f>HYPERLINK("https://pbs.twimg.com/profile_banners/80651045/1632497369")</f>
        <v>https://pbs.twimg.com/profile_banners/80651045/1632497369</v>
      </c>
      <c r="AQ9" s="84" t="b">
        <v>0</v>
      </c>
      <c r="AR9" s="84" t="b">
        <v>0</v>
      </c>
      <c r="AS9" s="84" t="b">
        <v>1</v>
      </c>
      <c r="AT9" s="84"/>
      <c r="AU9" s="84">
        <v>346</v>
      </c>
      <c r="AV9" s="90" t="str">
        <f>HYPERLINK("http://abs.twimg.com/images/themes/theme9/bg.gif")</f>
        <v>http://abs.twimg.com/images/themes/theme9/bg.gif</v>
      </c>
      <c r="AW9" s="84" t="b">
        <v>1</v>
      </c>
      <c r="AX9" s="84" t="s">
        <v>358</v>
      </c>
      <c r="AY9" s="90" t="str">
        <f>HYPERLINK("https://twitter.com/cityofpaloalto")</f>
        <v>https://twitter.com/cityofpaloalto</v>
      </c>
      <c r="AZ9" s="84" t="s">
        <v>65</v>
      </c>
      <c r="BA9" s="84" t="str">
        <f>REPLACE(INDEX(GroupVertices[Group],MATCH(Vertices[[#This Row],[Vertex]],GroupVertices[Vertex],0)),1,1,"")</f>
        <v>2</v>
      </c>
      <c r="BB9" s="2"/>
      <c r="BC9" s="3"/>
      <c r="BD9" s="3"/>
      <c r="BE9" s="3"/>
      <c r="BF9" s="3"/>
    </row>
    <row r="10" spans="1:58" ht="15">
      <c r="A10" s="14" t="s">
        <v>221</v>
      </c>
      <c r="B10" s="15"/>
      <c r="C10" s="15"/>
      <c r="D10" s="94"/>
      <c r="E10" s="80"/>
      <c r="F10" s="115" t="str">
        <f>HYPERLINK("http://pbs.twimg.com/profile_images/875407795012730881/DbS87-4R_normal.jpg")</f>
        <v>http://pbs.twimg.com/profile_images/875407795012730881/DbS87-4R_normal.jpg</v>
      </c>
      <c r="G10" s="15"/>
      <c r="H10" s="16" t="s">
        <v>221</v>
      </c>
      <c r="I10" s="68"/>
      <c r="J10" s="68"/>
      <c r="K10" s="117" t="s">
        <v>365</v>
      </c>
      <c r="L10" s="95"/>
      <c r="M10" s="96">
        <v>9624.037109375</v>
      </c>
      <c r="N10" s="96">
        <v>8543.5634765625</v>
      </c>
      <c r="O10" s="78"/>
      <c r="P10" s="97"/>
      <c r="Q10" s="97"/>
      <c r="R10" s="98"/>
      <c r="S10" s="98"/>
      <c r="T10" s="98"/>
      <c r="U10" s="98"/>
      <c r="V10" s="53"/>
      <c r="W10" s="53"/>
      <c r="X10" s="53"/>
      <c r="Y10" s="53"/>
      <c r="Z10" s="52"/>
      <c r="AA10" s="81">
        <v>10</v>
      </c>
      <c r="AB10" s="81"/>
      <c r="AC10" s="99"/>
      <c r="AD10" s="84" t="s">
        <v>290</v>
      </c>
      <c r="AE10" s="93" t="s">
        <v>310</v>
      </c>
      <c r="AF10" s="84">
        <v>96</v>
      </c>
      <c r="AG10" s="84">
        <v>18800</v>
      </c>
      <c r="AH10" s="84">
        <v>14842</v>
      </c>
      <c r="AI10" s="84">
        <v>132</v>
      </c>
      <c r="AJ10" s="84"/>
      <c r="AK10" s="84" t="s">
        <v>329</v>
      </c>
      <c r="AL10" s="84" t="s">
        <v>347</v>
      </c>
      <c r="AM10" s="90" t="str">
        <f>HYPERLINK("http://www.VFHIVE.COM")</f>
        <v>http://www.VFHIVE.COM</v>
      </c>
      <c r="AN10" s="84"/>
      <c r="AO10" s="86">
        <v>42375.003171296295</v>
      </c>
      <c r="AP10" s="90" t="str">
        <f>HYPERLINK("https://pbs.twimg.com/profile_banners/4719519395/1464105230")</f>
        <v>https://pbs.twimg.com/profile_banners/4719519395/1464105230</v>
      </c>
      <c r="AQ10" s="84" t="b">
        <v>1</v>
      </c>
      <c r="AR10" s="84" t="b">
        <v>0</v>
      </c>
      <c r="AS10" s="84" t="b">
        <v>0</v>
      </c>
      <c r="AT10" s="84"/>
      <c r="AU10" s="84">
        <v>0</v>
      </c>
      <c r="AV10" s="84"/>
      <c r="AW10" s="84" t="b">
        <v>1</v>
      </c>
      <c r="AX10" s="84" t="s">
        <v>358</v>
      </c>
      <c r="AY10" s="90" t="str">
        <f>HYPERLINK("https://twitter.com/vfhive")</f>
        <v>https://twitter.com/vfhive</v>
      </c>
      <c r="AZ10" s="84" t="s">
        <v>65</v>
      </c>
      <c r="BA10" s="84" t="str">
        <f>REPLACE(INDEX(GroupVertices[Group],MATCH(Vertices[[#This Row],[Vertex]],GroupVertices[Vertex],0)),1,1,"")</f>
        <v>2</v>
      </c>
      <c r="BB10" s="2"/>
      <c r="BC10" s="3"/>
      <c r="BD10" s="3"/>
      <c r="BE10" s="3"/>
      <c r="BF10" s="3"/>
    </row>
    <row r="11" spans="1:58" ht="15">
      <c r="A11" s="14" t="s">
        <v>222</v>
      </c>
      <c r="B11" s="15"/>
      <c r="C11" s="15"/>
      <c r="D11" s="94"/>
      <c r="E11" s="80"/>
      <c r="F11" s="115" t="str">
        <f>HYPERLINK("http://pbs.twimg.com/profile_images/1494019756470550528/_MMzlQf5_normal.jpg")</f>
        <v>http://pbs.twimg.com/profile_images/1494019756470550528/_MMzlQf5_normal.jpg</v>
      </c>
      <c r="G11" s="15"/>
      <c r="H11" s="16" t="s">
        <v>222</v>
      </c>
      <c r="I11" s="68"/>
      <c r="J11" s="68"/>
      <c r="K11" s="117" t="s">
        <v>366</v>
      </c>
      <c r="L11" s="95"/>
      <c r="M11" s="96">
        <v>4565.0126953125</v>
      </c>
      <c r="N11" s="96">
        <v>8074.83984375</v>
      </c>
      <c r="O11" s="78"/>
      <c r="P11" s="97"/>
      <c r="Q11" s="97"/>
      <c r="R11" s="98"/>
      <c r="S11" s="98"/>
      <c r="T11" s="98"/>
      <c r="U11" s="98"/>
      <c r="V11" s="53"/>
      <c r="W11" s="53"/>
      <c r="X11" s="53"/>
      <c r="Y11" s="53"/>
      <c r="Z11" s="52"/>
      <c r="AA11" s="81">
        <v>11</v>
      </c>
      <c r="AB11" s="81"/>
      <c r="AC11" s="99"/>
      <c r="AD11" s="84" t="s">
        <v>291</v>
      </c>
      <c r="AE11" s="93" t="s">
        <v>311</v>
      </c>
      <c r="AF11" s="84">
        <v>941</v>
      </c>
      <c r="AG11" s="84">
        <v>2702</v>
      </c>
      <c r="AH11" s="84">
        <v>3040</v>
      </c>
      <c r="AI11" s="84">
        <v>1135</v>
      </c>
      <c r="AJ11" s="84"/>
      <c r="AK11" s="84" t="s">
        <v>330</v>
      </c>
      <c r="AL11" s="84" t="s">
        <v>348</v>
      </c>
      <c r="AM11" s="90" t="str">
        <f>HYPERLINK("http://sjfairelections.com")</f>
        <v>http://sjfairelections.com</v>
      </c>
      <c r="AN11" s="84"/>
      <c r="AO11" s="86">
        <v>42041.808703703704</v>
      </c>
      <c r="AP11" s="90" t="str">
        <f>HYPERLINK("https://pbs.twimg.com/profile_banners/3011651401/1654472183")</f>
        <v>https://pbs.twimg.com/profile_banners/3011651401/1654472183</v>
      </c>
      <c r="AQ11" s="84" t="b">
        <v>0</v>
      </c>
      <c r="AR11" s="84" t="b">
        <v>0</v>
      </c>
      <c r="AS11" s="84" t="b">
        <v>1</v>
      </c>
      <c r="AT11" s="84"/>
      <c r="AU11" s="84">
        <v>75</v>
      </c>
      <c r="AV11" s="90" t="str">
        <f>HYPERLINK("http://abs.twimg.com/images/themes/theme1/bg.png")</f>
        <v>http://abs.twimg.com/images/themes/theme1/bg.png</v>
      </c>
      <c r="AW11" s="84" t="b">
        <v>0</v>
      </c>
      <c r="AX11" s="84" t="s">
        <v>358</v>
      </c>
      <c r="AY11" s="90" t="str">
        <f>HYPERLINK("https://twitter.com/svrising")</f>
        <v>https://twitter.com/svrising</v>
      </c>
      <c r="AZ11" s="84" t="s">
        <v>65</v>
      </c>
      <c r="BA11" s="84" t="str">
        <f>REPLACE(INDEX(GroupVertices[Group],MATCH(Vertices[[#This Row],[Vertex]],GroupVertices[Vertex],0)),1,1,"")</f>
        <v>2</v>
      </c>
      <c r="BB11" s="2"/>
      <c r="BC11" s="3"/>
      <c r="BD11" s="3"/>
      <c r="BE11" s="3"/>
      <c r="BF11" s="3"/>
    </row>
    <row r="12" spans="1:58" ht="15">
      <c r="A12" s="14" t="s">
        <v>223</v>
      </c>
      <c r="B12" s="15"/>
      <c r="C12" s="15"/>
      <c r="D12" s="94"/>
      <c r="E12" s="80"/>
      <c r="F12" s="115" t="str">
        <f>HYPERLINK("http://pbs.twimg.com/profile_images/1516169359625883649/SBUgVWpn_normal.png")</f>
        <v>http://pbs.twimg.com/profile_images/1516169359625883649/SBUgVWpn_normal.png</v>
      </c>
      <c r="G12" s="15"/>
      <c r="H12" s="16" t="s">
        <v>223</v>
      </c>
      <c r="I12" s="68"/>
      <c r="J12" s="68"/>
      <c r="K12" s="117" t="s">
        <v>367</v>
      </c>
      <c r="L12" s="95"/>
      <c r="M12" s="96">
        <v>7483.173828125</v>
      </c>
      <c r="N12" s="96">
        <v>3733.17919921875</v>
      </c>
      <c r="O12" s="78"/>
      <c r="P12" s="97"/>
      <c r="Q12" s="97"/>
      <c r="R12" s="98"/>
      <c r="S12" s="98"/>
      <c r="T12" s="98"/>
      <c r="U12" s="98"/>
      <c r="V12" s="53"/>
      <c r="W12" s="53"/>
      <c r="X12" s="53"/>
      <c r="Y12" s="53"/>
      <c r="Z12" s="52"/>
      <c r="AA12" s="81">
        <v>12</v>
      </c>
      <c r="AB12" s="81"/>
      <c r="AC12" s="99"/>
      <c r="AD12" s="84" t="s">
        <v>292</v>
      </c>
      <c r="AE12" s="93" t="s">
        <v>312</v>
      </c>
      <c r="AF12" s="84">
        <v>1686</v>
      </c>
      <c r="AG12" s="84">
        <v>38722</v>
      </c>
      <c r="AH12" s="84">
        <v>21136</v>
      </c>
      <c r="AI12" s="84">
        <v>21319</v>
      </c>
      <c r="AJ12" s="84"/>
      <c r="AK12" s="84" t="s">
        <v>331</v>
      </c>
      <c r="AL12" s="84" t="s">
        <v>349</v>
      </c>
      <c r="AM12" s="90" t="str">
        <f>HYPERLINK("https://t.co/ZEoYvgHaGL")</f>
        <v>https://t.co/ZEoYvgHaGL</v>
      </c>
      <c r="AN12" s="84"/>
      <c r="AO12" s="86">
        <v>39766.91945601852</v>
      </c>
      <c r="AP12" s="90" t="str">
        <f>HYPERLINK("https://pbs.twimg.com/profile_banners/17396865/1650317920")</f>
        <v>https://pbs.twimg.com/profile_banners/17396865/1650317920</v>
      </c>
      <c r="AQ12" s="84" t="b">
        <v>0</v>
      </c>
      <c r="AR12" s="84" t="b">
        <v>0</v>
      </c>
      <c r="AS12" s="84" t="b">
        <v>1</v>
      </c>
      <c r="AT12" s="84"/>
      <c r="AU12" s="84">
        <v>1322</v>
      </c>
      <c r="AV12" s="90" t="str">
        <f>HYPERLINK("http://abs.twimg.com/images/themes/theme4/bg.gif")</f>
        <v>http://abs.twimg.com/images/themes/theme4/bg.gif</v>
      </c>
      <c r="AW12" s="84" t="b">
        <v>1</v>
      </c>
      <c r="AX12" s="84" t="s">
        <v>358</v>
      </c>
      <c r="AY12" s="90" t="str">
        <f>HYPERLINK("https://twitter.com/svb_financial")</f>
        <v>https://twitter.com/svb_financial</v>
      </c>
      <c r="AZ12" s="84" t="s">
        <v>65</v>
      </c>
      <c r="BA12" s="84" t="str">
        <f>REPLACE(INDEX(GroupVertices[Group],MATCH(Vertices[[#This Row],[Vertex]],GroupVertices[Vertex],0)),1,1,"")</f>
        <v>2</v>
      </c>
      <c r="BB12" s="2"/>
      <c r="BC12" s="3"/>
      <c r="BD12" s="3"/>
      <c r="BE12" s="3"/>
      <c r="BF12" s="3"/>
    </row>
    <row r="13" spans="1:58" ht="15">
      <c r="A13" s="14" t="s">
        <v>224</v>
      </c>
      <c r="B13" s="15"/>
      <c r="C13" s="15"/>
      <c r="D13" s="94"/>
      <c r="E13" s="80"/>
      <c r="F13" s="115" t="str">
        <f>HYPERLINK("http://pbs.twimg.com/profile_images/1327012370430918657/azoMcCh0_normal.jpg")</f>
        <v>http://pbs.twimg.com/profile_images/1327012370430918657/azoMcCh0_normal.jpg</v>
      </c>
      <c r="G13" s="15"/>
      <c r="H13" s="16" t="s">
        <v>224</v>
      </c>
      <c r="I13" s="68"/>
      <c r="J13" s="68"/>
      <c r="K13" s="117" t="s">
        <v>368</v>
      </c>
      <c r="L13" s="95"/>
      <c r="M13" s="96">
        <v>4824.11181640625</v>
      </c>
      <c r="N13" s="96">
        <v>5024.15771484375</v>
      </c>
      <c r="O13" s="78"/>
      <c r="P13" s="97"/>
      <c r="Q13" s="97"/>
      <c r="R13" s="98"/>
      <c r="S13" s="98"/>
      <c r="T13" s="98"/>
      <c r="U13" s="98"/>
      <c r="V13" s="53"/>
      <c r="W13" s="53"/>
      <c r="X13" s="53"/>
      <c r="Y13" s="53"/>
      <c r="Z13" s="52"/>
      <c r="AA13" s="81">
        <v>13</v>
      </c>
      <c r="AB13" s="81"/>
      <c r="AC13" s="99"/>
      <c r="AD13" s="84" t="s">
        <v>293</v>
      </c>
      <c r="AE13" s="93" t="s">
        <v>248</v>
      </c>
      <c r="AF13" s="84">
        <v>61</v>
      </c>
      <c r="AG13" s="84">
        <v>6938</v>
      </c>
      <c r="AH13" s="84">
        <v>1467</v>
      </c>
      <c r="AI13" s="84">
        <v>386</v>
      </c>
      <c r="AJ13" s="84"/>
      <c r="AK13" s="84" t="s">
        <v>332</v>
      </c>
      <c r="AL13" s="84" t="s">
        <v>350</v>
      </c>
      <c r="AM13" s="90" t="str">
        <f>HYPERLINK("https://t.co/aj5mdDMJbp")</f>
        <v>https://t.co/aj5mdDMJbp</v>
      </c>
      <c r="AN13" s="84"/>
      <c r="AO13" s="86">
        <v>39763.17928240741</v>
      </c>
      <c r="AP13" s="90" t="str">
        <f>HYPERLINK("https://pbs.twimg.com/profile_banners/17302763/1458500051")</f>
        <v>https://pbs.twimg.com/profile_banners/17302763/1458500051</v>
      </c>
      <c r="AQ13" s="84" t="b">
        <v>0</v>
      </c>
      <c r="AR13" s="84" t="b">
        <v>0</v>
      </c>
      <c r="AS13" s="84" t="b">
        <v>1</v>
      </c>
      <c r="AT13" s="84"/>
      <c r="AU13" s="84">
        <v>133</v>
      </c>
      <c r="AV13" s="90" t="str">
        <f>HYPERLINK("http://abs.twimg.com/images/themes/theme1/bg.png")</f>
        <v>http://abs.twimg.com/images/themes/theme1/bg.png</v>
      </c>
      <c r="AW13" s="84" t="b">
        <v>0</v>
      </c>
      <c r="AX13" s="84" t="s">
        <v>358</v>
      </c>
      <c r="AY13" s="90" t="str">
        <f>HYPERLINK("https://twitter.com/gdgsv")</f>
        <v>https://twitter.com/gdgsv</v>
      </c>
      <c r="AZ13" s="84" t="s">
        <v>65</v>
      </c>
      <c r="BA13" s="84" t="str">
        <f>REPLACE(INDEX(GroupVertices[Group],MATCH(Vertices[[#This Row],[Vertex]],GroupVertices[Vertex],0)),1,1,"")</f>
        <v>2</v>
      </c>
      <c r="BB13" s="2"/>
      <c r="BC13" s="3"/>
      <c r="BD13" s="3"/>
      <c r="BE13" s="3"/>
      <c r="BF13" s="3"/>
    </row>
    <row r="14" spans="1:58" ht="15">
      <c r="A14" s="14" t="s">
        <v>216</v>
      </c>
      <c r="B14" s="15"/>
      <c r="C14" s="15"/>
      <c r="D14" s="94"/>
      <c r="E14" s="80"/>
      <c r="F14" s="115" t="str">
        <f>HYPERLINK("http://pbs.twimg.com/profile_images/1589623367031836672/3ht0DvKN_normal.jpg")</f>
        <v>http://pbs.twimg.com/profile_images/1589623367031836672/3ht0DvKN_normal.jpg</v>
      </c>
      <c r="G14" s="15"/>
      <c r="H14" s="16" t="s">
        <v>216</v>
      </c>
      <c r="I14" s="68"/>
      <c r="J14" s="68"/>
      <c r="K14" s="117" t="s">
        <v>369</v>
      </c>
      <c r="L14" s="95"/>
      <c r="M14" s="96">
        <v>2282.477783203125</v>
      </c>
      <c r="N14" s="96">
        <v>4999.51123046875</v>
      </c>
      <c r="O14" s="78"/>
      <c r="P14" s="97"/>
      <c r="Q14" s="97"/>
      <c r="R14" s="98"/>
      <c r="S14" s="98"/>
      <c r="T14" s="98"/>
      <c r="U14" s="98"/>
      <c r="V14" s="53"/>
      <c r="W14" s="53"/>
      <c r="X14" s="53"/>
      <c r="Y14" s="53"/>
      <c r="Z14" s="52"/>
      <c r="AA14" s="81">
        <v>14</v>
      </c>
      <c r="AB14" s="81"/>
      <c r="AC14" s="99"/>
      <c r="AD14" s="84" t="s">
        <v>294</v>
      </c>
      <c r="AE14" s="93" t="s">
        <v>313</v>
      </c>
      <c r="AF14" s="84">
        <v>3</v>
      </c>
      <c r="AG14" s="84">
        <v>0</v>
      </c>
      <c r="AH14" s="84">
        <v>12</v>
      </c>
      <c r="AI14" s="84">
        <v>0</v>
      </c>
      <c r="AJ14" s="84"/>
      <c r="AK14" s="84" t="s">
        <v>333</v>
      </c>
      <c r="AL14" s="84" t="s">
        <v>351</v>
      </c>
      <c r="AM14" s="84"/>
      <c r="AN14" s="84"/>
      <c r="AO14" s="86">
        <v>44872.59615740741</v>
      </c>
      <c r="AP14" s="90" t="str">
        <f>HYPERLINK("https://pbs.twimg.com/profile_banners/1589623283116277761/1667960510")</f>
        <v>https://pbs.twimg.com/profile_banners/1589623283116277761/1667960510</v>
      </c>
      <c r="AQ14" s="84" t="b">
        <v>1</v>
      </c>
      <c r="AR14" s="84" t="b">
        <v>0</v>
      </c>
      <c r="AS14" s="84" t="b">
        <v>0</v>
      </c>
      <c r="AT14" s="84"/>
      <c r="AU14" s="84">
        <v>0</v>
      </c>
      <c r="AV14" s="84"/>
      <c r="AW14" s="84" t="b">
        <v>0</v>
      </c>
      <c r="AX14" s="84" t="s">
        <v>358</v>
      </c>
      <c r="AY14" s="90" t="str">
        <f>HYPERLINK("https://twitter.com/ecawinner12")</f>
        <v>https://twitter.com/ecawinner12</v>
      </c>
      <c r="AZ14" s="84" t="s">
        <v>66</v>
      </c>
      <c r="BA14" s="84" t="str">
        <f>REPLACE(INDEX(GroupVertices[Group],MATCH(Vertices[[#This Row],[Vertex]],GroupVertices[Vertex],0)),1,1,"")</f>
        <v>1</v>
      </c>
      <c r="BB14" s="2"/>
      <c r="BC14" s="3"/>
      <c r="BD14" s="3"/>
      <c r="BE14" s="3"/>
      <c r="BF14" s="3"/>
    </row>
    <row r="15" spans="1:58" ht="15">
      <c r="A15" s="14" t="s">
        <v>225</v>
      </c>
      <c r="B15" s="15"/>
      <c r="C15" s="15"/>
      <c r="D15" s="94"/>
      <c r="E15" s="80"/>
      <c r="F15" s="115" t="str">
        <f>HYPERLINK("http://pbs.twimg.com/profile_images/1416792303/svforum-color-logo_normal.gif")</f>
        <v>http://pbs.twimg.com/profile_images/1416792303/svforum-color-logo_normal.gif</v>
      </c>
      <c r="G15" s="15"/>
      <c r="H15" s="16" t="s">
        <v>225</v>
      </c>
      <c r="I15" s="68"/>
      <c r="J15" s="68"/>
      <c r="K15" s="117" t="s">
        <v>370</v>
      </c>
      <c r="L15" s="95"/>
      <c r="M15" s="96">
        <v>4449.1494140625</v>
      </c>
      <c r="N15" s="96">
        <v>6902.26806640625</v>
      </c>
      <c r="O15" s="78"/>
      <c r="P15" s="97"/>
      <c r="Q15" s="97"/>
      <c r="R15" s="98"/>
      <c r="S15" s="98"/>
      <c r="T15" s="98"/>
      <c r="U15" s="98"/>
      <c r="V15" s="53"/>
      <c r="W15" s="53"/>
      <c r="X15" s="53"/>
      <c r="Y15" s="53"/>
      <c r="Z15" s="52"/>
      <c r="AA15" s="81">
        <v>15</v>
      </c>
      <c r="AB15" s="81"/>
      <c r="AC15" s="99"/>
      <c r="AD15" s="84" t="s">
        <v>295</v>
      </c>
      <c r="AE15" s="93" t="s">
        <v>314</v>
      </c>
      <c r="AF15" s="84">
        <v>316</v>
      </c>
      <c r="AG15" s="84">
        <v>143</v>
      </c>
      <c r="AH15" s="84">
        <v>195</v>
      </c>
      <c r="AI15" s="84">
        <v>0</v>
      </c>
      <c r="AJ15" s="84">
        <v>-25200</v>
      </c>
      <c r="AK15" s="84" t="s">
        <v>334</v>
      </c>
      <c r="AL15" s="84" t="s">
        <v>352</v>
      </c>
      <c r="AM15" s="90" t="str">
        <f>HYPERLINK("http://t.co/gjoZJxtnTI")</f>
        <v>http://t.co/gjoZJxtnTI</v>
      </c>
      <c r="AN15" s="84" t="s">
        <v>357</v>
      </c>
      <c r="AO15" s="86">
        <v>40069.593136574076</v>
      </c>
      <c r="AP15" s="84"/>
      <c r="AQ15" s="84" t="b">
        <v>1</v>
      </c>
      <c r="AR15" s="84" t="b">
        <v>0</v>
      </c>
      <c r="AS15" s="84" t="b">
        <v>0</v>
      </c>
      <c r="AT15" s="84" t="s">
        <v>249</v>
      </c>
      <c r="AU15" s="84">
        <v>15</v>
      </c>
      <c r="AV15" s="90" t="str">
        <f>HYPERLINK("http://abs.twimg.com/images/themes/theme1/bg.png")</f>
        <v>http://abs.twimg.com/images/themes/theme1/bg.png</v>
      </c>
      <c r="AW15" s="84" t="b">
        <v>0</v>
      </c>
      <c r="AX15" s="84" t="s">
        <v>358</v>
      </c>
      <c r="AY15" s="90" t="str">
        <f>HYPERLINK("https://twitter.com/svforum_elsig")</f>
        <v>https://twitter.com/svforum_elsig</v>
      </c>
      <c r="AZ15" s="84" t="s">
        <v>65</v>
      </c>
      <c r="BA15" s="84" t="str">
        <f>REPLACE(INDEX(GroupVertices[Group],MATCH(Vertices[[#This Row],[Vertex]],GroupVertices[Vertex],0)),1,1,"")</f>
        <v>1</v>
      </c>
      <c r="BB15" s="2"/>
      <c r="BC15" s="3"/>
      <c r="BD15" s="3"/>
      <c r="BE15" s="3"/>
      <c r="BF15" s="3"/>
    </row>
    <row r="16" spans="1:58" ht="15">
      <c r="A16" s="14" t="s">
        <v>226</v>
      </c>
      <c r="B16" s="15"/>
      <c r="C16" s="15"/>
      <c r="D16" s="94"/>
      <c r="E16" s="80"/>
      <c r="F16" s="115" t="str">
        <f>HYPERLINK("http://pbs.twimg.com/profile_images/1439229471156948997/seqhNd6y_normal.jpg")</f>
        <v>http://pbs.twimg.com/profile_images/1439229471156948997/seqhNd6y_normal.jpg</v>
      </c>
      <c r="G16" s="15"/>
      <c r="H16" s="16" t="s">
        <v>226</v>
      </c>
      <c r="I16" s="68"/>
      <c r="J16" s="68"/>
      <c r="K16" s="117" t="s">
        <v>371</v>
      </c>
      <c r="L16" s="95"/>
      <c r="M16" s="96">
        <v>4417.42041015625</v>
      </c>
      <c r="N16" s="96">
        <v>2926.0263671875</v>
      </c>
      <c r="O16" s="78"/>
      <c r="P16" s="97"/>
      <c r="Q16" s="97"/>
      <c r="R16" s="98"/>
      <c r="S16" s="98"/>
      <c r="T16" s="98"/>
      <c r="U16" s="98"/>
      <c r="V16" s="53"/>
      <c r="W16" s="53"/>
      <c r="X16" s="53"/>
      <c r="Y16" s="53"/>
      <c r="Z16" s="52"/>
      <c r="AA16" s="81">
        <v>16</v>
      </c>
      <c r="AB16" s="81"/>
      <c r="AC16" s="99"/>
      <c r="AD16" s="84" t="s">
        <v>296</v>
      </c>
      <c r="AE16" s="93" t="s">
        <v>315</v>
      </c>
      <c r="AF16" s="84">
        <v>105</v>
      </c>
      <c r="AG16" s="84">
        <v>61</v>
      </c>
      <c r="AH16" s="84">
        <v>71</v>
      </c>
      <c r="AI16" s="84">
        <v>7</v>
      </c>
      <c r="AJ16" s="84"/>
      <c r="AK16" s="84" t="s">
        <v>335</v>
      </c>
      <c r="AL16" s="84" t="s">
        <v>353</v>
      </c>
      <c r="AM16" s="84"/>
      <c r="AN16" s="84"/>
      <c r="AO16" s="86">
        <v>40411.25678240741</v>
      </c>
      <c r="AP16" s="90" t="str">
        <f>HYPERLINK("https://pbs.twimg.com/profile_banners/181078212/1605935750")</f>
        <v>https://pbs.twimg.com/profile_banners/181078212/1605935750</v>
      </c>
      <c r="AQ16" s="84" t="b">
        <v>0</v>
      </c>
      <c r="AR16" s="84" t="b">
        <v>0</v>
      </c>
      <c r="AS16" s="84" t="b">
        <v>0</v>
      </c>
      <c r="AT16" s="84"/>
      <c r="AU16" s="84">
        <v>0</v>
      </c>
      <c r="AV16" s="90" t="str">
        <f>HYPERLINK("http://abs.twimg.com/images/themes/theme9/bg.gif")</f>
        <v>http://abs.twimg.com/images/themes/theme9/bg.gif</v>
      </c>
      <c r="AW16" s="84" t="b">
        <v>0</v>
      </c>
      <c r="AX16" s="84" t="s">
        <v>358</v>
      </c>
      <c r="AY16" s="90" t="str">
        <f>HYPERLINK("https://twitter.com/harryherma_1")</f>
        <v>https://twitter.com/harryherma_1</v>
      </c>
      <c r="AZ16" s="84" t="s">
        <v>65</v>
      </c>
      <c r="BA16" s="84" t="str">
        <f>REPLACE(INDEX(GroupVertices[Group],MATCH(Vertices[[#This Row],[Vertex]],GroupVertices[Vertex],0)),1,1,"")</f>
        <v>1</v>
      </c>
      <c r="BB16" s="2"/>
      <c r="BC16" s="3"/>
      <c r="BD16" s="3"/>
      <c r="BE16" s="3"/>
      <c r="BF16" s="3"/>
    </row>
    <row r="17" spans="1:58" ht="15">
      <c r="A17" s="14" t="s">
        <v>227</v>
      </c>
      <c r="B17" s="15"/>
      <c r="C17" s="15"/>
      <c r="D17" s="94"/>
      <c r="E17" s="80"/>
      <c r="F17" s="115" t="str">
        <f>HYPERLINK("http://pbs.twimg.com/profile_images/1550140464157818880/CwLoWOS-_normal.jpg")</f>
        <v>http://pbs.twimg.com/profile_images/1550140464157818880/CwLoWOS-_normal.jpg</v>
      </c>
      <c r="G17" s="15"/>
      <c r="H17" s="16" t="s">
        <v>227</v>
      </c>
      <c r="I17" s="68"/>
      <c r="J17" s="68"/>
      <c r="K17" s="117" t="s">
        <v>372</v>
      </c>
      <c r="L17" s="95"/>
      <c r="M17" s="96">
        <v>3211.61767578125</v>
      </c>
      <c r="N17" s="96">
        <v>9763.8818359375</v>
      </c>
      <c r="O17" s="78"/>
      <c r="P17" s="97"/>
      <c r="Q17" s="97"/>
      <c r="R17" s="98"/>
      <c r="S17" s="98"/>
      <c r="T17" s="98"/>
      <c r="U17" s="98"/>
      <c r="V17" s="53"/>
      <c r="W17" s="53"/>
      <c r="X17" s="53"/>
      <c r="Y17" s="53"/>
      <c r="Z17" s="52"/>
      <c r="AA17" s="81">
        <v>17</v>
      </c>
      <c r="AB17" s="81"/>
      <c r="AC17" s="99"/>
      <c r="AD17" s="84" t="s">
        <v>297</v>
      </c>
      <c r="AE17" s="93" t="s">
        <v>316</v>
      </c>
      <c r="AF17" s="84">
        <v>272</v>
      </c>
      <c r="AG17" s="84">
        <v>81</v>
      </c>
      <c r="AH17" s="84">
        <v>78</v>
      </c>
      <c r="AI17" s="84">
        <v>855</v>
      </c>
      <c r="AJ17" s="84"/>
      <c r="AK17" s="84" t="s">
        <v>336</v>
      </c>
      <c r="AL17" s="84" t="s">
        <v>347</v>
      </c>
      <c r="AM17" s="84"/>
      <c r="AN17" s="84"/>
      <c r="AO17" s="86">
        <v>44047.74109953704</v>
      </c>
      <c r="AP17" s="90" t="str">
        <f>HYPERLINK("https://pbs.twimg.com/profile_banners/1290705823522594818/1651966744")</f>
        <v>https://pbs.twimg.com/profile_banners/1290705823522594818/1651966744</v>
      </c>
      <c r="AQ17" s="84" t="b">
        <v>1</v>
      </c>
      <c r="AR17" s="84" t="b">
        <v>0</v>
      </c>
      <c r="AS17" s="84" t="b">
        <v>0</v>
      </c>
      <c r="AT17" s="84"/>
      <c r="AU17" s="84">
        <v>8</v>
      </c>
      <c r="AV17" s="84"/>
      <c r="AW17" s="84" t="b">
        <v>0</v>
      </c>
      <c r="AX17" s="84" t="s">
        <v>358</v>
      </c>
      <c r="AY17" s="90" t="str">
        <f>HYPERLINK("https://twitter.com/goodkarmag")</f>
        <v>https://twitter.com/goodkarmag</v>
      </c>
      <c r="AZ17" s="84" t="s">
        <v>65</v>
      </c>
      <c r="BA17" s="84" t="str">
        <f>REPLACE(INDEX(GroupVertices[Group],MATCH(Vertices[[#This Row],[Vertex]],GroupVertices[Vertex],0)),1,1,"")</f>
        <v>1</v>
      </c>
      <c r="BB17" s="2"/>
      <c r="BC17" s="3"/>
      <c r="BD17" s="3"/>
      <c r="BE17" s="3"/>
      <c r="BF17" s="3"/>
    </row>
    <row r="18" spans="1:58" ht="15">
      <c r="A18" s="14" t="s">
        <v>228</v>
      </c>
      <c r="B18" s="15"/>
      <c r="C18" s="15"/>
      <c r="D18" s="94"/>
      <c r="E18" s="80"/>
      <c r="F18" s="115" t="str">
        <f>HYPERLINK("http://pbs.twimg.com/profile_images/1569243475941683201/EoNgtxXZ_normal.jpg")</f>
        <v>http://pbs.twimg.com/profile_images/1569243475941683201/EoNgtxXZ_normal.jpg</v>
      </c>
      <c r="G18" s="15"/>
      <c r="H18" s="16" t="s">
        <v>228</v>
      </c>
      <c r="I18" s="68"/>
      <c r="J18" s="68"/>
      <c r="K18" s="117" t="s">
        <v>373</v>
      </c>
      <c r="L18" s="95"/>
      <c r="M18" s="96">
        <v>1429.8475341796875</v>
      </c>
      <c r="N18" s="96">
        <v>9834.54296875</v>
      </c>
      <c r="O18" s="78"/>
      <c r="P18" s="97"/>
      <c r="Q18" s="97"/>
      <c r="R18" s="98"/>
      <c r="S18" s="98"/>
      <c r="T18" s="98"/>
      <c r="U18" s="98"/>
      <c r="V18" s="53"/>
      <c r="W18" s="53"/>
      <c r="X18" s="53"/>
      <c r="Y18" s="53"/>
      <c r="Z18" s="52"/>
      <c r="AA18" s="81">
        <v>18</v>
      </c>
      <c r="AB18" s="81"/>
      <c r="AC18" s="99"/>
      <c r="AD18" s="84" t="s">
        <v>298</v>
      </c>
      <c r="AE18" s="93" t="s">
        <v>317</v>
      </c>
      <c r="AF18" s="84">
        <v>4918</v>
      </c>
      <c r="AG18" s="84">
        <v>251</v>
      </c>
      <c r="AH18" s="84">
        <v>28182</v>
      </c>
      <c r="AI18" s="84">
        <v>18372</v>
      </c>
      <c r="AJ18" s="84"/>
      <c r="AK18" s="84" t="s">
        <v>337</v>
      </c>
      <c r="AL18" s="84"/>
      <c r="AM18" s="84"/>
      <c r="AN18" s="84"/>
      <c r="AO18" s="86">
        <v>44681.210960648146</v>
      </c>
      <c r="AP18" s="90" t="str">
        <f>HYPERLINK("https://pbs.twimg.com/profile_banners/1520267588584210432/1663640861")</f>
        <v>https://pbs.twimg.com/profile_banners/1520267588584210432/1663640861</v>
      </c>
      <c r="AQ18" s="84" t="b">
        <v>1</v>
      </c>
      <c r="AR18" s="84" t="b">
        <v>0</v>
      </c>
      <c r="AS18" s="84" t="b">
        <v>0</v>
      </c>
      <c r="AT18" s="84"/>
      <c r="AU18" s="84">
        <v>1</v>
      </c>
      <c r="AV18" s="84"/>
      <c r="AW18" s="84" t="b">
        <v>0</v>
      </c>
      <c r="AX18" s="84" t="s">
        <v>358</v>
      </c>
      <c r="AY18" s="90" t="str">
        <f>HYPERLINK("https://twitter.com/0807wincityx")</f>
        <v>https://twitter.com/0807wincityx</v>
      </c>
      <c r="AZ18" s="84" t="s">
        <v>65</v>
      </c>
      <c r="BA18" s="84" t="str">
        <f>REPLACE(INDEX(GroupVertices[Group],MATCH(Vertices[[#This Row],[Vertex]],GroupVertices[Vertex],0)),1,1,"")</f>
        <v>1</v>
      </c>
      <c r="BB18" s="2"/>
      <c r="BC18" s="3"/>
      <c r="BD18" s="3"/>
      <c r="BE18" s="3"/>
      <c r="BF18" s="3"/>
    </row>
    <row r="19" spans="1:58" ht="15">
      <c r="A19" s="14" t="s">
        <v>229</v>
      </c>
      <c r="B19" s="15"/>
      <c r="C19" s="15"/>
      <c r="D19" s="94"/>
      <c r="E19" s="80"/>
      <c r="F19" s="115" t="str">
        <f>HYPERLINK("http://pbs.twimg.com/profile_images/1017089032679931904/3cPC2bp__normal.jpg")</f>
        <v>http://pbs.twimg.com/profile_images/1017089032679931904/3cPC2bp__normal.jpg</v>
      </c>
      <c r="G19" s="15"/>
      <c r="H19" s="16" t="s">
        <v>229</v>
      </c>
      <c r="I19" s="68"/>
      <c r="J19" s="68"/>
      <c r="K19" s="117" t="s">
        <v>374</v>
      </c>
      <c r="L19" s="95"/>
      <c r="M19" s="96">
        <v>1353.3409423828125</v>
      </c>
      <c r="N19" s="96">
        <v>235.0883331298828</v>
      </c>
      <c r="O19" s="78"/>
      <c r="P19" s="97"/>
      <c r="Q19" s="97"/>
      <c r="R19" s="98"/>
      <c r="S19" s="98"/>
      <c r="T19" s="98"/>
      <c r="U19" s="98"/>
      <c r="V19" s="53"/>
      <c r="W19" s="53"/>
      <c r="X19" s="53"/>
      <c r="Y19" s="53"/>
      <c r="Z19" s="52"/>
      <c r="AA19" s="81">
        <v>19</v>
      </c>
      <c r="AB19" s="81"/>
      <c r="AC19" s="99"/>
      <c r="AD19" s="84" t="s">
        <v>299</v>
      </c>
      <c r="AE19" s="93" t="s">
        <v>318</v>
      </c>
      <c r="AF19" s="84">
        <v>3688</v>
      </c>
      <c r="AG19" s="84">
        <v>1361</v>
      </c>
      <c r="AH19" s="84">
        <v>60</v>
      </c>
      <c r="AI19" s="84">
        <v>396</v>
      </c>
      <c r="AJ19" s="84"/>
      <c r="AK19" s="84"/>
      <c r="AL19" s="84" t="s">
        <v>354</v>
      </c>
      <c r="AM19" s="84"/>
      <c r="AN19" s="84"/>
      <c r="AO19" s="86">
        <v>42904.48402777778</v>
      </c>
      <c r="AP19" s="84"/>
      <c r="AQ19" s="84" t="b">
        <v>1</v>
      </c>
      <c r="AR19" s="84" t="b">
        <v>0</v>
      </c>
      <c r="AS19" s="84" t="b">
        <v>1</v>
      </c>
      <c r="AT19" s="84" t="s">
        <v>249</v>
      </c>
      <c r="AU19" s="84">
        <v>0</v>
      </c>
      <c r="AV19" s="84"/>
      <c r="AW19" s="84" t="b">
        <v>0</v>
      </c>
      <c r="AX19" s="84" t="s">
        <v>358</v>
      </c>
      <c r="AY19" s="90" t="str">
        <f>HYPERLINK("https://twitter.com/kuldeep12327367")</f>
        <v>https://twitter.com/kuldeep12327367</v>
      </c>
      <c r="AZ19" s="84" t="s">
        <v>65</v>
      </c>
      <c r="BA19" s="84" t="str">
        <f>REPLACE(INDEX(GroupVertices[Group],MATCH(Vertices[[#This Row],[Vertex]],GroupVertices[Vertex],0)),1,1,"")</f>
        <v>1</v>
      </c>
      <c r="BB19" s="2"/>
      <c r="BC19" s="3"/>
      <c r="BD19" s="3"/>
      <c r="BE19" s="3"/>
      <c r="BF19" s="3"/>
    </row>
    <row r="20" spans="1:58" ht="15">
      <c r="A20" s="14" t="s">
        <v>230</v>
      </c>
      <c r="B20" s="15"/>
      <c r="C20" s="15"/>
      <c r="D20" s="94"/>
      <c r="E20" s="80"/>
      <c r="F20" s="115" t="str">
        <f>HYPERLINK("http://pbs.twimg.com/profile_images/1354886522479194112/mQR0g9Zo_normal.jpg")</f>
        <v>http://pbs.twimg.com/profile_images/1354886522479194112/mQR0g9Zo_normal.jpg</v>
      </c>
      <c r="G20" s="15"/>
      <c r="H20" s="16" t="s">
        <v>230</v>
      </c>
      <c r="I20" s="68"/>
      <c r="J20" s="68"/>
      <c r="K20" s="117" t="s">
        <v>375</v>
      </c>
      <c r="L20" s="95"/>
      <c r="M20" s="96">
        <v>115.86326599121094</v>
      </c>
      <c r="N20" s="96">
        <v>3096.736572265625</v>
      </c>
      <c r="O20" s="78"/>
      <c r="P20" s="97"/>
      <c r="Q20" s="97"/>
      <c r="R20" s="98"/>
      <c r="S20" s="98"/>
      <c r="T20" s="98"/>
      <c r="U20" s="98"/>
      <c r="V20" s="53"/>
      <c r="W20" s="53"/>
      <c r="X20" s="53"/>
      <c r="Y20" s="53"/>
      <c r="Z20" s="52"/>
      <c r="AA20" s="81">
        <v>20</v>
      </c>
      <c r="AB20" s="81"/>
      <c r="AC20" s="99"/>
      <c r="AD20" s="84" t="s">
        <v>300</v>
      </c>
      <c r="AE20" s="93" t="s">
        <v>319</v>
      </c>
      <c r="AF20" s="84">
        <v>193</v>
      </c>
      <c r="AG20" s="84">
        <v>113</v>
      </c>
      <c r="AH20" s="84">
        <v>5982</v>
      </c>
      <c r="AI20" s="84">
        <v>70</v>
      </c>
      <c r="AJ20" s="84"/>
      <c r="AK20" s="84"/>
      <c r="AL20" s="84" t="s">
        <v>355</v>
      </c>
      <c r="AM20" s="84"/>
      <c r="AN20" s="84"/>
      <c r="AO20" s="86">
        <v>42562.30395833333</v>
      </c>
      <c r="AP20" s="90" t="str">
        <f>HYPERLINK("https://pbs.twimg.com/profile_banners/752401461116538880/1468221784")</f>
        <v>https://pbs.twimg.com/profile_banners/752401461116538880/1468221784</v>
      </c>
      <c r="AQ20" s="84" t="b">
        <v>1</v>
      </c>
      <c r="AR20" s="84" t="b">
        <v>0</v>
      </c>
      <c r="AS20" s="84" t="b">
        <v>0</v>
      </c>
      <c r="AT20" s="84"/>
      <c r="AU20" s="84">
        <v>3</v>
      </c>
      <c r="AV20" s="84"/>
      <c r="AW20" s="84" t="b">
        <v>0</v>
      </c>
      <c r="AX20" s="84" t="s">
        <v>358</v>
      </c>
      <c r="AY20" s="90" t="str">
        <f>HYPERLINK("https://twitter.com/zeroblade4201")</f>
        <v>https://twitter.com/zeroblade4201</v>
      </c>
      <c r="AZ20" s="84" t="s">
        <v>65</v>
      </c>
      <c r="BA20" s="84" t="str">
        <f>REPLACE(INDEX(GroupVertices[Group],MATCH(Vertices[[#This Row],[Vertex]],GroupVertices[Vertex],0)),1,1,"")</f>
        <v>1</v>
      </c>
      <c r="BB20" s="2"/>
      <c r="BC20" s="3"/>
      <c r="BD20" s="3"/>
      <c r="BE20" s="3"/>
      <c r="BF20" s="3"/>
    </row>
    <row r="21" spans="1:58" ht="15">
      <c r="A21" s="14" t="s">
        <v>231</v>
      </c>
      <c r="B21" s="15"/>
      <c r="C21" s="15"/>
      <c r="D21" s="94"/>
      <c r="E21" s="80"/>
      <c r="F21" s="115" t="str">
        <f>HYPERLINK("http://pbs.twimg.com/profile_images/1479749471135277061/CpZNmtBA_normal.jpg")</f>
        <v>http://pbs.twimg.com/profile_images/1479749471135277061/CpZNmtBA_normal.jpg</v>
      </c>
      <c r="G21" s="15"/>
      <c r="H21" s="16" t="s">
        <v>231</v>
      </c>
      <c r="I21" s="68"/>
      <c r="J21" s="68"/>
      <c r="K21" s="117" t="s">
        <v>376</v>
      </c>
      <c r="L21" s="95"/>
      <c r="M21" s="96">
        <v>3135.116455078125</v>
      </c>
      <c r="N21" s="96">
        <v>164.4572296142578</v>
      </c>
      <c r="O21" s="78"/>
      <c r="P21" s="97"/>
      <c r="Q21" s="97"/>
      <c r="R21" s="98"/>
      <c r="S21" s="98"/>
      <c r="T21" s="98"/>
      <c r="U21" s="98"/>
      <c r="V21" s="53"/>
      <c r="W21" s="53"/>
      <c r="X21" s="53"/>
      <c r="Y21" s="53"/>
      <c r="Z21" s="52"/>
      <c r="AA21" s="81">
        <v>21</v>
      </c>
      <c r="AB21" s="81"/>
      <c r="AC21" s="99"/>
      <c r="AD21" s="84" t="s">
        <v>301</v>
      </c>
      <c r="AE21" s="93" t="s">
        <v>320</v>
      </c>
      <c r="AF21" s="84">
        <v>228</v>
      </c>
      <c r="AG21" s="84">
        <v>17</v>
      </c>
      <c r="AH21" s="84">
        <v>59</v>
      </c>
      <c r="AI21" s="84">
        <v>286</v>
      </c>
      <c r="AJ21" s="84"/>
      <c r="AK21" s="84" t="s">
        <v>338</v>
      </c>
      <c r="AL21" s="84"/>
      <c r="AM21" s="84"/>
      <c r="AN21" s="84"/>
      <c r="AO21" s="86">
        <v>44533.64210648148</v>
      </c>
      <c r="AP21" s="90" t="str">
        <f>HYPERLINK("https://pbs.twimg.com/profile_banners/1466790392301510665/1641634687")</f>
        <v>https://pbs.twimg.com/profile_banners/1466790392301510665/1641634687</v>
      </c>
      <c r="AQ21" s="84" t="b">
        <v>1</v>
      </c>
      <c r="AR21" s="84" t="b">
        <v>0</v>
      </c>
      <c r="AS21" s="84" t="b">
        <v>0</v>
      </c>
      <c r="AT21" s="84"/>
      <c r="AU21" s="84">
        <v>0</v>
      </c>
      <c r="AV21" s="84"/>
      <c r="AW21" s="84" t="b">
        <v>0</v>
      </c>
      <c r="AX21" s="84" t="s">
        <v>358</v>
      </c>
      <c r="AY21" s="90" t="str">
        <f>HYPERLINK("https://twitter.com/humphreysimiy19")</f>
        <v>https://twitter.com/humphreysimiy19</v>
      </c>
      <c r="AZ21" s="84" t="s">
        <v>65</v>
      </c>
      <c r="BA21" s="84" t="str">
        <f>REPLACE(INDEX(GroupVertices[Group],MATCH(Vertices[[#This Row],[Vertex]],GroupVertices[Vertex],0)),1,1,"")</f>
        <v>1</v>
      </c>
      <c r="BB21" s="2"/>
      <c r="BC21" s="3"/>
      <c r="BD21" s="3"/>
      <c r="BE21" s="3"/>
      <c r="BF21" s="3"/>
    </row>
    <row r="22" spans="1:58" ht="15">
      <c r="A22" s="100" t="s">
        <v>232</v>
      </c>
      <c r="B22" s="101"/>
      <c r="C22" s="101"/>
      <c r="D22" s="102"/>
      <c r="E22" s="103"/>
      <c r="F22" s="116" t="str">
        <f>HYPERLINK("http://pbs.twimg.com/profile_images/1175216481241620480/Hn8Yy8rn_normal.jpg")</f>
        <v>http://pbs.twimg.com/profile_images/1175216481241620480/Hn8Yy8rn_normal.jpg</v>
      </c>
      <c r="G22" s="101"/>
      <c r="H22" s="104" t="s">
        <v>232</v>
      </c>
      <c r="I22" s="105"/>
      <c r="J22" s="105"/>
      <c r="K22" s="118" t="s">
        <v>377</v>
      </c>
      <c r="L22" s="106"/>
      <c r="M22" s="107">
        <v>147.5063934326172</v>
      </c>
      <c r="N22" s="107">
        <v>7072.9990234375</v>
      </c>
      <c r="O22" s="108"/>
      <c r="P22" s="109"/>
      <c r="Q22" s="109"/>
      <c r="R22" s="110"/>
      <c r="S22" s="110"/>
      <c r="T22" s="110"/>
      <c r="U22" s="110"/>
      <c r="V22" s="111"/>
      <c r="W22" s="111"/>
      <c r="X22" s="111"/>
      <c r="Y22" s="111"/>
      <c r="Z22" s="112"/>
      <c r="AA22" s="113">
        <v>22</v>
      </c>
      <c r="AB22" s="113"/>
      <c r="AC22" s="114"/>
      <c r="AD22" s="84" t="s">
        <v>302</v>
      </c>
      <c r="AE22" s="93" t="s">
        <v>321</v>
      </c>
      <c r="AF22" s="84">
        <v>855</v>
      </c>
      <c r="AG22" s="84">
        <v>641</v>
      </c>
      <c r="AH22" s="84">
        <v>1400</v>
      </c>
      <c r="AI22" s="84">
        <v>2714</v>
      </c>
      <c r="AJ22" s="84"/>
      <c r="AK22" s="84" t="s">
        <v>339</v>
      </c>
      <c r="AL22" s="84" t="s">
        <v>356</v>
      </c>
      <c r="AM22" s="90" t="str">
        <f>HYPERLINK("http://KellyRowland.com")</f>
        <v>http://KellyRowland.com</v>
      </c>
      <c r="AN22" s="84"/>
      <c r="AO22" s="86">
        <v>40813.90572916667</v>
      </c>
      <c r="AP22" s="90" t="str">
        <f>HYPERLINK("https://pbs.twimg.com/profile_banners/381177590/1565085121")</f>
        <v>https://pbs.twimg.com/profile_banners/381177590/1565085121</v>
      </c>
      <c r="AQ22" s="84" t="b">
        <v>1</v>
      </c>
      <c r="AR22" s="84" t="b">
        <v>0</v>
      </c>
      <c r="AS22" s="84" t="b">
        <v>1</v>
      </c>
      <c r="AT22" s="84"/>
      <c r="AU22" s="84">
        <v>2</v>
      </c>
      <c r="AV22" s="90" t="str">
        <f>HYPERLINK("http://abs.twimg.com/images/themes/theme1/bg.png")</f>
        <v>http://abs.twimg.com/images/themes/theme1/bg.png</v>
      </c>
      <c r="AW22" s="84" t="b">
        <v>0</v>
      </c>
      <c r="AX22" s="84" t="s">
        <v>358</v>
      </c>
      <c r="AY22" s="90" t="str">
        <f>HYPERLINK("https://twitter.com/blacque_virgo")</f>
        <v>https://twitter.com/blacque_virgo</v>
      </c>
      <c r="AZ22" s="84" t="s">
        <v>65</v>
      </c>
      <c r="BA22" s="84" t="str">
        <f>REPLACE(INDEX(GroupVertices[Group],MATCH(Vertices[[#This Row],[Vertex]],GroupVertices[Vertex],0)),1,1,"")</f>
        <v>1</v>
      </c>
      <c r="BB22" s="2"/>
      <c r="BC22" s="3"/>
      <c r="BD22" s="3"/>
      <c r="BE22" s="3"/>
      <c r="BF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426</v>
      </c>
    </row>
    <row r="3" spans="1:25" ht="15">
      <c r="A3" s="83" t="s">
        <v>417</v>
      </c>
      <c r="B3" s="121" t="s">
        <v>420</v>
      </c>
      <c r="C3" s="121" t="s">
        <v>56</v>
      </c>
      <c r="D3" s="119"/>
      <c r="E3" s="15"/>
      <c r="F3" s="16" t="s">
        <v>417</v>
      </c>
      <c r="G3" s="78"/>
      <c r="H3" s="78"/>
      <c r="I3" s="120">
        <v>3</v>
      </c>
      <c r="J3" s="65"/>
      <c r="K3" s="51">
        <v>9</v>
      </c>
      <c r="L3" s="51">
        <v>8</v>
      </c>
      <c r="M3" s="51">
        <v>0</v>
      </c>
      <c r="N3" s="51">
        <v>8</v>
      </c>
      <c r="O3" s="51">
        <v>0</v>
      </c>
      <c r="P3" s="52">
        <v>0</v>
      </c>
      <c r="Q3" s="52">
        <v>0</v>
      </c>
      <c r="R3" s="51">
        <v>1</v>
      </c>
      <c r="S3" s="51">
        <v>0</v>
      </c>
      <c r="T3" s="51">
        <v>9</v>
      </c>
      <c r="U3" s="51">
        <v>8</v>
      </c>
      <c r="V3" s="51">
        <v>2</v>
      </c>
      <c r="W3" s="52">
        <v>1.580247</v>
      </c>
      <c r="X3" s="52">
        <v>0.1111111111111111</v>
      </c>
      <c r="Y3" s="84" t="s">
        <v>427</v>
      </c>
    </row>
    <row r="4" spans="1:25" ht="15">
      <c r="A4" s="83" t="s">
        <v>418</v>
      </c>
      <c r="B4" s="121" t="s">
        <v>421</v>
      </c>
      <c r="C4" s="121" t="s">
        <v>56</v>
      </c>
      <c r="D4" s="119"/>
      <c r="E4" s="15"/>
      <c r="F4" s="16" t="s">
        <v>418</v>
      </c>
      <c r="G4" s="78"/>
      <c r="H4" s="78"/>
      <c r="I4" s="120">
        <v>4</v>
      </c>
      <c r="J4" s="81"/>
      <c r="K4" s="51">
        <v>7</v>
      </c>
      <c r="L4" s="51">
        <v>6</v>
      </c>
      <c r="M4" s="51">
        <v>0</v>
      </c>
      <c r="N4" s="51">
        <v>6</v>
      </c>
      <c r="O4" s="51">
        <v>0</v>
      </c>
      <c r="P4" s="52">
        <v>0</v>
      </c>
      <c r="Q4" s="52">
        <v>0</v>
      </c>
      <c r="R4" s="51">
        <v>1</v>
      </c>
      <c r="S4" s="51">
        <v>0</v>
      </c>
      <c r="T4" s="51">
        <v>7</v>
      </c>
      <c r="U4" s="51">
        <v>6</v>
      </c>
      <c r="V4" s="51">
        <v>2</v>
      </c>
      <c r="W4" s="52">
        <v>1.469388</v>
      </c>
      <c r="X4" s="52">
        <v>0.14285714285714285</v>
      </c>
      <c r="Y4" s="84"/>
    </row>
    <row r="5" spans="1:25" ht="15">
      <c r="A5" s="83" t="s">
        <v>419</v>
      </c>
      <c r="B5" s="121" t="s">
        <v>422</v>
      </c>
      <c r="C5" s="121" t="s">
        <v>56</v>
      </c>
      <c r="D5" s="119"/>
      <c r="E5" s="15"/>
      <c r="F5" s="16" t="s">
        <v>419</v>
      </c>
      <c r="G5" s="78"/>
      <c r="H5" s="78"/>
      <c r="I5" s="120">
        <v>5</v>
      </c>
      <c r="J5" s="81"/>
      <c r="K5" s="51">
        <v>4</v>
      </c>
      <c r="L5" s="51">
        <v>3</v>
      </c>
      <c r="M5" s="51">
        <v>0</v>
      </c>
      <c r="N5" s="51">
        <v>3</v>
      </c>
      <c r="O5" s="51">
        <v>0</v>
      </c>
      <c r="P5" s="52">
        <v>0</v>
      </c>
      <c r="Q5" s="52">
        <v>0</v>
      </c>
      <c r="R5" s="51">
        <v>1</v>
      </c>
      <c r="S5" s="51">
        <v>0</v>
      </c>
      <c r="T5" s="51">
        <v>4</v>
      </c>
      <c r="U5" s="51">
        <v>3</v>
      </c>
      <c r="V5" s="51">
        <v>2</v>
      </c>
      <c r="W5" s="52">
        <v>1.125</v>
      </c>
      <c r="X5" s="52">
        <v>0.25</v>
      </c>
      <c r="Y5" s="84"/>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417</v>
      </c>
      <c r="B2" s="93" t="s">
        <v>216</v>
      </c>
      <c r="C2" s="84">
        <f>VLOOKUP(GroupVertices[[#This Row],[Vertex]],Vertices[],MATCH("ID",Vertices[[#Headers],[Vertex]:[Vertex Group]],0),FALSE)</f>
        <v>14</v>
      </c>
    </row>
    <row r="3" spans="1:3" ht="15">
      <c r="A3" s="85" t="s">
        <v>417</v>
      </c>
      <c r="B3" s="93" t="s">
        <v>232</v>
      </c>
      <c r="C3" s="84">
        <f>VLOOKUP(GroupVertices[[#This Row],[Vertex]],Vertices[],MATCH("ID",Vertices[[#Headers],[Vertex]:[Vertex Group]],0),FALSE)</f>
        <v>22</v>
      </c>
    </row>
    <row r="4" spans="1:3" ht="15">
      <c r="A4" s="85" t="s">
        <v>417</v>
      </c>
      <c r="B4" s="93" t="s">
        <v>231</v>
      </c>
      <c r="C4" s="84">
        <f>VLOOKUP(GroupVertices[[#This Row],[Vertex]],Vertices[],MATCH("ID",Vertices[[#Headers],[Vertex]:[Vertex Group]],0),FALSE)</f>
        <v>21</v>
      </c>
    </row>
    <row r="5" spans="1:3" ht="15">
      <c r="A5" s="85" t="s">
        <v>417</v>
      </c>
      <c r="B5" s="93" t="s">
        <v>230</v>
      </c>
      <c r="C5" s="84">
        <f>VLOOKUP(GroupVertices[[#This Row],[Vertex]],Vertices[],MATCH("ID",Vertices[[#Headers],[Vertex]:[Vertex Group]],0),FALSE)</f>
        <v>20</v>
      </c>
    </row>
    <row r="6" spans="1:3" ht="15">
      <c r="A6" s="85" t="s">
        <v>417</v>
      </c>
      <c r="B6" s="93" t="s">
        <v>229</v>
      </c>
      <c r="C6" s="84">
        <f>VLOOKUP(GroupVertices[[#This Row],[Vertex]],Vertices[],MATCH("ID",Vertices[[#Headers],[Vertex]:[Vertex Group]],0),FALSE)</f>
        <v>19</v>
      </c>
    </row>
    <row r="7" spans="1:3" ht="15">
      <c r="A7" s="85" t="s">
        <v>417</v>
      </c>
      <c r="B7" s="93" t="s">
        <v>228</v>
      </c>
      <c r="C7" s="84">
        <f>VLOOKUP(GroupVertices[[#This Row],[Vertex]],Vertices[],MATCH("ID",Vertices[[#Headers],[Vertex]:[Vertex Group]],0),FALSE)</f>
        <v>18</v>
      </c>
    </row>
    <row r="8" spans="1:3" ht="15">
      <c r="A8" s="85" t="s">
        <v>417</v>
      </c>
      <c r="B8" s="93" t="s">
        <v>227</v>
      </c>
      <c r="C8" s="84">
        <f>VLOOKUP(GroupVertices[[#This Row],[Vertex]],Vertices[],MATCH("ID",Vertices[[#Headers],[Vertex]:[Vertex Group]],0),FALSE)</f>
        <v>17</v>
      </c>
    </row>
    <row r="9" spans="1:3" ht="15">
      <c r="A9" s="85" t="s">
        <v>417</v>
      </c>
      <c r="B9" s="93" t="s">
        <v>226</v>
      </c>
      <c r="C9" s="84">
        <f>VLOOKUP(GroupVertices[[#This Row],[Vertex]],Vertices[],MATCH("ID",Vertices[[#Headers],[Vertex]:[Vertex Group]],0),FALSE)</f>
        <v>16</v>
      </c>
    </row>
    <row r="10" spans="1:3" ht="15">
      <c r="A10" s="85" t="s">
        <v>417</v>
      </c>
      <c r="B10" s="93" t="s">
        <v>225</v>
      </c>
      <c r="C10" s="84">
        <f>VLOOKUP(GroupVertices[[#This Row],[Vertex]],Vertices[],MATCH("ID",Vertices[[#Headers],[Vertex]:[Vertex Group]],0),FALSE)</f>
        <v>15</v>
      </c>
    </row>
    <row r="11" spans="1:3" ht="15">
      <c r="A11" s="85" t="s">
        <v>418</v>
      </c>
      <c r="B11" s="93" t="s">
        <v>215</v>
      </c>
      <c r="C11" s="84">
        <f>VLOOKUP(GroupVertices[[#This Row],[Vertex]],Vertices[],MATCH("ID",Vertices[[#Headers],[Vertex]:[Vertex Group]],0),FALSE)</f>
        <v>7</v>
      </c>
    </row>
    <row r="12" spans="1:3" ht="15">
      <c r="A12" s="85" t="s">
        <v>418</v>
      </c>
      <c r="B12" s="93" t="s">
        <v>224</v>
      </c>
      <c r="C12" s="84">
        <f>VLOOKUP(GroupVertices[[#This Row],[Vertex]],Vertices[],MATCH("ID",Vertices[[#Headers],[Vertex]:[Vertex Group]],0),FALSE)</f>
        <v>13</v>
      </c>
    </row>
    <row r="13" spans="1:3" ht="15">
      <c r="A13" s="85" t="s">
        <v>418</v>
      </c>
      <c r="B13" s="93" t="s">
        <v>223</v>
      </c>
      <c r="C13" s="84">
        <f>VLOOKUP(GroupVertices[[#This Row],[Vertex]],Vertices[],MATCH("ID",Vertices[[#Headers],[Vertex]:[Vertex Group]],0),FALSE)</f>
        <v>12</v>
      </c>
    </row>
    <row r="14" spans="1:3" ht="15">
      <c r="A14" s="85" t="s">
        <v>418</v>
      </c>
      <c r="B14" s="93" t="s">
        <v>222</v>
      </c>
      <c r="C14" s="84">
        <f>VLOOKUP(GroupVertices[[#This Row],[Vertex]],Vertices[],MATCH("ID",Vertices[[#Headers],[Vertex]:[Vertex Group]],0),FALSE)</f>
        <v>11</v>
      </c>
    </row>
    <row r="15" spans="1:3" ht="15">
      <c r="A15" s="85" t="s">
        <v>418</v>
      </c>
      <c r="B15" s="93" t="s">
        <v>221</v>
      </c>
      <c r="C15" s="84">
        <f>VLOOKUP(GroupVertices[[#This Row],[Vertex]],Vertices[],MATCH("ID",Vertices[[#Headers],[Vertex]:[Vertex Group]],0),FALSE)</f>
        <v>10</v>
      </c>
    </row>
    <row r="16" spans="1:3" ht="15">
      <c r="A16" s="85" t="s">
        <v>418</v>
      </c>
      <c r="B16" s="93" t="s">
        <v>220</v>
      </c>
      <c r="C16" s="84">
        <f>VLOOKUP(GroupVertices[[#This Row],[Vertex]],Vertices[],MATCH("ID",Vertices[[#Headers],[Vertex]:[Vertex Group]],0),FALSE)</f>
        <v>9</v>
      </c>
    </row>
    <row r="17" spans="1:3" ht="15">
      <c r="A17" s="85" t="s">
        <v>418</v>
      </c>
      <c r="B17" s="93" t="s">
        <v>219</v>
      </c>
      <c r="C17" s="84">
        <f>VLOOKUP(GroupVertices[[#This Row],[Vertex]],Vertices[],MATCH("ID",Vertices[[#Headers],[Vertex]:[Vertex Group]],0),FALSE)</f>
        <v>8</v>
      </c>
    </row>
    <row r="18" spans="1:3" ht="15">
      <c r="A18" s="85" t="s">
        <v>419</v>
      </c>
      <c r="B18" s="93" t="s">
        <v>218</v>
      </c>
      <c r="C18" s="84">
        <f>VLOOKUP(GroupVertices[[#This Row],[Vertex]],Vertices[],MATCH("ID",Vertices[[#Headers],[Vertex]:[Vertex Group]],0),FALSE)</f>
        <v>6</v>
      </c>
    </row>
    <row r="19" spans="1:3" ht="15">
      <c r="A19" s="85" t="s">
        <v>419</v>
      </c>
      <c r="B19" s="93" t="s">
        <v>214</v>
      </c>
      <c r="C19" s="84">
        <f>VLOOKUP(GroupVertices[[#This Row],[Vertex]],Vertices[],MATCH("ID",Vertices[[#Headers],[Vertex]:[Vertex Group]],0),FALSE)</f>
        <v>3</v>
      </c>
    </row>
    <row r="20" spans="1:3" ht="15">
      <c r="A20" s="85" t="s">
        <v>419</v>
      </c>
      <c r="B20" s="93" t="s">
        <v>217</v>
      </c>
      <c r="C20" s="84">
        <f>VLOOKUP(GroupVertices[[#This Row],[Vertex]],Vertices[],MATCH("ID",Vertices[[#Headers],[Vertex]:[Vertex Group]],0),FALSE)</f>
        <v>5</v>
      </c>
    </row>
    <row r="21" spans="1:3" ht="15">
      <c r="A21" s="85" t="s">
        <v>419</v>
      </c>
      <c r="B21" s="93" t="s">
        <v>233</v>
      </c>
      <c r="C21" s="84">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1" spans="1:2" ht="15">
      <c r="A51" s="79"/>
      <c r="B51" s="79"/>
    </row>
    <row r="52" spans="1:2" ht="15">
      <c r="A52" s="36"/>
      <c r="B52" s="36"/>
    </row>
    <row r="53" spans="1:2" ht="15">
      <c r="A53" s="79"/>
      <c r="B53" s="79"/>
    </row>
    <row r="54" spans="1:2" ht="15">
      <c r="A54" s="36"/>
      <c r="B54" s="36"/>
    </row>
    <row r="55" spans="1:2" ht="15">
      <c r="A55" s="36"/>
      <c r="B55" s="36"/>
    </row>
    <row r="56" spans="1:2" ht="15">
      <c r="A56" s="36"/>
      <c r="B56" s="36"/>
    </row>
    <row r="57" spans="1:2" ht="15">
      <c r="A57" s="79"/>
      <c r="B57" s="79"/>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t="str">
        <f>IF(COUNT(Vertices[In-Degree])&gt;0,F2,NoMetricMessage)</f>
        <v>Not Available</v>
      </c>
    </row>
    <row r="89" spans="1:2" ht="15">
      <c r="A89" s="35" t="s">
        <v>89</v>
      </c>
      <c r="B89" s="48" t="str">
        <f>IF(COUNT(Vertices[In-Degree])&gt;0,F36,NoMetricMessage)</f>
        <v>Not Available</v>
      </c>
    </row>
    <row r="90" spans="1:2" ht="15">
      <c r="A90" s="35" t="s">
        <v>90</v>
      </c>
      <c r="B90" s="49" t="str">
        <f>_xlfn.IFERROR(AVERAGE(Vertices[In-Degree]),NoMetricMessage)</f>
        <v>Not Available</v>
      </c>
    </row>
    <row r="91" spans="1:2" ht="15">
      <c r="A91" s="35" t="s">
        <v>91</v>
      </c>
      <c r="B91" s="49" t="str">
        <f>_xlfn.IFERROR(MEDIAN(Vertices[In-Degree]),NoMetricMessage)</f>
        <v>Not Available</v>
      </c>
    </row>
    <row r="102" spans="1:2" ht="15">
      <c r="A102" s="35" t="s">
        <v>94</v>
      </c>
      <c r="B102" s="48" t="str">
        <f>IF(COUNT(Vertices[Out-Degree])&gt;0,H2,NoMetricMessage)</f>
        <v>Not Available</v>
      </c>
    </row>
    <row r="103" spans="1:2" ht="15">
      <c r="A103" s="35" t="s">
        <v>95</v>
      </c>
      <c r="B103" s="48" t="str">
        <f>IF(COUNT(Vertices[Out-Degree])&gt;0,H36,NoMetricMessage)</f>
        <v>Not Available</v>
      </c>
    </row>
    <row r="104" spans="1:2" ht="15">
      <c r="A104" s="35" t="s">
        <v>96</v>
      </c>
      <c r="B104" s="49" t="str">
        <f>_xlfn.IFERROR(AVERAGE(Vertices[Out-Degree]),NoMetricMessage)</f>
        <v>Not Available</v>
      </c>
    </row>
    <row r="105" spans="1:2" ht="15">
      <c r="A105" s="35" t="s">
        <v>97</v>
      </c>
      <c r="B105" s="49" t="str">
        <f>_xlfn.IFERROR(MEDIAN(Vertices[Out-Degree]),NoMetricMessage)</f>
        <v>Not Available</v>
      </c>
    </row>
    <row r="116" spans="1:2" ht="15">
      <c r="A116" s="35" t="s">
        <v>100</v>
      </c>
      <c r="B116" s="49" t="str">
        <f>IF(COUNT(Vertices[Betweenness Centrality])&gt;0,J2,NoMetricMessage)</f>
        <v>Not Available</v>
      </c>
    </row>
    <row r="117" spans="1:2" ht="15">
      <c r="A117" s="35" t="s">
        <v>101</v>
      </c>
      <c r="B117" s="49" t="str">
        <f>IF(COUNT(Vertices[Betweenness Centrality])&gt;0,J36,NoMetricMessage)</f>
        <v>Not Available</v>
      </c>
    </row>
    <row r="118" spans="1:2" ht="15">
      <c r="A118" s="35" t="s">
        <v>102</v>
      </c>
      <c r="B118" s="49" t="str">
        <f>_xlfn.IFERROR(AVERAGE(Vertices[Betweenness Centrality]),NoMetricMessage)</f>
        <v>Not Available</v>
      </c>
    </row>
    <row r="119" spans="1:2" ht="15">
      <c r="A119" s="35" t="s">
        <v>103</v>
      </c>
      <c r="B119" s="49" t="str">
        <f>_xlfn.IFERROR(MEDIAN(Vertices[Betweenness Centrality]),NoMetricMessage)</f>
        <v>Not Available</v>
      </c>
    </row>
    <row r="130" spans="1:2" ht="15">
      <c r="A130" s="35" t="s">
        <v>106</v>
      </c>
      <c r="B130" s="49" t="str">
        <f>IF(COUNT(Vertices[Closeness Centrality])&gt;0,L2,NoMetricMessage)</f>
        <v>Not Available</v>
      </c>
    </row>
    <row r="131" spans="1:2" ht="15">
      <c r="A131" s="35" t="s">
        <v>107</v>
      </c>
      <c r="B131" s="49" t="str">
        <f>IF(COUNT(Vertices[Closeness Centrality])&gt;0,L36,NoMetricMessage)</f>
        <v>Not Available</v>
      </c>
    </row>
    <row r="132" spans="1:2" ht="15">
      <c r="A132" s="35" t="s">
        <v>108</v>
      </c>
      <c r="B132" s="49" t="str">
        <f>_xlfn.IFERROR(AVERAGE(Vertices[Closeness Centrality]),NoMetricMessage)</f>
        <v>Not Available</v>
      </c>
    </row>
    <row r="133" spans="1:2" ht="15">
      <c r="A133" s="35" t="s">
        <v>109</v>
      </c>
      <c r="B133" s="49" t="str">
        <f>_xlfn.IFERROR(MEDIAN(Vertices[Closeness Centrality]),NoMetricMessage)</f>
        <v>Not Available</v>
      </c>
    </row>
    <row r="144" spans="1:2" ht="15">
      <c r="A144" s="35" t="s">
        <v>112</v>
      </c>
      <c r="B144" s="49" t="str">
        <f>IF(COUNT(Vertices[Eigenvector Centrality])&gt;0,N2,NoMetricMessage)</f>
        <v>Not Available</v>
      </c>
    </row>
    <row r="145" spans="1:2" ht="15">
      <c r="A145" s="35" t="s">
        <v>113</v>
      </c>
      <c r="B145" s="49" t="str">
        <f>IF(COUNT(Vertices[Eigenvector Centrality])&gt;0,N36,NoMetricMessage)</f>
        <v>Not Available</v>
      </c>
    </row>
    <row r="146" spans="1:2" ht="15">
      <c r="A146" s="35" t="s">
        <v>114</v>
      </c>
      <c r="B146" s="49" t="str">
        <f>_xlfn.IFERROR(AVERAGE(Vertices[Eigenvector Centrality]),NoMetricMessage)</f>
        <v>Not Available</v>
      </c>
    </row>
    <row r="147" spans="1:2" ht="15">
      <c r="A147" s="35" t="s">
        <v>115</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118</v>
      </c>
      <c r="B172" s="49" t="str">
        <f>IF(COUNT(Vertices[Clustering Coefficient])&gt;0,R2,NoMetricMessage)</f>
        <v>Not Available</v>
      </c>
    </row>
    <row r="173" spans="1:2" ht="15">
      <c r="A173" s="35" t="s">
        <v>119</v>
      </c>
      <c r="B173" s="49" t="str">
        <f>IF(COUNT(Vertices[Clustering Coefficient])&gt;0,R36,NoMetricMessage)</f>
        <v>Not Available</v>
      </c>
    </row>
    <row r="174" spans="1:2" ht="15">
      <c r="A174" s="35" t="s">
        <v>120</v>
      </c>
      <c r="B174" s="49" t="str">
        <f>_xlfn.IFERROR(AVERAGE(Vertices[Clustering Coefficient]),NoMetricMessage)</f>
        <v>Not Available</v>
      </c>
    </row>
    <row r="175" spans="1:2" ht="15">
      <c r="A175" s="35" t="s">
        <v>121</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424</v>
      </c>
      <c r="BE2" s="13" t="s">
        <v>425</v>
      </c>
    </row>
    <row r="3" spans="1:57" ht="15" customHeight="1">
      <c r="A3" s="83" t="s">
        <v>214</v>
      </c>
      <c r="B3" s="83" t="s">
        <v>233</v>
      </c>
      <c r="C3" s="54"/>
      <c r="D3" s="55"/>
      <c r="E3" s="67"/>
      <c r="F3" s="56"/>
      <c r="G3" s="54"/>
      <c r="H3" s="58"/>
      <c r="I3" s="57"/>
      <c r="J3" s="57"/>
      <c r="K3" s="36" t="s">
        <v>65</v>
      </c>
      <c r="L3" s="63">
        <v>3</v>
      </c>
      <c r="M3" s="63"/>
      <c r="N3" s="64"/>
      <c r="O3" s="84" t="s">
        <v>234</v>
      </c>
      <c r="P3" s="86">
        <v>44776.252858796295</v>
      </c>
      <c r="Q3" s="84" t="s">
        <v>236</v>
      </c>
      <c r="R3" s="84"/>
      <c r="S3" s="84"/>
      <c r="T3" s="84"/>
      <c r="U3" s="90" t="str">
        <f aca="true" t="shared" si="0" ref="U3:V5">HYPERLINK("https://pbs.twimg.com/media/FZNwNvbUUAEmOP6.jpg")</f>
        <v>https://pbs.twimg.com/media/FZNwNvbUUAEmOP6.jpg</v>
      </c>
      <c r="V3" s="90" t="str">
        <f t="shared" si="0"/>
        <v>https://pbs.twimg.com/media/FZNwNvbUUAEmOP6.jpg</v>
      </c>
      <c r="W3" s="86">
        <v>44776.252858796295</v>
      </c>
      <c r="X3" s="91">
        <v>44776</v>
      </c>
      <c r="Y3" s="93" t="s">
        <v>241</v>
      </c>
      <c r="Z3" s="90" t="str">
        <f>HYPERLINK("https://twitter.com/#!/ldduval11/status/1554709681783705601")</f>
        <v>https://twitter.com/#!/ldduval11/status/1554709681783705601</v>
      </c>
      <c r="AA3" s="84"/>
      <c r="AB3" s="84"/>
      <c r="AC3" s="93" t="s">
        <v>244</v>
      </c>
      <c r="AD3" s="84"/>
      <c r="AE3" s="84" t="b">
        <v>0</v>
      </c>
      <c r="AF3" s="84">
        <v>5</v>
      </c>
      <c r="AG3" s="93" t="s">
        <v>247</v>
      </c>
      <c r="AH3" s="84" t="b">
        <v>0</v>
      </c>
      <c r="AI3" s="84" t="s">
        <v>249</v>
      </c>
      <c r="AJ3" s="84"/>
      <c r="AK3" s="93" t="s">
        <v>247</v>
      </c>
      <c r="AL3" s="84" t="b">
        <v>0</v>
      </c>
      <c r="AM3" s="84">
        <v>0</v>
      </c>
      <c r="AN3" s="93" t="s">
        <v>247</v>
      </c>
      <c r="AO3" s="93" t="s">
        <v>252</v>
      </c>
      <c r="AP3" s="84" t="b">
        <v>0</v>
      </c>
      <c r="AQ3" s="93" t="s">
        <v>244</v>
      </c>
      <c r="AR3" s="84" t="s">
        <v>176</v>
      </c>
      <c r="AS3" s="84">
        <v>0</v>
      </c>
      <c r="AT3" s="84">
        <v>0</v>
      </c>
      <c r="AU3" s="84" t="s">
        <v>255</v>
      </c>
      <c r="AV3" s="84" t="s">
        <v>256</v>
      </c>
      <c r="AW3" s="84" t="s">
        <v>257</v>
      </c>
      <c r="AX3" s="84" t="s">
        <v>258</v>
      </c>
      <c r="AY3" s="84" t="s">
        <v>259</v>
      </c>
      <c r="AZ3" s="84" t="s">
        <v>260</v>
      </c>
      <c r="BA3" s="84" t="s">
        <v>261</v>
      </c>
      <c r="BB3" s="90" t="str">
        <f>HYPERLINK("https://api.twitter.com/1.1/geo/id/df51dec6f4ee2b2c.json")</f>
        <v>https://api.twitter.com/1.1/geo/id/df51dec6f4ee2b2c.json</v>
      </c>
      <c r="BC3">
        <v>1</v>
      </c>
      <c r="BD3" s="84" t="str">
        <f>REPLACE(INDEX(GroupVertices[Group],MATCH(Edges11[[#This Row],[Vertex 1]],GroupVertices[Vertex],0)),1,1,"")</f>
        <v>3</v>
      </c>
      <c r="BE3" s="84" t="str">
        <f>REPLACE(INDEX(GroupVertices[Group],MATCH(Edges11[[#This Row],[Vertex 2]],GroupVertices[Vertex],0)),1,1,"")</f>
        <v>3</v>
      </c>
    </row>
    <row r="4" spans="1:57" ht="15" customHeight="1">
      <c r="A4" s="83" t="s">
        <v>214</v>
      </c>
      <c r="B4" s="83" t="s">
        <v>217</v>
      </c>
      <c r="C4" s="54"/>
      <c r="D4" s="55"/>
      <c r="E4" s="67"/>
      <c r="F4" s="56"/>
      <c r="G4" s="54"/>
      <c r="H4" s="58"/>
      <c r="I4" s="57"/>
      <c r="J4" s="57"/>
      <c r="K4" s="36" t="s">
        <v>65</v>
      </c>
      <c r="L4" s="82">
        <v>4</v>
      </c>
      <c r="M4" s="82"/>
      <c r="N4" s="64"/>
      <c r="O4" s="85" t="s">
        <v>234</v>
      </c>
      <c r="P4" s="87">
        <v>44776.252858796295</v>
      </c>
      <c r="Q4" s="85" t="s">
        <v>236</v>
      </c>
      <c r="R4" s="85"/>
      <c r="S4" s="85"/>
      <c r="T4" s="85"/>
      <c r="U4" s="88" t="str">
        <f t="shared" si="0"/>
        <v>https://pbs.twimg.com/media/FZNwNvbUUAEmOP6.jpg</v>
      </c>
      <c r="V4" s="88" t="str">
        <f t="shared" si="0"/>
        <v>https://pbs.twimg.com/media/FZNwNvbUUAEmOP6.jpg</v>
      </c>
      <c r="W4" s="87">
        <v>44776.252858796295</v>
      </c>
      <c r="X4" s="92">
        <v>44776</v>
      </c>
      <c r="Y4" s="89" t="s">
        <v>241</v>
      </c>
      <c r="Z4" s="88" t="str">
        <f>HYPERLINK("https://twitter.com/#!/ldduval11/status/1554709681783705601")</f>
        <v>https://twitter.com/#!/ldduval11/status/1554709681783705601</v>
      </c>
      <c r="AA4" s="85"/>
      <c r="AB4" s="85"/>
      <c r="AC4" s="89" t="s">
        <v>244</v>
      </c>
      <c r="AD4" s="85"/>
      <c r="AE4" s="85" t="b">
        <v>0</v>
      </c>
      <c r="AF4" s="85">
        <v>5</v>
      </c>
      <c r="AG4" s="89" t="s">
        <v>247</v>
      </c>
      <c r="AH4" s="85" t="b">
        <v>0</v>
      </c>
      <c r="AI4" s="85" t="s">
        <v>249</v>
      </c>
      <c r="AJ4" s="85"/>
      <c r="AK4" s="89" t="s">
        <v>247</v>
      </c>
      <c r="AL4" s="85" t="b">
        <v>0</v>
      </c>
      <c r="AM4" s="85">
        <v>0</v>
      </c>
      <c r="AN4" s="89" t="s">
        <v>247</v>
      </c>
      <c r="AO4" s="89" t="s">
        <v>252</v>
      </c>
      <c r="AP4" s="85" t="b">
        <v>0</v>
      </c>
      <c r="AQ4" s="89" t="s">
        <v>244</v>
      </c>
      <c r="AR4" s="85" t="s">
        <v>176</v>
      </c>
      <c r="AS4" s="85">
        <v>0</v>
      </c>
      <c r="AT4" s="85">
        <v>0</v>
      </c>
      <c r="AU4" s="85" t="s">
        <v>255</v>
      </c>
      <c r="AV4" s="85" t="s">
        <v>256</v>
      </c>
      <c r="AW4" s="85" t="s">
        <v>257</v>
      </c>
      <c r="AX4" s="85" t="s">
        <v>258</v>
      </c>
      <c r="AY4" s="85" t="s">
        <v>259</v>
      </c>
      <c r="AZ4" s="85" t="s">
        <v>260</v>
      </c>
      <c r="BA4" s="85" t="s">
        <v>261</v>
      </c>
      <c r="BB4" s="88" t="str">
        <f>HYPERLINK("https://api.twitter.com/1.1/geo/id/df51dec6f4ee2b2c.json")</f>
        <v>https://api.twitter.com/1.1/geo/id/df51dec6f4ee2b2c.json</v>
      </c>
      <c r="BC4">
        <v>1</v>
      </c>
      <c r="BD4" s="84" t="str">
        <f>REPLACE(INDEX(GroupVertices[Group],MATCH(Edges11[[#This Row],[Vertex 1]],GroupVertices[Vertex],0)),1,1,"")</f>
        <v>3</v>
      </c>
      <c r="BE4" s="84" t="str">
        <f>REPLACE(INDEX(GroupVertices[Group],MATCH(Edges11[[#This Row],[Vertex 2]],GroupVertices[Vertex],0)),1,1,"")</f>
        <v>3</v>
      </c>
    </row>
    <row r="5" spans="1:57" ht="15">
      <c r="A5" s="83" t="s">
        <v>214</v>
      </c>
      <c r="B5" s="83" t="s">
        <v>218</v>
      </c>
      <c r="C5" s="54"/>
      <c r="D5" s="55"/>
      <c r="E5" s="67"/>
      <c r="F5" s="56"/>
      <c r="G5" s="54"/>
      <c r="H5" s="58"/>
      <c r="I5" s="57"/>
      <c r="J5" s="57"/>
      <c r="K5" s="36" t="s">
        <v>65</v>
      </c>
      <c r="L5" s="82">
        <v>5</v>
      </c>
      <c r="M5" s="82"/>
      <c r="N5" s="64"/>
      <c r="O5" s="85" t="s">
        <v>234</v>
      </c>
      <c r="P5" s="87">
        <v>44776.252858796295</v>
      </c>
      <c r="Q5" s="85" t="s">
        <v>236</v>
      </c>
      <c r="R5" s="85"/>
      <c r="S5" s="85"/>
      <c r="T5" s="85"/>
      <c r="U5" s="88" t="str">
        <f t="shared" si="0"/>
        <v>https://pbs.twimg.com/media/FZNwNvbUUAEmOP6.jpg</v>
      </c>
      <c r="V5" s="88" t="str">
        <f t="shared" si="0"/>
        <v>https://pbs.twimg.com/media/FZNwNvbUUAEmOP6.jpg</v>
      </c>
      <c r="W5" s="87">
        <v>44776.252858796295</v>
      </c>
      <c r="X5" s="92">
        <v>44776</v>
      </c>
      <c r="Y5" s="89" t="s">
        <v>241</v>
      </c>
      <c r="Z5" s="88" t="str">
        <f>HYPERLINK("https://twitter.com/#!/ldduval11/status/1554709681783705601")</f>
        <v>https://twitter.com/#!/ldduval11/status/1554709681783705601</v>
      </c>
      <c r="AA5" s="85"/>
      <c r="AB5" s="85"/>
      <c r="AC5" s="89" t="s">
        <v>244</v>
      </c>
      <c r="AD5" s="85"/>
      <c r="AE5" s="85" t="b">
        <v>0</v>
      </c>
      <c r="AF5" s="85">
        <v>5</v>
      </c>
      <c r="AG5" s="89" t="s">
        <v>247</v>
      </c>
      <c r="AH5" s="85" t="b">
        <v>0</v>
      </c>
      <c r="AI5" s="85" t="s">
        <v>249</v>
      </c>
      <c r="AJ5" s="85"/>
      <c r="AK5" s="89" t="s">
        <v>247</v>
      </c>
      <c r="AL5" s="85" t="b">
        <v>0</v>
      </c>
      <c r="AM5" s="85">
        <v>0</v>
      </c>
      <c r="AN5" s="89" t="s">
        <v>247</v>
      </c>
      <c r="AO5" s="89" t="s">
        <v>252</v>
      </c>
      <c r="AP5" s="85" t="b">
        <v>0</v>
      </c>
      <c r="AQ5" s="89" t="s">
        <v>244</v>
      </c>
      <c r="AR5" s="85" t="s">
        <v>176</v>
      </c>
      <c r="AS5" s="85">
        <v>0</v>
      </c>
      <c r="AT5" s="85">
        <v>0</v>
      </c>
      <c r="AU5" s="85" t="s">
        <v>255</v>
      </c>
      <c r="AV5" s="85" t="s">
        <v>256</v>
      </c>
      <c r="AW5" s="85" t="s">
        <v>257</v>
      </c>
      <c r="AX5" s="85" t="s">
        <v>258</v>
      </c>
      <c r="AY5" s="85" t="s">
        <v>259</v>
      </c>
      <c r="AZ5" s="85" t="s">
        <v>260</v>
      </c>
      <c r="BA5" s="85" t="s">
        <v>261</v>
      </c>
      <c r="BB5" s="88" t="str">
        <f>HYPERLINK("https://api.twitter.com/1.1/geo/id/df51dec6f4ee2b2c.json")</f>
        <v>https://api.twitter.com/1.1/geo/id/df51dec6f4ee2b2c.json</v>
      </c>
      <c r="BC5">
        <v>1</v>
      </c>
      <c r="BD5" s="84" t="str">
        <f>REPLACE(INDEX(GroupVertices[Group],MATCH(Edges11[[#This Row],[Vertex 1]],GroupVertices[Vertex],0)),1,1,"")</f>
        <v>3</v>
      </c>
      <c r="BE5" s="84" t="str">
        <f>REPLACE(INDEX(GroupVertices[Group],MATCH(Edges11[[#This Row],[Vertex 2]],GroupVertices[Vertex],0)),1,1,"")</f>
        <v>3</v>
      </c>
    </row>
    <row r="6" spans="1:57" ht="15">
      <c r="A6" s="83" t="s">
        <v>215</v>
      </c>
      <c r="B6" s="83" t="s">
        <v>219</v>
      </c>
      <c r="C6" s="54"/>
      <c r="D6" s="55"/>
      <c r="E6" s="67"/>
      <c r="F6" s="56"/>
      <c r="G6" s="54"/>
      <c r="H6" s="58"/>
      <c r="I6" s="57"/>
      <c r="J6" s="57"/>
      <c r="K6" s="36" t="s">
        <v>65</v>
      </c>
      <c r="L6" s="82">
        <v>6</v>
      </c>
      <c r="M6" s="82"/>
      <c r="N6" s="64"/>
      <c r="O6" s="85" t="s">
        <v>234</v>
      </c>
      <c r="P6" s="87">
        <v>44852.7509375</v>
      </c>
      <c r="Q6" s="85" t="s">
        <v>237</v>
      </c>
      <c r="R6" s="85"/>
      <c r="S6" s="85"/>
      <c r="T6" s="85"/>
      <c r="U6" s="88" t="str">
        <f aca="true" t="shared" si="1" ref="U6:V12">HYPERLINK("https://pbs.twimg.com/media/FfXtNA_WAA0EuBF.jpg")</f>
        <v>https://pbs.twimg.com/media/FfXtNA_WAA0EuBF.jpg</v>
      </c>
      <c r="V6" s="88" t="str">
        <f t="shared" si="1"/>
        <v>https://pbs.twimg.com/media/FfXtNA_WAA0EuBF.jpg</v>
      </c>
      <c r="W6" s="87">
        <v>44852.7509375</v>
      </c>
      <c r="X6" s="92">
        <v>44852</v>
      </c>
      <c r="Y6" s="89" t="s">
        <v>242</v>
      </c>
      <c r="Z6" s="88" t="str">
        <f aca="true" t="shared" si="2" ref="Z6:Z12">HYPERLINK("https://twitter.com/#!/nkoopatrice/status/1582431654101983233")</f>
        <v>https://twitter.com/#!/nkoopatrice/status/1582431654101983233</v>
      </c>
      <c r="AA6" s="85"/>
      <c r="AB6" s="85"/>
      <c r="AC6" s="89" t="s">
        <v>245</v>
      </c>
      <c r="AD6" s="85"/>
      <c r="AE6" s="85" t="b">
        <v>0</v>
      </c>
      <c r="AF6" s="85">
        <v>0</v>
      </c>
      <c r="AG6" s="89" t="s">
        <v>248</v>
      </c>
      <c r="AH6" s="85" t="b">
        <v>0</v>
      </c>
      <c r="AI6" s="85" t="s">
        <v>250</v>
      </c>
      <c r="AJ6" s="85"/>
      <c r="AK6" s="89" t="s">
        <v>247</v>
      </c>
      <c r="AL6" s="85" t="b">
        <v>0</v>
      </c>
      <c r="AM6" s="85">
        <v>0</v>
      </c>
      <c r="AN6" s="89" t="s">
        <v>247</v>
      </c>
      <c r="AO6" s="89" t="s">
        <v>253</v>
      </c>
      <c r="AP6" s="85" t="b">
        <v>0</v>
      </c>
      <c r="AQ6" s="89" t="s">
        <v>245</v>
      </c>
      <c r="AR6" s="85" t="s">
        <v>176</v>
      </c>
      <c r="AS6" s="85">
        <v>0</v>
      </c>
      <c r="AT6" s="85">
        <v>0</v>
      </c>
      <c r="AU6" s="85"/>
      <c r="AV6" s="85"/>
      <c r="AW6" s="85"/>
      <c r="AX6" s="85"/>
      <c r="AY6" s="85"/>
      <c r="AZ6" s="85"/>
      <c r="BA6" s="85"/>
      <c r="BB6" s="85"/>
      <c r="BC6">
        <v>1</v>
      </c>
      <c r="BD6" s="84" t="str">
        <f>REPLACE(INDEX(GroupVertices[Group],MATCH(Edges11[[#This Row],[Vertex 1]],GroupVertices[Vertex],0)),1,1,"")</f>
        <v>2</v>
      </c>
      <c r="BE6" s="84" t="str">
        <f>REPLACE(INDEX(GroupVertices[Group],MATCH(Edges11[[#This Row],[Vertex 2]],GroupVertices[Vertex],0)),1,1,"")</f>
        <v>2</v>
      </c>
    </row>
    <row r="7" spans="1:57" ht="15">
      <c r="A7" s="83" t="s">
        <v>215</v>
      </c>
      <c r="B7" s="83" t="s">
        <v>220</v>
      </c>
      <c r="C7" s="54"/>
      <c r="D7" s="55"/>
      <c r="E7" s="67"/>
      <c r="F7" s="56"/>
      <c r="G7" s="54"/>
      <c r="H7" s="58"/>
      <c r="I7" s="57"/>
      <c r="J7" s="57"/>
      <c r="K7" s="36" t="s">
        <v>65</v>
      </c>
      <c r="L7" s="82">
        <v>7</v>
      </c>
      <c r="M7" s="82"/>
      <c r="N7" s="64"/>
      <c r="O7" s="85" t="s">
        <v>234</v>
      </c>
      <c r="P7" s="87">
        <v>44852.7509375</v>
      </c>
      <c r="Q7" s="85" t="s">
        <v>237</v>
      </c>
      <c r="R7" s="85"/>
      <c r="S7" s="85"/>
      <c r="T7" s="85"/>
      <c r="U7" s="88" t="str">
        <f t="shared" si="1"/>
        <v>https://pbs.twimg.com/media/FfXtNA_WAA0EuBF.jpg</v>
      </c>
      <c r="V7" s="88" t="str">
        <f t="shared" si="1"/>
        <v>https://pbs.twimg.com/media/FfXtNA_WAA0EuBF.jpg</v>
      </c>
      <c r="W7" s="87">
        <v>44852.7509375</v>
      </c>
      <c r="X7" s="92">
        <v>44852</v>
      </c>
      <c r="Y7" s="89" t="s">
        <v>242</v>
      </c>
      <c r="Z7" s="88" t="str">
        <f t="shared" si="2"/>
        <v>https://twitter.com/#!/nkoopatrice/status/1582431654101983233</v>
      </c>
      <c r="AA7" s="85"/>
      <c r="AB7" s="85"/>
      <c r="AC7" s="89" t="s">
        <v>245</v>
      </c>
      <c r="AD7" s="85"/>
      <c r="AE7" s="85" t="b">
        <v>0</v>
      </c>
      <c r="AF7" s="85">
        <v>0</v>
      </c>
      <c r="AG7" s="89" t="s">
        <v>248</v>
      </c>
      <c r="AH7" s="85" t="b">
        <v>0</v>
      </c>
      <c r="AI7" s="85" t="s">
        <v>250</v>
      </c>
      <c r="AJ7" s="85"/>
      <c r="AK7" s="89" t="s">
        <v>247</v>
      </c>
      <c r="AL7" s="85" t="b">
        <v>0</v>
      </c>
      <c r="AM7" s="85">
        <v>0</v>
      </c>
      <c r="AN7" s="89" t="s">
        <v>247</v>
      </c>
      <c r="AO7" s="89" t="s">
        <v>253</v>
      </c>
      <c r="AP7" s="85" t="b">
        <v>0</v>
      </c>
      <c r="AQ7" s="89" t="s">
        <v>245</v>
      </c>
      <c r="AR7" s="85" t="s">
        <v>176</v>
      </c>
      <c r="AS7" s="85">
        <v>0</v>
      </c>
      <c r="AT7" s="85">
        <v>0</v>
      </c>
      <c r="AU7" s="85"/>
      <c r="AV7" s="85"/>
      <c r="AW7" s="85"/>
      <c r="AX7" s="85"/>
      <c r="AY7" s="85"/>
      <c r="AZ7" s="85"/>
      <c r="BA7" s="85"/>
      <c r="BB7" s="85"/>
      <c r="BC7">
        <v>1</v>
      </c>
      <c r="BD7" s="84" t="str">
        <f>REPLACE(INDEX(GroupVertices[Group],MATCH(Edges11[[#This Row],[Vertex 1]],GroupVertices[Vertex],0)),1,1,"")</f>
        <v>2</v>
      </c>
      <c r="BE7" s="84" t="str">
        <f>REPLACE(INDEX(GroupVertices[Group],MATCH(Edges11[[#This Row],[Vertex 2]],GroupVertices[Vertex],0)),1,1,"")</f>
        <v>2</v>
      </c>
    </row>
    <row r="8" spans="1:57" ht="15">
      <c r="A8" s="83" t="s">
        <v>215</v>
      </c>
      <c r="B8" s="83" t="s">
        <v>221</v>
      </c>
      <c r="C8" s="54"/>
      <c r="D8" s="55"/>
      <c r="E8" s="67"/>
      <c r="F8" s="56"/>
      <c r="G8" s="54"/>
      <c r="H8" s="58"/>
      <c r="I8" s="57"/>
      <c r="J8" s="57"/>
      <c r="K8" s="36" t="s">
        <v>65</v>
      </c>
      <c r="L8" s="82">
        <v>8</v>
      </c>
      <c r="M8" s="82"/>
      <c r="N8" s="64"/>
      <c r="O8" s="85" t="s">
        <v>234</v>
      </c>
      <c r="P8" s="87">
        <v>44852.7509375</v>
      </c>
      <c r="Q8" s="85" t="s">
        <v>237</v>
      </c>
      <c r="R8" s="85"/>
      <c r="S8" s="85"/>
      <c r="T8" s="85"/>
      <c r="U8" s="88" t="str">
        <f t="shared" si="1"/>
        <v>https://pbs.twimg.com/media/FfXtNA_WAA0EuBF.jpg</v>
      </c>
      <c r="V8" s="88" t="str">
        <f t="shared" si="1"/>
        <v>https://pbs.twimg.com/media/FfXtNA_WAA0EuBF.jpg</v>
      </c>
      <c r="W8" s="87">
        <v>44852.7509375</v>
      </c>
      <c r="X8" s="92">
        <v>44852</v>
      </c>
      <c r="Y8" s="89" t="s">
        <v>242</v>
      </c>
      <c r="Z8" s="88" t="str">
        <f t="shared" si="2"/>
        <v>https://twitter.com/#!/nkoopatrice/status/1582431654101983233</v>
      </c>
      <c r="AA8" s="85"/>
      <c r="AB8" s="85"/>
      <c r="AC8" s="89" t="s">
        <v>245</v>
      </c>
      <c r="AD8" s="85"/>
      <c r="AE8" s="85" t="b">
        <v>0</v>
      </c>
      <c r="AF8" s="85">
        <v>0</v>
      </c>
      <c r="AG8" s="89" t="s">
        <v>248</v>
      </c>
      <c r="AH8" s="85" t="b">
        <v>0</v>
      </c>
      <c r="AI8" s="85" t="s">
        <v>250</v>
      </c>
      <c r="AJ8" s="85"/>
      <c r="AK8" s="89" t="s">
        <v>247</v>
      </c>
      <c r="AL8" s="85" t="b">
        <v>0</v>
      </c>
      <c r="AM8" s="85">
        <v>0</v>
      </c>
      <c r="AN8" s="89" t="s">
        <v>247</v>
      </c>
      <c r="AO8" s="89" t="s">
        <v>253</v>
      </c>
      <c r="AP8" s="85" t="b">
        <v>0</v>
      </c>
      <c r="AQ8" s="89" t="s">
        <v>245</v>
      </c>
      <c r="AR8" s="85" t="s">
        <v>176</v>
      </c>
      <c r="AS8" s="85">
        <v>0</v>
      </c>
      <c r="AT8" s="85">
        <v>0</v>
      </c>
      <c r="AU8" s="85"/>
      <c r="AV8" s="85"/>
      <c r="AW8" s="85"/>
      <c r="AX8" s="85"/>
      <c r="AY8" s="85"/>
      <c r="AZ8" s="85"/>
      <c r="BA8" s="85"/>
      <c r="BB8" s="85"/>
      <c r="BC8">
        <v>1</v>
      </c>
      <c r="BD8" s="84" t="str">
        <f>REPLACE(INDEX(GroupVertices[Group],MATCH(Edges11[[#This Row],[Vertex 1]],GroupVertices[Vertex],0)),1,1,"")</f>
        <v>2</v>
      </c>
      <c r="BE8" s="84" t="str">
        <f>REPLACE(INDEX(GroupVertices[Group],MATCH(Edges11[[#This Row],[Vertex 2]],GroupVertices[Vertex],0)),1,1,"")</f>
        <v>2</v>
      </c>
    </row>
    <row r="9" spans="1:57" ht="15">
      <c r="A9" s="83" t="s">
        <v>215</v>
      </c>
      <c r="B9" s="83" t="s">
        <v>222</v>
      </c>
      <c r="C9" s="54"/>
      <c r="D9" s="55"/>
      <c r="E9" s="67"/>
      <c r="F9" s="56"/>
      <c r="G9" s="54"/>
      <c r="H9" s="58"/>
      <c r="I9" s="57"/>
      <c r="J9" s="57"/>
      <c r="K9" s="36" t="s">
        <v>65</v>
      </c>
      <c r="L9" s="82">
        <v>9</v>
      </c>
      <c r="M9" s="82"/>
      <c r="N9" s="64"/>
      <c r="O9" s="85" t="s">
        <v>234</v>
      </c>
      <c r="P9" s="87">
        <v>44852.7509375</v>
      </c>
      <c r="Q9" s="85" t="s">
        <v>237</v>
      </c>
      <c r="R9" s="85"/>
      <c r="S9" s="85"/>
      <c r="T9" s="85"/>
      <c r="U9" s="88" t="str">
        <f t="shared" si="1"/>
        <v>https://pbs.twimg.com/media/FfXtNA_WAA0EuBF.jpg</v>
      </c>
      <c r="V9" s="88" t="str">
        <f t="shared" si="1"/>
        <v>https://pbs.twimg.com/media/FfXtNA_WAA0EuBF.jpg</v>
      </c>
      <c r="W9" s="87">
        <v>44852.7509375</v>
      </c>
      <c r="X9" s="92">
        <v>44852</v>
      </c>
      <c r="Y9" s="89" t="s">
        <v>242</v>
      </c>
      <c r="Z9" s="88" t="str">
        <f t="shared" si="2"/>
        <v>https://twitter.com/#!/nkoopatrice/status/1582431654101983233</v>
      </c>
      <c r="AA9" s="85"/>
      <c r="AB9" s="85"/>
      <c r="AC9" s="89" t="s">
        <v>245</v>
      </c>
      <c r="AD9" s="85"/>
      <c r="AE9" s="85" t="b">
        <v>0</v>
      </c>
      <c r="AF9" s="85">
        <v>0</v>
      </c>
      <c r="AG9" s="89" t="s">
        <v>248</v>
      </c>
      <c r="AH9" s="85" t="b">
        <v>0</v>
      </c>
      <c r="AI9" s="85" t="s">
        <v>250</v>
      </c>
      <c r="AJ9" s="85"/>
      <c r="AK9" s="89" t="s">
        <v>247</v>
      </c>
      <c r="AL9" s="85" t="b">
        <v>0</v>
      </c>
      <c r="AM9" s="85">
        <v>0</v>
      </c>
      <c r="AN9" s="89" t="s">
        <v>247</v>
      </c>
      <c r="AO9" s="89" t="s">
        <v>253</v>
      </c>
      <c r="AP9" s="85" t="b">
        <v>0</v>
      </c>
      <c r="AQ9" s="89" t="s">
        <v>245</v>
      </c>
      <c r="AR9" s="85" t="s">
        <v>176</v>
      </c>
      <c r="AS9" s="85">
        <v>0</v>
      </c>
      <c r="AT9" s="85">
        <v>0</v>
      </c>
      <c r="AU9" s="85"/>
      <c r="AV9" s="85"/>
      <c r="AW9" s="85"/>
      <c r="AX9" s="85"/>
      <c r="AY9" s="85"/>
      <c r="AZ9" s="85"/>
      <c r="BA9" s="85"/>
      <c r="BB9" s="85"/>
      <c r="BC9">
        <v>1</v>
      </c>
      <c r="BD9" s="84" t="str">
        <f>REPLACE(INDEX(GroupVertices[Group],MATCH(Edges11[[#This Row],[Vertex 1]],GroupVertices[Vertex],0)),1,1,"")</f>
        <v>2</v>
      </c>
      <c r="BE9" s="84" t="str">
        <f>REPLACE(INDEX(GroupVertices[Group],MATCH(Edges11[[#This Row],[Vertex 2]],GroupVertices[Vertex],0)),1,1,"")</f>
        <v>2</v>
      </c>
    </row>
    <row r="10" spans="1:57" ht="15">
      <c r="A10" s="83" t="s">
        <v>215</v>
      </c>
      <c r="B10" s="83" t="s">
        <v>218</v>
      </c>
      <c r="C10" s="54"/>
      <c r="D10" s="55"/>
      <c r="E10" s="67"/>
      <c r="F10" s="56"/>
      <c r="G10" s="54"/>
      <c r="H10" s="58"/>
      <c r="I10" s="57"/>
      <c r="J10" s="57"/>
      <c r="K10" s="36" t="s">
        <v>65</v>
      </c>
      <c r="L10" s="82">
        <v>10</v>
      </c>
      <c r="M10" s="82"/>
      <c r="N10" s="64"/>
      <c r="O10" s="85" t="s">
        <v>234</v>
      </c>
      <c r="P10" s="87">
        <v>44852.7509375</v>
      </c>
      <c r="Q10" s="85" t="s">
        <v>237</v>
      </c>
      <c r="R10" s="85"/>
      <c r="S10" s="85"/>
      <c r="T10" s="85"/>
      <c r="U10" s="88" t="str">
        <f t="shared" si="1"/>
        <v>https://pbs.twimg.com/media/FfXtNA_WAA0EuBF.jpg</v>
      </c>
      <c r="V10" s="88" t="str">
        <f t="shared" si="1"/>
        <v>https://pbs.twimg.com/media/FfXtNA_WAA0EuBF.jpg</v>
      </c>
      <c r="W10" s="87">
        <v>44852.7509375</v>
      </c>
      <c r="X10" s="92">
        <v>44852</v>
      </c>
      <c r="Y10" s="89" t="s">
        <v>242</v>
      </c>
      <c r="Z10" s="88" t="str">
        <f t="shared" si="2"/>
        <v>https://twitter.com/#!/nkoopatrice/status/1582431654101983233</v>
      </c>
      <c r="AA10" s="85"/>
      <c r="AB10" s="85"/>
      <c r="AC10" s="89" t="s">
        <v>245</v>
      </c>
      <c r="AD10" s="85"/>
      <c r="AE10" s="85" t="b">
        <v>0</v>
      </c>
      <c r="AF10" s="85">
        <v>0</v>
      </c>
      <c r="AG10" s="89" t="s">
        <v>248</v>
      </c>
      <c r="AH10" s="85" t="b">
        <v>0</v>
      </c>
      <c r="AI10" s="85" t="s">
        <v>250</v>
      </c>
      <c r="AJ10" s="85"/>
      <c r="AK10" s="89" t="s">
        <v>247</v>
      </c>
      <c r="AL10" s="85" t="b">
        <v>0</v>
      </c>
      <c r="AM10" s="85">
        <v>0</v>
      </c>
      <c r="AN10" s="89" t="s">
        <v>247</v>
      </c>
      <c r="AO10" s="89" t="s">
        <v>253</v>
      </c>
      <c r="AP10" s="85" t="b">
        <v>0</v>
      </c>
      <c r="AQ10" s="89" t="s">
        <v>245</v>
      </c>
      <c r="AR10" s="85" t="s">
        <v>176</v>
      </c>
      <c r="AS10" s="85">
        <v>0</v>
      </c>
      <c r="AT10" s="85">
        <v>0</v>
      </c>
      <c r="AU10" s="85"/>
      <c r="AV10" s="85"/>
      <c r="AW10" s="85"/>
      <c r="AX10" s="85"/>
      <c r="AY10" s="85"/>
      <c r="AZ10" s="85"/>
      <c r="BA10" s="85"/>
      <c r="BB10" s="85"/>
      <c r="BC10">
        <v>1</v>
      </c>
      <c r="BD10" s="84" t="str">
        <f>REPLACE(INDEX(GroupVertices[Group],MATCH(Edges11[[#This Row],[Vertex 1]],GroupVertices[Vertex],0)),1,1,"")</f>
        <v>2</v>
      </c>
      <c r="BE10" s="84" t="str">
        <f>REPLACE(INDEX(GroupVertices[Group],MATCH(Edges11[[#This Row],[Vertex 2]],GroupVertices[Vertex],0)),1,1,"")</f>
        <v>3</v>
      </c>
    </row>
    <row r="11" spans="1:57" ht="15">
      <c r="A11" s="83" t="s">
        <v>215</v>
      </c>
      <c r="B11" s="83" t="s">
        <v>223</v>
      </c>
      <c r="C11" s="54"/>
      <c r="D11" s="55"/>
      <c r="E11" s="67"/>
      <c r="F11" s="56"/>
      <c r="G11" s="54"/>
      <c r="H11" s="58"/>
      <c r="I11" s="57"/>
      <c r="J11" s="57"/>
      <c r="K11" s="36" t="s">
        <v>65</v>
      </c>
      <c r="L11" s="82">
        <v>11</v>
      </c>
      <c r="M11" s="82"/>
      <c r="N11" s="64"/>
      <c r="O11" s="85" t="s">
        <v>234</v>
      </c>
      <c r="P11" s="87">
        <v>44852.7509375</v>
      </c>
      <c r="Q11" s="85" t="s">
        <v>237</v>
      </c>
      <c r="R11" s="85"/>
      <c r="S11" s="85"/>
      <c r="T11" s="85"/>
      <c r="U11" s="88" t="str">
        <f t="shared" si="1"/>
        <v>https://pbs.twimg.com/media/FfXtNA_WAA0EuBF.jpg</v>
      </c>
      <c r="V11" s="88" t="str">
        <f t="shared" si="1"/>
        <v>https://pbs.twimg.com/media/FfXtNA_WAA0EuBF.jpg</v>
      </c>
      <c r="W11" s="87">
        <v>44852.7509375</v>
      </c>
      <c r="X11" s="92">
        <v>44852</v>
      </c>
      <c r="Y11" s="89" t="s">
        <v>242</v>
      </c>
      <c r="Z11" s="88" t="str">
        <f t="shared" si="2"/>
        <v>https://twitter.com/#!/nkoopatrice/status/1582431654101983233</v>
      </c>
      <c r="AA11" s="85"/>
      <c r="AB11" s="85"/>
      <c r="AC11" s="89" t="s">
        <v>245</v>
      </c>
      <c r="AD11" s="85"/>
      <c r="AE11" s="85" t="b">
        <v>0</v>
      </c>
      <c r="AF11" s="85">
        <v>0</v>
      </c>
      <c r="AG11" s="89" t="s">
        <v>248</v>
      </c>
      <c r="AH11" s="85" t="b">
        <v>0</v>
      </c>
      <c r="AI11" s="85" t="s">
        <v>250</v>
      </c>
      <c r="AJ11" s="85"/>
      <c r="AK11" s="89" t="s">
        <v>247</v>
      </c>
      <c r="AL11" s="85" t="b">
        <v>0</v>
      </c>
      <c r="AM11" s="85">
        <v>0</v>
      </c>
      <c r="AN11" s="89" t="s">
        <v>247</v>
      </c>
      <c r="AO11" s="89" t="s">
        <v>253</v>
      </c>
      <c r="AP11" s="85" t="b">
        <v>0</v>
      </c>
      <c r="AQ11" s="89" t="s">
        <v>245</v>
      </c>
      <c r="AR11" s="85" t="s">
        <v>176</v>
      </c>
      <c r="AS11" s="85">
        <v>0</v>
      </c>
      <c r="AT11" s="85">
        <v>0</v>
      </c>
      <c r="AU11" s="85"/>
      <c r="AV11" s="85"/>
      <c r="AW11" s="85"/>
      <c r="AX11" s="85"/>
      <c r="AY11" s="85"/>
      <c r="AZ11" s="85"/>
      <c r="BA11" s="85"/>
      <c r="BB11" s="85"/>
      <c r="BC11">
        <v>1</v>
      </c>
      <c r="BD11" s="84" t="str">
        <f>REPLACE(INDEX(GroupVertices[Group],MATCH(Edges11[[#This Row],[Vertex 1]],GroupVertices[Vertex],0)),1,1,"")</f>
        <v>2</v>
      </c>
      <c r="BE11" s="84" t="str">
        <f>REPLACE(INDEX(GroupVertices[Group],MATCH(Edges11[[#This Row],[Vertex 2]],GroupVertices[Vertex],0)),1,1,"")</f>
        <v>2</v>
      </c>
    </row>
    <row r="12" spans="1:57" ht="15">
      <c r="A12" s="83" t="s">
        <v>215</v>
      </c>
      <c r="B12" s="83" t="s">
        <v>224</v>
      </c>
      <c r="C12" s="54"/>
      <c r="D12" s="55"/>
      <c r="E12" s="67"/>
      <c r="F12" s="56"/>
      <c r="G12" s="54"/>
      <c r="H12" s="58"/>
      <c r="I12" s="57"/>
      <c r="J12" s="57"/>
      <c r="K12" s="36" t="s">
        <v>65</v>
      </c>
      <c r="L12" s="82">
        <v>12</v>
      </c>
      <c r="M12" s="82"/>
      <c r="N12" s="64"/>
      <c r="O12" s="85" t="s">
        <v>235</v>
      </c>
      <c r="P12" s="87">
        <v>44852.7509375</v>
      </c>
      <c r="Q12" s="85" t="s">
        <v>237</v>
      </c>
      <c r="R12" s="85"/>
      <c r="S12" s="85"/>
      <c r="T12" s="85"/>
      <c r="U12" s="88" t="str">
        <f t="shared" si="1"/>
        <v>https://pbs.twimg.com/media/FfXtNA_WAA0EuBF.jpg</v>
      </c>
      <c r="V12" s="88" t="str">
        <f t="shared" si="1"/>
        <v>https://pbs.twimg.com/media/FfXtNA_WAA0EuBF.jpg</v>
      </c>
      <c r="W12" s="87">
        <v>44852.7509375</v>
      </c>
      <c r="X12" s="92">
        <v>44852</v>
      </c>
      <c r="Y12" s="89" t="s">
        <v>242</v>
      </c>
      <c r="Z12" s="88" t="str">
        <f t="shared" si="2"/>
        <v>https://twitter.com/#!/nkoopatrice/status/1582431654101983233</v>
      </c>
      <c r="AA12" s="85"/>
      <c r="AB12" s="85"/>
      <c r="AC12" s="89" t="s">
        <v>245</v>
      </c>
      <c r="AD12" s="85"/>
      <c r="AE12" s="85" t="b">
        <v>0</v>
      </c>
      <c r="AF12" s="85">
        <v>0</v>
      </c>
      <c r="AG12" s="89" t="s">
        <v>248</v>
      </c>
      <c r="AH12" s="85" t="b">
        <v>0</v>
      </c>
      <c r="AI12" s="85" t="s">
        <v>250</v>
      </c>
      <c r="AJ12" s="85"/>
      <c r="AK12" s="89" t="s">
        <v>247</v>
      </c>
      <c r="AL12" s="85" t="b">
        <v>0</v>
      </c>
      <c r="AM12" s="85">
        <v>0</v>
      </c>
      <c r="AN12" s="89" t="s">
        <v>247</v>
      </c>
      <c r="AO12" s="89" t="s">
        <v>253</v>
      </c>
      <c r="AP12" s="85" t="b">
        <v>0</v>
      </c>
      <c r="AQ12" s="89" t="s">
        <v>245</v>
      </c>
      <c r="AR12" s="85" t="s">
        <v>176</v>
      </c>
      <c r="AS12" s="85">
        <v>0</v>
      </c>
      <c r="AT12" s="85">
        <v>0</v>
      </c>
      <c r="AU12" s="85"/>
      <c r="AV12" s="85"/>
      <c r="AW12" s="85"/>
      <c r="AX12" s="85"/>
      <c r="AY12" s="85"/>
      <c r="AZ12" s="85"/>
      <c r="BA12" s="85"/>
      <c r="BB12" s="85"/>
      <c r="BC12">
        <v>1</v>
      </c>
      <c r="BD12" s="84" t="str">
        <f>REPLACE(INDEX(GroupVertices[Group],MATCH(Edges11[[#This Row],[Vertex 1]],GroupVertices[Vertex],0)),1,1,"")</f>
        <v>2</v>
      </c>
      <c r="BE12" s="84" t="str">
        <f>REPLACE(INDEX(GroupVertices[Group],MATCH(Edges11[[#This Row],[Vertex 2]],GroupVertices[Vertex],0)),1,1,"")</f>
        <v>2</v>
      </c>
    </row>
    <row r="13" spans="1:57" ht="15">
      <c r="A13" s="83" t="s">
        <v>216</v>
      </c>
      <c r="B13" s="83" t="s">
        <v>225</v>
      </c>
      <c r="C13" s="54"/>
      <c r="D13" s="55"/>
      <c r="E13" s="67"/>
      <c r="F13" s="56"/>
      <c r="G13" s="54"/>
      <c r="H13" s="58"/>
      <c r="I13" s="57"/>
      <c r="J13" s="57"/>
      <c r="K13" s="36" t="s">
        <v>65</v>
      </c>
      <c r="L13" s="82">
        <v>13</v>
      </c>
      <c r="M13" s="82"/>
      <c r="N13" s="64"/>
      <c r="O13" s="85" t="s">
        <v>234</v>
      </c>
      <c r="P13" s="87">
        <v>44879.920949074076</v>
      </c>
      <c r="Q13" s="85" t="s">
        <v>238</v>
      </c>
      <c r="R13" s="88" t="str">
        <f aca="true" t="shared" si="3" ref="R13:R20">HYPERLINK("https://twitter.com/DaylightDeFi/status/1592027045063802880")</f>
        <v>https://twitter.com/DaylightDeFi/status/1592027045063802880</v>
      </c>
      <c r="S13" s="85" t="s">
        <v>239</v>
      </c>
      <c r="T13" s="89" t="s">
        <v>240</v>
      </c>
      <c r="U13" s="85"/>
      <c r="V13" s="88" t="str">
        <f aca="true" t="shared" si="4" ref="V13:V20">HYPERLINK("http://pbs.twimg.com/profile_images/1589623367031836672/3ht0DvKN_normal.jpg")</f>
        <v>http://pbs.twimg.com/profile_images/1589623367031836672/3ht0DvKN_normal.jpg</v>
      </c>
      <c r="W13" s="87">
        <v>44879.920949074076</v>
      </c>
      <c r="X13" s="92">
        <v>44879</v>
      </c>
      <c r="Y13" s="89" t="s">
        <v>243</v>
      </c>
      <c r="Z13" s="88" t="str">
        <f aca="true" t="shared" si="5" ref="Z13:Z20">HYPERLINK("https://twitter.com/#!/ecawinner12/status/1592277737699278849")</f>
        <v>https://twitter.com/#!/ecawinner12/status/1592277737699278849</v>
      </c>
      <c r="AA13" s="85"/>
      <c r="AB13" s="85"/>
      <c r="AC13" s="89" t="s">
        <v>246</v>
      </c>
      <c r="AD13" s="85"/>
      <c r="AE13" s="85" t="b">
        <v>0</v>
      </c>
      <c r="AF13" s="85">
        <v>0</v>
      </c>
      <c r="AG13" s="89" t="s">
        <v>247</v>
      </c>
      <c r="AH13" s="85" t="b">
        <v>1</v>
      </c>
      <c r="AI13" s="85" t="s">
        <v>249</v>
      </c>
      <c r="AJ13" s="85"/>
      <c r="AK13" s="89" t="s">
        <v>251</v>
      </c>
      <c r="AL13" s="85" t="b">
        <v>0</v>
      </c>
      <c r="AM13" s="85">
        <v>0</v>
      </c>
      <c r="AN13" s="89" t="s">
        <v>247</v>
      </c>
      <c r="AO13" s="89" t="s">
        <v>254</v>
      </c>
      <c r="AP13" s="85" t="b">
        <v>0</v>
      </c>
      <c r="AQ13" s="89" t="s">
        <v>246</v>
      </c>
      <c r="AR13" s="85" t="s">
        <v>176</v>
      </c>
      <c r="AS13" s="85">
        <v>0</v>
      </c>
      <c r="AT13" s="85">
        <v>0</v>
      </c>
      <c r="AU13" s="85"/>
      <c r="AV13" s="85"/>
      <c r="AW13" s="85"/>
      <c r="AX13" s="85"/>
      <c r="AY13" s="85"/>
      <c r="AZ13" s="85"/>
      <c r="BA13" s="85"/>
      <c r="BB13" s="85"/>
      <c r="BC13">
        <v>1</v>
      </c>
      <c r="BD13" s="84" t="str">
        <f>REPLACE(INDEX(GroupVertices[Group],MATCH(Edges11[[#This Row],[Vertex 1]],GroupVertices[Vertex],0)),1,1,"")</f>
        <v>1</v>
      </c>
      <c r="BE13" s="84" t="str">
        <f>REPLACE(INDEX(GroupVertices[Group],MATCH(Edges11[[#This Row],[Vertex 2]],GroupVertices[Vertex],0)),1,1,"")</f>
        <v>1</v>
      </c>
    </row>
    <row r="14" spans="1:57" ht="15">
      <c r="A14" s="83" t="s">
        <v>216</v>
      </c>
      <c r="B14" s="83" t="s">
        <v>226</v>
      </c>
      <c r="C14" s="54"/>
      <c r="D14" s="55"/>
      <c r="E14" s="67"/>
      <c r="F14" s="56"/>
      <c r="G14" s="54"/>
      <c r="H14" s="58"/>
      <c r="I14" s="57"/>
      <c r="J14" s="57"/>
      <c r="K14" s="36" t="s">
        <v>65</v>
      </c>
      <c r="L14" s="82">
        <v>14</v>
      </c>
      <c r="M14" s="82"/>
      <c r="N14" s="64"/>
      <c r="O14" s="85" t="s">
        <v>234</v>
      </c>
      <c r="P14" s="87">
        <v>44879.920949074076</v>
      </c>
      <c r="Q14" s="85" t="s">
        <v>238</v>
      </c>
      <c r="R14" s="88" t="str">
        <f t="shared" si="3"/>
        <v>https://twitter.com/DaylightDeFi/status/1592027045063802880</v>
      </c>
      <c r="S14" s="85" t="s">
        <v>239</v>
      </c>
      <c r="T14" s="89" t="s">
        <v>240</v>
      </c>
      <c r="U14" s="85"/>
      <c r="V14" s="88" t="str">
        <f t="shared" si="4"/>
        <v>http://pbs.twimg.com/profile_images/1589623367031836672/3ht0DvKN_normal.jpg</v>
      </c>
      <c r="W14" s="87">
        <v>44879.920949074076</v>
      </c>
      <c r="X14" s="92">
        <v>44879</v>
      </c>
      <c r="Y14" s="89" t="s">
        <v>243</v>
      </c>
      <c r="Z14" s="88" t="str">
        <f t="shared" si="5"/>
        <v>https://twitter.com/#!/ecawinner12/status/1592277737699278849</v>
      </c>
      <c r="AA14" s="85"/>
      <c r="AB14" s="85"/>
      <c r="AC14" s="89" t="s">
        <v>246</v>
      </c>
      <c r="AD14" s="85"/>
      <c r="AE14" s="85" t="b">
        <v>0</v>
      </c>
      <c r="AF14" s="85">
        <v>0</v>
      </c>
      <c r="AG14" s="89" t="s">
        <v>247</v>
      </c>
      <c r="AH14" s="85" t="b">
        <v>1</v>
      </c>
      <c r="AI14" s="85" t="s">
        <v>249</v>
      </c>
      <c r="AJ14" s="85"/>
      <c r="AK14" s="89" t="s">
        <v>251</v>
      </c>
      <c r="AL14" s="85" t="b">
        <v>0</v>
      </c>
      <c r="AM14" s="85">
        <v>0</v>
      </c>
      <c r="AN14" s="89" t="s">
        <v>247</v>
      </c>
      <c r="AO14" s="89" t="s">
        <v>254</v>
      </c>
      <c r="AP14" s="85" t="b">
        <v>0</v>
      </c>
      <c r="AQ14" s="89" t="s">
        <v>246</v>
      </c>
      <c r="AR14" s="85" t="s">
        <v>176</v>
      </c>
      <c r="AS14" s="85">
        <v>0</v>
      </c>
      <c r="AT14" s="85">
        <v>0</v>
      </c>
      <c r="AU14" s="85"/>
      <c r="AV14" s="85"/>
      <c r="AW14" s="85"/>
      <c r="AX14" s="85"/>
      <c r="AY14" s="85"/>
      <c r="AZ14" s="85"/>
      <c r="BA14" s="85"/>
      <c r="BB14" s="85"/>
      <c r="BC14">
        <v>1</v>
      </c>
      <c r="BD14" s="84" t="str">
        <f>REPLACE(INDEX(GroupVertices[Group],MATCH(Edges11[[#This Row],[Vertex 1]],GroupVertices[Vertex],0)),1,1,"")</f>
        <v>1</v>
      </c>
      <c r="BE14" s="84" t="str">
        <f>REPLACE(INDEX(GroupVertices[Group],MATCH(Edges11[[#This Row],[Vertex 2]],GroupVertices[Vertex],0)),1,1,"")</f>
        <v>1</v>
      </c>
    </row>
    <row r="15" spans="1:57" ht="15">
      <c r="A15" s="83" t="s">
        <v>216</v>
      </c>
      <c r="B15" s="83" t="s">
        <v>227</v>
      </c>
      <c r="C15" s="54"/>
      <c r="D15" s="55"/>
      <c r="E15" s="67"/>
      <c r="F15" s="56"/>
      <c r="G15" s="54"/>
      <c r="H15" s="58"/>
      <c r="I15" s="57"/>
      <c r="J15" s="57"/>
      <c r="K15" s="36" t="s">
        <v>65</v>
      </c>
      <c r="L15" s="82">
        <v>15</v>
      </c>
      <c r="M15" s="82"/>
      <c r="N15" s="64"/>
      <c r="O15" s="85" t="s">
        <v>234</v>
      </c>
      <c r="P15" s="87">
        <v>44879.920949074076</v>
      </c>
      <c r="Q15" s="85" t="s">
        <v>238</v>
      </c>
      <c r="R15" s="88" t="str">
        <f t="shared" si="3"/>
        <v>https://twitter.com/DaylightDeFi/status/1592027045063802880</v>
      </c>
      <c r="S15" s="85" t="s">
        <v>239</v>
      </c>
      <c r="T15" s="89" t="s">
        <v>240</v>
      </c>
      <c r="U15" s="85"/>
      <c r="V15" s="88" t="str">
        <f t="shared" si="4"/>
        <v>http://pbs.twimg.com/profile_images/1589623367031836672/3ht0DvKN_normal.jpg</v>
      </c>
      <c r="W15" s="87">
        <v>44879.920949074076</v>
      </c>
      <c r="X15" s="92">
        <v>44879</v>
      </c>
      <c r="Y15" s="89" t="s">
        <v>243</v>
      </c>
      <c r="Z15" s="88" t="str">
        <f t="shared" si="5"/>
        <v>https://twitter.com/#!/ecawinner12/status/1592277737699278849</v>
      </c>
      <c r="AA15" s="85"/>
      <c r="AB15" s="85"/>
      <c r="AC15" s="89" t="s">
        <v>246</v>
      </c>
      <c r="AD15" s="85"/>
      <c r="AE15" s="85" t="b">
        <v>0</v>
      </c>
      <c r="AF15" s="85">
        <v>0</v>
      </c>
      <c r="AG15" s="89" t="s">
        <v>247</v>
      </c>
      <c r="AH15" s="85" t="b">
        <v>1</v>
      </c>
      <c r="AI15" s="85" t="s">
        <v>249</v>
      </c>
      <c r="AJ15" s="85"/>
      <c r="AK15" s="89" t="s">
        <v>251</v>
      </c>
      <c r="AL15" s="85" t="b">
        <v>0</v>
      </c>
      <c r="AM15" s="85">
        <v>0</v>
      </c>
      <c r="AN15" s="89" t="s">
        <v>247</v>
      </c>
      <c r="AO15" s="89" t="s">
        <v>254</v>
      </c>
      <c r="AP15" s="85" t="b">
        <v>0</v>
      </c>
      <c r="AQ15" s="89" t="s">
        <v>246</v>
      </c>
      <c r="AR15" s="85" t="s">
        <v>176</v>
      </c>
      <c r="AS15" s="85">
        <v>0</v>
      </c>
      <c r="AT15" s="85">
        <v>0</v>
      </c>
      <c r="AU15" s="85"/>
      <c r="AV15" s="85"/>
      <c r="AW15" s="85"/>
      <c r="AX15" s="85"/>
      <c r="AY15" s="85"/>
      <c r="AZ15" s="85"/>
      <c r="BA15" s="85"/>
      <c r="BB15" s="85"/>
      <c r="BC15">
        <v>1</v>
      </c>
      <c r="BD15" s="84" t="str">
        <f>REPLACE(INDEX(GroupVertices[Group],MATCH(Edges11[[#This Row],[Vertex 1]],GroupVertices[Vertex],0)),1,1,"")</f>
        <v>1</v>
      </c>
      <c r="BE15" s="84" t="str">
        <f>REPLACE(INDEX(GroupVertices[Group],MATCH(Edges11[[#This Row],[Vertex 2]],GroupVertices[Vertex],0)),1,1,"")</f>
        <v>1</v>
      </c>
    </row>
    <row r="16" spans="1:57" ht="15">
      <c r="A16" s="83" t="s">
        <v>216</v>
      </c>
      <c r="B16" s="83" t="s">
        <v>228</v>
      </c>
      <c r="C16" s="54"/>
      <c r="D16" s="55"/>
      <c r="E16" s="67"/>
      <c r="F16" s="56"/>
      <c r="G16" s="54"/>
      <c r="H16" s="58"/>
      <c r="I16" s="57"/>
      <c r="J16" s="57"/>
      <c r="K16" s="36" t="s">
        <v>65</v>
      </c>
      <c r="L16" s="82">
        <v>16</v>
      </c>
      <c r="M16" s="82"/>
      <c r="N16" s="64"/>
      <c r="O16" s="85" t="s">
        <v>234</v>
      </c>
      <c r="P16" s="87">
        <v>44879.920949074076</v>
      </c>
      <c r="Q16" s="85" t="s">
        <v>238</v>
      </c>
      <c r="R16" s="88" t="str">
        <f t="shared" si="3"/>
        <v>https://twitter.com/DaylightDeFi/status/1592027045063802880</v>
      </c>
      <c r="S16" s="85" t="s">
        <v>239</v>
      </c>
      <c r="T16" s="89" t="s">
        <v>240</v>
      </c>
      <c r="U16" s="85"/>
      <c r="V16" s="88" t="str">
        <f t="shared" si="4"/>
        <v>http://pbs.twimg.com/profile_images/1589623367031836672/3ht0DvKN_normal.jpg</v>
      </c>
      <c r="W16" s="87">
        <v>44879.920949074076</v>
      </c>
      <c r="X16" s="92">
        <v>44879</v>
      </c>
      <c r="Y16" s="89" t="s">
        <v>243</v>
      </c>
      <c r="Z16" s="88" t="str">
        <f t="shared" si="5"/>
        <v>https://twitter.com/#!/ecawinner12/status/1592277737699278849</v>
      </c>
      <c r="AA16" s="85"/>
      <c r="AB16" s="85"/>
      <c r="AC16" s="89" t="s">
        <v>246</v>
      </c>
      <c r="AD16" s="85"/>
      <c r="AE16" s="85" t="b">
        <v>0</v>
      </c>
      <c r="AF16" s="85">
        <v>0</v>
      </c>
      <c r="AG16" s="89" t="s">
        <v>247</v>
      </c>
      <c r="AH16" s="85" t="b">
        <v>1</v>
      </c>
      <c r="AI16" s="85" t="s">
        <v>249</v>
      </c>
      <c r="AJ16" s="85"/>
      <c r="AK16" s="89" t="s">
        <v>251</v>
      </c>
      <c r="AL16" s="85" t="b">
        <v>0</v>
      </c>
      <c r="AM16" s="85">
        <v>0</v>
      </c>
      <c r="AN16" s="89" t="s">
        <v>247</v>
      </c>
      <c r="AO16" s="89" t="s">
        <v>254</v>
      </c>
      <c r="AP16" s="85" t="b">
        <v>0</v>
      </c>
      <c r="AQ16" s="89" t="s">
        <v>246</v>
      </c>
      <c r="AR16" s="85" t="s">
        <v>176</v>
      </c>
      <c r="AS16" s="85">
        <v>0</v>
      </c>
      <c r="AT16" s="85">
        <v>0</v>
      </c>
      <c r="AU16" s="85"/>
      <c r="AV16" s="85"/>
      <c r="AW16" s="85"/>
      <c r="AX16" s="85"/>
      <c r="AY16" s="85"/>
      <c r="AZ16" s="85"/>
      <c r="BA16" s="85"/>
      <c r="BB16" s="85"/>
      <c r="BC16">
        <v>1</v>
      </c>
      <c r="BD16" s="84" t="str">
        <f>REPLACE(INDEX(GroupVertices[Group],MATCH(Edges11[[#This Row],[Vertex 1]],GroupVertices[Vertex],0)),1,1,"")</f>
        <v>1</v>
      </c>
      <c r="BE16" s="84" t="str">
        <f>REPLACE(INDEX(GroupVertices[Group],MATCH(Edges11[[#This Row],[Vertex 2]],GroupVertices[Vertex],0)),1,1,"")</f>
        <v>1</v>
      </c>
    </row>
    <row r="17" spans="1:57" ht="15">
      <c r="A17" s="83" t="s">
        <v>216</v>
      </c>
      <c r="B17" s="83" t="s">
        <v>229</v>
      </c>
      <c r="C17" s="54"/>
      <c r="D17" s="55"/>
      <c r="E17" s="67"/>
      <c r="F17" s="56"/>
      <c r="G17" s="54"/>
      <c r="H17" s="58"/>
      <c r="I17" s="57"/>
      <c r="J17" s="57"/>
      <c r="K17" s="36" t="s">
        <v>65</v>
      </c>
      <c r="L17" s="82">
        <v>17</v>
      </c>
      <c r="M17" s="82"/>
      <c r="N17" s="64"/>
      <c r="O17" s="85" t="s">
        <v>234</v>
      </c>
      <c r="P17" s="87">
        <v>44879.920949074076</v>
      </c>
      <c r="Q17" s="85" t="s">
        <v>238</v>
      </c>
      <c r="R17" s="88" t="str">
        <f t="shared" si="3"/>
        <v>https://twitter.com/DaylightDeFi/status/1592027045063802880</v>
      </c>
      <c r="S17" s="85" t="s">
        <v>239</v>
      </c>
      <c r="T17" s="89" t="s">
        <v>240</v>
      </c>
      <c r="U17" s="85"/>
      <c r="V17" s="88" t="str">
        <f t="shared" si="4"/>
        <v>http://pbs.twimg.com/profile_images/1589623367031836672/3ht0DvKN_normal.jpg</v>
      </c>
      <c r="W17" s="87">
        <v>44879.920949074076</v>
      </c>
      <c r="X17" s="92">
        <v>44879</v>
      </c>
      <c r="Y17" s="89" t="s">
        <v>243</v>
      </c>
      <c r="Z17" s="88" t="str">
        <f t="shared" si="5"/>
        <v>https://twitter.com/#!/ecawinner12/status/1592277737699278849</v>
      </c>
      <c r="AA17" s="85"/>
      <c r="AB17" s="85"/>
      <c r="AC17" s="89" t="s">
        <v>246</v>
      </c>
      <c r="AD17" s="85"/>
      <c r="AE17" s="85" t="b">
        <v>0</v>
      </c>
      <c r="AF17" s="85">
        <v>0</v>
      </c>
      <c r="AG17" s="89" t="s">
        <v>247</v>
      </c>
      <c r="AH17" s="85" t="b">
        <v>1</v>
      </c>
      <c r="AI17" s="85" t="s">
        <v>249</v>
      </c>
      <c r="AJ17" s="85"/>
      <c r="AK17" s="89" t="s">
        <v>251</v>
      </c>
      <c r="AL17" s="85" t="b">
        <v>0</v>
      </c>
      <c r="AM17" s="85">
        <v>0</v>
      </c>
      <c r="AN17" s="89" t="s">
        <v>247</v>
      </c>
      <c r="AO17" s="89" t="s">
        <v>254</v>
      </c>
      <c r="AP17" s="85" t="b">
        <v>0</v>
      </c>
      <c r="AQ17" s="89" t="s">
        <v>246</v>
      </c>
      <c r="AR17" s="85" t="s">
        <v>176</v>
      </c>
      <c r="AS17" s="85">
        <v>0</v>
      </c>
      <c r="AT17" s="85">
        <v>0</v>
      </c>
      <c r="AU17" s="85"/>
      <c r="AV17" s="85"/>
      <c r="AW17" s="85"/>
      <c r="AX17" s="85"/>
      <c r="AY17" s="85"/>
      <c r="AZ17" s="85"/>
      <c r="BA17" s="85"/>
      <c r="BB17" s="85"/>
      <c r="BC17">
        <v>1</v>
      </c>
      <c r="BD17" s="84" t="str">
        <f>REPLACE(INDEX(GroupVertices[Group],MATCH(Edges11[[#This Row],[Vertex 1]],GroupVertices[Vertex],0)),1,1,"")</f>
        <v>1</v>
      </c>
      <c r="BE17" s="84" t="str">
        <f>REPLACE(INDEX(GroupVertices[Group],MATCH(Edges11[[#This Row],[Vertex 2]],GroupVertices[Vertex],0)),1,1,"")</f>
        <v>1</v>
      </c>
    </row>
    <row r="18" spans="1:57" ht="15">
      <c r="A18" s="83" t="s">
        <v>216</v>
      </c>
      <c r="B18" s="83" t="s">
        <v>230</v>
      </c>
      <c r="C18" s="54"/>
      <c r="D18" s="55"/>
      <c r="E18" s="67"/>
      <c r="F18" s="56"/>
      <c r="G18" s="54"/>
      <c r="H18" s="58"/>
      <c r="I18" s="57"/>
      <c r="J18" s="57"/>
      <c r="K18" s="36" t="s">
        <v>65</v>
      </c>
      <c r="L18" s="82">
        <v>18</v>
      </c>
      <c r="M18" s="82"/>
      <c r="N18" s="64"/>
      <c r="O18" s="85" t="s">
        <v>234</v>
      </c>
      <c r="P18" s="87">
        <v>44879.920949074076</v>
      </c>
      <c r="Q18" s="85" t="s">
        <v>238</v>
      </c>
      <c r="R18" s="88" t="str">
        <f t="shared" si="3"/>
        <v>https://twitter.com/DaylightDeFi/status/1592027045063802880</v>
      </c>
      <c r="S18" s="85" t="s">
        <v>239</v>
      </c>
      <c r="T18" s="89" t="s">
        <v>240</v>
      </c>
      <c r="U18" s="85"/>
      <c r="V18" s="88" t="str">
        <f t="shared" si="4"/>
        <v>http://pbs.twimg.com/profile_images/1589623367031836672/3ht0DvKN_normal.jpg</v>
      </c>
      <c r="W18" s="87">
        <v>44879.920949074076</v>
      </c>
      <c r="X18" s="92">
        <v>44879</v>
      </c>
      <c r="Y18" s="89" t="s">
        <v>243</v>
      </c>
      <c r="Z18" s="88" t="str">
        <f t="shared" si="5"/>
        <v>https://twitter.com/#!/ecawinner12/status/1592277737699278849</v>
      </c>
      <c r="AA18" s="85"/>
      <c r="AB18" s="85"/>
      <c r="AC18" s="89" t="s">
        <v>246</v>
      </c>
      <c r="AD18" s="85"/>
      <c r="AE18" s="85" t="b">
        <v>0</v>
      </c>
      <c r="AF18" s="85">
        <v>0</v>
      </c>
      <c r="AG18" s="89" t="s">
        <v>247</v>
      </c>
      <c r="AH18" s="85" t="b">
        <v>1</v>
      </c>
      <c r="AI18" s="85" t="s">
        <v>249</v>
      </c>
      <c r="AJ18" s="85"/>
      <c r="AK18" s="89" t="s">
        <v>251</v>
      </c>
      <c r="AL18" s="85" t="b">
        <v>0</v>
      </c>
      <c r="AM18" s="85">
        <v>0</v>
      </c>
      <c r="AN18" s="89" t="s">
        <v>247</v>
      </c>
      <c r="AO18" s="89" t="s">
        <v>254</v>
      </c>
      <c r="AP18" s="85" t="b">
        <v>0</v>
      </c>
      <c r="AQ18" s="89" t="s">
        <v>246</v>
      </c>
      <c r="AR18" s="85" t="s">
        <v>176</v>
      </c>
      <c r="AS18" s="85">
        <v>0</v>
      </c>
      <c r="AT18" s="85">
        <v>0</v>
      </c>
      <c r="AU18" s="85"/>
      <c r="AV18" s="85"/>
      <c r="AW18" s="85"/>
      <c r="AX18" s="85"/>
      <c r="AY18" s="85"/>
      <c r="AZ18" s="85"/>
      <c r="BA18" s="85"/>
      <c r="BB18" s="85"/>
      <c r="BC18">
        <v>1</v>
      </c>
      <c r="BD18" s="84" t="str">
        <f>REPLACE(INDEX(GroupVertices[Group],MATCH(Edges11[[#This Row],[Vertex 1]],GroupVertices[Vertex],0)),1,1,"")</f>
        <v>1</v>
      </c>
      <c r="BE18" s="84" t="str">
        <f>REPLACE(INDEX(GroupVertices[Group],MATCH(Edges11[[#This Row],[Vertex 2]],GroupVertices[Vertex],0)),1,1,"")</f>
        <v>1</v>
      </c>
    </row>
    <row r="19" spans="1:57" ht="15">
      <c r="A19" s="83" t="s">
        <v>216</v>
      </c>
      <c r="B19" s="83" t="s">
        <v>231</v>
      </c>
      <c r="C19" s="54"/>
      <c r="D19" s="55"/>
      <c r="E19" s="67"/>
      <c r="F19" s="56"/>
      <c r="G19" s="54"/>
      <c r="H19" s="58"/>
      <c r="I19" s="57"/>
      <c r="J19" s="57"/>
      <c r="K19" s="36" t="s">
        <v>65</v>
      </c>
      <c r="L19" s="82">
        <v>19</v>
      </c>
      <c r="M19" s="82"/>
      <c r="N19" s="64"/>
      <c r="O19" s="85" t="s">
        <v>234</v>
      </c>
      <c r="P19" s="87">
        <v>44879.920949074076</v>
      </c>
      <c r="Q19" s="85" t="s">
        <v>238</v>
      </c>
      <c r="R19" s="88" t="str">
        <f t="shared" si="3"/>
        <v>https://twitter.com/DaylightDeFi/status/1592027045063802880</v>
      </c>
      <c r="S19" s="85" t="s">
        <v>239</v>
      </c>
      <c r="T19" s="89" t="s">
        <v>240</v>
      </c>
      <c r="U19" s="85"/>
      <c r="V19" s="88" t="str">
        <f t="shared" si="4"/>
        <v>http://pbs.twimg.com/profile_images/1589623367031836672/3ht0DvKN_normal.jpg</v>
      </c>
      <c r="W19" s="87">
        <v>44879.920949074076</v>
      </c>
      <c r="X19" s="92">
        <v>44879</v>
      </c>
      <c r="Y19" s="89" t="s">
        <v>243</v>
      </c>
      <c r="Z19" s="88" t="str">
        <f t="shared" si="5"/>
        <v>https://twitter.com/#!/ecawinner12/status/1592277737699278849</v>
      </c>
      <c r="AA19" s="85"/>
      <c r="AB19" s="85"/>
      <c r="AC19" s="89" t="s">
        <v>246</v>
      </c>
      <c r="AD19" s="85"/>
      <c r="AE19" s="85" t="b">
        <v>0</v>
      </c>
      <c r="AF19" s="85">
        <v>0</v>
      </c>
      <c r="AG19" s="89" t="s">
        <v>247</v>
      </c>
      <c r="AH19" s="85" t="b">
        <v>1</v>
      </c>
      <c r="AI19" s="85" t="s">
        <v>249</v>
      </c>
      <c r="AJ19" s="85"/>
      <c r="AK19" s="89" t="s">
        <v>251</v>
      </c>
      <c r="AL19" s="85" t="b">
        <v>0</v>
      </c>
      <c r="AM19" s="85">
        <v>0</v>
      </c>
      <c r="AN19" s="89" t="s">
        <v>247</v>
      </c>
      <c r="AO19" s="89" t="s">
        <v>254</v>
      </c>
      <c r="AP19" s="85" t="b">
        <v>0</v>
      </c>
      <c r="AQ19" s="89" t="s">
        <v>246</v>
      </c>
      <c r="AR19" s="85" t="s">
        <v>176</v>
      </c>
      <c r="AS19" s="85">
        <v>0</v>
      </c>
      <c r="AT19" s="85">
        <v>0</v>
      </c>
      <c r="AU19" s="85"/>
      <c r="AV19" s="85"/>
      <c r="AW19" s="85"/>
      <c r="AX19" s="85"/>
      <c r="AY19" s="85"/>
      <c r="AZ19" s="85"/>
      <c r="BA19" s="85"/>
      <c r="BB19" s="85"/>
      <c r="BC19">
        <v>1</v>
      </c>
      <c r="BD19" s="84" t="str">
        <f>REPLACE(INDEX(GroupVertices[Group],MATCH(Edges11[[#This Row],[Vertex 1]],GroupVertices[Vertex],0)),1,1,"")</f>
        <v>1</v>
      </c>
      <c r="BE19" s="84" t="str">
        <f>REPLACE(INDEX(GroupVertices[Group],MATCH(Edges11[[#This Row],[Vertex 2]],GroupVertices[Vertex],0)),1,1,"")</f>
        <v>1</v>
      </c>
    </row>
    <row r="20" spans="1:57" ht="15">
      <c r="A20" s="83" t="s">
        <v>216</v>
      </c>
      <c r="B20" s="83" t="s">
        <v>232</v>
      </c>
      <c r="C20" s="54"/>
      <c r="D20" s="55"/>
      <c r="E20" s="67"/>
      <c r="F20" s="56"/>
      <c r="G20" s="54"/>
      <c r="H20" s="58"/>
      <c r="I20" s="57"/>
      <c r="J20" s="57"/>
      <c r="K20" s="36" t="s">
        <v>65</v>
      </c>
      <c r="L20" s="82">
        <v>20</v>
      </c>
      <c r="M20" s="82"/>
      <c r="N20" s="64"/>
      <c r="O20" s="85" t="s">
        <v>234</v>
      </c>
      <c r="P20" s="87">
        <v>44879.920949074076</v>
      </c>
      <c r="Q20" s="85" t="s">
        <v>238</v>
      </c>
      <c r="R20" s="88" t="str">
        <f t="shared" si="3"/>
        <v>https://twitter.com/DaylightDeFi/status/1592027045063802880</v>
      </c>
      <c r="S20" s="85" t="s">
        <v>239</v>
      </c>
      <c r="T20" s="89" t="s">
        <v>240</v>
      </c>
      <c r="U20" s="85"/>
      <c r="V20" s="88" t="str">
        <f t="shared" si="4"/>
        <v>http://pbs.twimg.com/profile_images/1589623367031836672/3ht0DvKN_normal.jpg</v>
      </c>
      <c r="W20" s="87">
        <v>44879.920949074076</v>
      </c>
      <c r="X20" s="92">
        <v>44879</v>
      </c>
      <c r="Y20" s="89" t="s">
        <v>243</v>
      </c>
      <c r="Z20" s="88" t="str">
        <f t="shared" si="5"/>
        <v>https://twitter.com/#!/ecawinner12/status/1592277737699278849</v>
      </c>
      <c r="AA20" s="85"/>
      <c r="AB20" s="85"/>
      <c r="AC20" s="89" t="s">
        <v>246</v>
      </c>
      <c r="AD20" s="85"/>
      <c r="AE20" s="85" t="b">
        <v>0</v>
      </c>
      <c r="AF20" s="85">
        <v>0</v>
      </c>
      <c r="AG20" s="89" t="s">
        <v>247</v>
      </c>
      <c r="AH20" s="85" t="b">
        <v>1</v>
      </c>
      <c r="AI20" s="85" t="s">
        <v>249</v>
      </c>
      <c r="AJ20" s="85"/>
      <c r="AK20" s="89" t="s">
        <v>251</v>
      </c>
      <c r="AL20" s="85" t="b">
        <v>0</v>
      </c>
      <c r="AM20" s="85">
        <v>0</v>
      </c>
      <c r="AN20" s="89" t="s">
        <v>247</v>
      </c>
      <c r="AO20" s="89" t="s">
        <v>254</v>
      </c>
      <c r="AP20" s="85" t="b">
        <v>0</v>
      </c>
      <c r="AQ20" s="89" t="s">
        <v>246</v>
      </c>
      <c r="AR20" s="85" t="s">
        <v>176</v>
      </c>
      <c r="AS20" s="85">
        <v>0</v>
      </c>
      <c r="AT20" s="85">
        <v>0</v>
      </c>
      <c r="AU20" s="85"/>
      <c r="AV20" s="85"/>
      <c r="AW20" s="85"/>
      <c r="AX20" s="85"/>
      <c r="AY20" s="85"/>
      <c r="AZ20" s="85"/>
      <c r="BA20" s="85"/>
      <c r="BB20" s="85"/>
      <c r="BC20">
        <v>1</v>
      </c>
      <c r="BD20" s="84" t="str">
        <f>REPLACE(INDEX(GroupVertices[Group],MATCH(Edges11[[#This Row],[Vertex 1]],GroupVertices[Vertex],0)),1,1,"")</f>
        <v>1</v>
      </c>
      <c r="BE20"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381</v>
      </c>
      <c r="K7" s="13" t="s">
        <v>382</v>
      </c>
    </row>
    <row r="8" spans="1:11" ht="409.5">
      <c r="A8"/>
      <c r="B8">
        <v>2</v>
      </c>
      <c r="C8">
        <v>2</v>
      </c>
      <c r="D8" t="s">
        <v>61</v>
      </c>
      <c r="E8" t="s">
        <v>61</v>
      </c>
      <c r="H8" t="s">
        <v>73</v>
      </c>
      <c r="J8" t="s">
        <v>383</v>
      </c>
      <c r="K8" s="13" t="s">
        <v>384</v>
      </c>
    </row>
    <row r="9" spans="1:11" ht="409.5">
      <c r="A9"/>
      <c r="B9">
        <v>3</v>
      </c>
      <c r="C9">
        <v>4</v>
      </c>
      <c r="D9" t="s">
        <v>62</v>
      </c>
      <c r="E9" t="s">
        <v>62</v>
      </c>
      <c r="H9" t="s">
        <v>74</v>
      </c>
      <c r="J9" t="s">
        <v>385</v>
      </c>
      <c r="K9" s="13" t="s">
        <v>386</v>
      </c>
    </row>
    <row r="10" spans="1:11" ht="409.5">
      <c r="A10"/>
      <c r="B10">
        <v>4</v>
      </c>
      <c r="D10" t="s">
        <v>63</v>
      </c>
      <c r="E10" t="s">
        <v>63</v>
      </c>
      <c r="H10" t="s">
        <v>75</v>
      </c>
      <c r="J10" t="s">
        <v>387</v>
      </c>
      <c r="K10" s="13" t="s">
        <v>388</v>
      </c>
    </row>
    <row r="11" spans="1:11" ht="15">
      <c r="A11"/>
      <c r="B11">
        <v>5</v>
      </c>
      <c r="D11" t="s">
        <v>46</v>
      </c>
      <c r="E11">
        <v>1</v>
      </c>
      <c r="H11" t="s">
        <v>76</v>
      </c>
      <c r="J11" t="s">
        <v>389</v>
      </c>
      <c r="K11" t="s">
        <v>390</v>
      </c>
    </row>
    <row r="12" spans="1:11" ht="15">
      <c r="A12"/>
      <c r="B12"/>
      <c r="D12" t="s">
        <v>64</v>
      </c>
      <c r="E12">
        <v>2</v>
      </c>
      <c r="H12">
        <v>0</v>
      </c>
      <c r="J12" t="s">
        <v>391</v>
      </c>
      <c r="K12" t="s">
        <v>392</v>
      </c>
    </row>
    <row r="13" spans="1:11" ht="15">
      <c r="A13"/>
      <c r="B13"/>
      <c r="D13">
        <v>1</v>
      </c>
      <c r="E13">
        <v>3</v>
      </c>
      <c r="H13">
        <v>1</v>
      </c>
      <c r="J13" t="s">
        <v>393</v>
      </c>
      <c r="K13" t="s">
        <v>394</v>
      </c>
    </row>
    <row r="14" spans="4:11" ht="15">
      <c r="D14">
        <v>2</v>
      </c>
      <c r="E14">
        <v>4</v>
      </c>
      <c r="H14">
        <v>2</v>
      </c>
      <c r="J14" t="s">
        <v>395</v>
      </c>
      <c r="K14" t="s">
        <v>396</v>
      </c>
    </row>
    <row r="15" spans="4:11" ht="15">
      <c r="D15">
        <v>3</v>
      </c>
      <c r="E15">
        <v>5</v>
      </c>
      <c r="H15">
        <v>3</v>
      </c>
      <c r="J15" t="s">
        <v>397</v>
      </c>
      <c r="K15" t="s">
        <v>398</v>
      </c>
    </row>
    <row r="16" spans="4:11" ht="15">
      <c r="D16">
        <v>4</v>
      </c>
      <c r="E16">
        <v>6</v>
      </c>
      <c r="H16">
        <v>4</v>
      </c>
      <c r="J16" t="s">
        <v>399</v>
      </c>
      <c r="K16" t="s">
        <v>400</v>
      </c>
    </row>
    <row r="17" spans="4:11" ht="15">
      <c r="D17">
        <v>5</v>
      </c>
      <c r="E17">
        <v>7</v>
      </c>
      <c r="H17">
        <v>5</v>
      </c>
      <c r="J17" t="s">
        <v>401</v>
      </c>
      <c r="K17" t="s">
        <v>402</v>
      </c>
    </row>
    <row r="18" spans="4:11" ht="15">
      <c r="D18">
        <v>6</v>
      </c>
      <c r="E18">
        <v>8</v>
      </c>
      <c r="H18">
        <v>6</v>
      </c>
      <c r="J18" t="s">
        <v>403</v>
      </c>
      <c r="K18" t="s">
        <v>404</v>
      </c>
    </row>
    <row r="19" spans="4:11" ht="15">
      <c r="D19">
        <v>7</v>
      </c>
      <c r="E19">
        <v>9</v>
      </c>
      <c r="H19">
        <v>7</v>
      </c>
      <c r="J19" t="s">
        <v>405</v>
      </c>
      <c r="K19" t="s">
        <v>406</v>
      </c>
    </row>
    <row r="20" spans="4:11" ht="15">
      <c r="D20">
        <v>8</v>
      </c>
      <c r="H20">
        <v>8</v>
      </c>
      <c r="J20" t="s">
        <v>407</v>
      </c>
      <c r="K20" t="s">
        <v>408</v>
      </c>
    </row>
    <row r="21" spans="4:11" ht="409.5">
      <c r="D21">
        <v>9</v>
      </c>
      <c r="H21">
        <v>9</v>
      </c>
      <c r="J21" t="s">
        <v>409</v>
      </c>
      <c r="K21" s="13" t="s">
        <v>410</v>
      </c>
    </row>
    <row r="22" spans="4:11" ht="409.5">
      <c r="D22">
        <v>10</v>
      </c>
      <c r="J22" t="s">
        <v>411</v>
      </c>
      <c r="K22" s="13" t="s">
        <v>412</v>
      </c>
    </row>
    <row r="23" spans="4:11" ht="409.5">
      <c r="D23">
        <v>11</v>
      </c>
      <c r="J23" t="s">
        <v>413</v>
      </c>
      <c r="K23" s="13" t="s">
        <v>435</v>
      </c>
    </row>
    <row r="24" spans="10:11" ht="409.5">
      <c r="J24" t="s">
        <v>414</v>
      </c>
      <c r="K24" s="13" t="s">
        <v>434</v>
      </c>
    </row>
    <row r="25" spans="10:11" ht="15">
      <c r="J25" t="s">
        <v>415</v>
      </c>
      <c r="K25" t="b">
        <v>0</v>
      </c>
    </row>
    <row r="26" spans="10:11" ht="15">
      <c r="J26" t="s">
        <v>432</v>
      </c>
      <c r="K26" t="s">
        <v>433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2" t="s">
        <v>429</v>
      </c>
      <c r="B25" t="s">
        <v>428</v>
      </c>
    </row>
    <row r="26" spans="1:2" ht="15">
      <c r="A26" s="123">
        <v>44776.252858796295</v>
      </c>
      <c r="B26" s="3">
        <v>3</v>
      </c>
    </row>
    <row r="27" spans="1:2" ht="15">
      <c r="A27" s="123">
        <v>44852.7509375</v>
      </c>
      <c r="B27" s="3">
        <v>7</v>
      </c>
    </row>
    <row r="28" spans="1:2" ht="15">
      <c r="A28" s="123">
        <v>44879.920949074076</v>
      </c>
      <c r="B28" s="3">
        <v>8</v>
      </c>
    </row>
    <row r="29" spans="1:2" ht="15">
      <c r="A29" s="123" t="s">
        <v>430</v>
      </c>
      <c r="B29"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2022-11-30T18:17:33Z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