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<sst xmlns="http://schemas.openxmlformats.org/spreadsheetml/2006/main" count="806" uniqueCount="354">
  <si>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</si>
  <si>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</si>
  <si>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</si>
  <si>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</si>
  <si>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</si>
  <si>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</si>
  <si>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</si>
  <si>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</si>
  <si>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</si>
  <si>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</si>
  <si>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</si>
  <si>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</si>
  <si>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</si>
  <si>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</si>
  <si>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</si>
  <si>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</si>
  <si>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</si>
  <si>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</si>
  <si>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</si>
  <si>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</si>
  <si>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</si>
  <si>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</si>
  <si>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</si>
  <si>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</si>
  <si>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</si>
  <si>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</si>
  <si>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</si>
  <si>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</si>
  <si>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</si>
  <si>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</si>
  <si>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</si>
  <si>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</si>
  <si>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</si>
  <si>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</si>
  <si>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</si>
  <si>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</si>
  <si>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</si>
  <si>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</si>
  <si>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</si>
  <si>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</si>
  <si>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</si>
  <si>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</si>
  <si>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</si>
  <si>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</si>
  <si>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</si>
  <si>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</si>
  <si>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</si>
  <si>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</si>
  <si>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</si>
  <si>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</si>
  <si>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</si>
  <si>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</si>
  <si>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</si>
  <si>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</si>
  <si>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</si>
  <si>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</si>
  <si>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</si>
  <si>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</si>
  <si>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</si>
  <si>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</si>
  <si>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</si>
  <si>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</si>
  <si>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</si>
  <si>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</si>
  <si>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</si>
  <si>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</si>
  <si>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</si>
  <si>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</si>
  <si>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</si>
  <si>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</si>
  <si>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</si>
  <si>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</si>
  <si>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</si>
  <si>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</si>
  <si>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</si>
  <si>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</si>
  <si>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</si>
  <si>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</si>
  <si>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</si>
  <si>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</si>
  <si>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</si>
  <si>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</si>
  <si>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</si>
  <si>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</si>
  <si>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</si>
  <si>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</si>
  <si>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</si>
  <si>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</si>
  <si>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</si>
  <si>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</si>
  <si>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</si>
  <si>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</si>
  <si>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</si>
  <si>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</si>
  <si>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</si>
  <si>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</si>
  <si>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</si>
  <si>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</si>
  <si>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</si>
  <si>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</si>
  <si>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</si>
  <si>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</si>
  <si>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</si>
  <si>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</si>
  <si>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</si>
  <si>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</si>
  <si>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</si>
  <si>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</si>
  <si>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</si>
  <si>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</si>
  <si>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</si>
  <si>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</si>
  <si>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</si>
  <si>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</si>
  <si>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</si>
  <si>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</si>
  <si>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</si>
  <si>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</si>
  <si>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</si>
  <si>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</si>
  <si>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</si>
  <si>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</si>
  <si>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</si>
  <si>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</si>
  <si>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</si>
  <si>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</si>
  <si>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</si>
  <si>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</si>
  <si>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</si>
  <si>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</si>
  <si>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</si>
  <si>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</si>
  <si>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</si>
  <si>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</si>
  <si>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</si>
  <si>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</si>
  <si>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</si>
  <si>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</si>
  <si>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</si>
  <si>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</si>
  <si>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</si>
  <si>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</si>
  <si>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</si>
  <si>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</si>
  <si>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</si>
  <si>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</si>
  <si>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</si>
  <si>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</si>
  <si>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</si>
  <si>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</si>
  <si>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</si>
  <si>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</si>
  <si>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</si>
  <si>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</si>
  <si>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</si>
  <si>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</si>
  <si>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</si>
  <si>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</si>
  <si>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</si>
  <si>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</si>
  <si>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</si>
  <si>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</si>
  <si>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</si>
  <si>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</si>
  <si>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</si>
  <si>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</si>
  <si>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</si>
  <si>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</si>
  <si>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</si>
  <si>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</si>
  <si>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</si>
  <si>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</si>
  <si>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</si>
  <si>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</si>
  <si>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</si>
  <si>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</si>
  <si>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</si>
  <si>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</si>
  <si>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</si>
  <si>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</si>
  <si>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</si>
  <si>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</si>
  <si>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</si>
  <si>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</si>
  <si>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</si>
  <si>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</si>
  <si>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</si>
  <si>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</si>
  <si>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</si>
  <si>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</si>
  <si>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</si>
  <si>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</si>
  <si>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</si>
  <si>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</si>
  <si>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</si>
  <si>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</si>
  <si>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</si>
  <si>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</si>
  <si>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</si>
  <si>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</si>
  <si>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</si>
  <si>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</si>
  <si>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</si>
  <si>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</si>
  <si>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</si>
  <si>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</si>
  <si>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</si>
  <si>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</si>
  <si>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</si>
  <si>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</si>
  <si>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</si>
  <si>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</si>
  <si>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</si>
  <si>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</si>
  <si>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</si>
  <si>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corriedavidson</t>
  </si>
  <si>
    <t>thecommbot</t>
  </si>
  <si>
    <t>cyberbaddeobot</t>
  </si>
  <si>
    <t>techpearce4</t>
  </si>
  <si>
    <t>techpearce6</t>
  </si>
  <si>
    <t>tradingarabian</t>
  </si>
  <si>
    <t>_iammarissaaa</t>
  </si>
  <si>
    <t>historian</t>
  </si>
  <si>
    <t>jennpedde</t>
  </si>
  <si>
    <t>Mentions</t>
  </si>
  <si>
    <t>cmgrchat via NodeXL https://t.co/Y3RCm1mBZH
@this0499154500
@historian
@_iammarissaaa
@tradingarabian
@techpearce6
@techpearce4
@cyberbaddeobot
@thecommbot
@corriedavidson
@jennpedde
Top hashtags:
#cmgrchat
#community
#esnchat
#communitytwitter
#contentmarketing /</t>
  </si>
  <si>
    <t>nodexlgraphgallery.org</t>
  </si>
  <si>
    <t>cmgrchat community esnchat communitytwitter contentmarketing</t>
  </si>
  <si>
    <t>15:18:08</t>
  </si>
  <si>
    <t>1595074157704019969</t>
  </si>
  <si>
    <t/>
  </si>
  <si>
    <t>en</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</si>
  <si>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</si>
  <si>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</si>
  <si>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</si>
  <si>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</si>
  <si>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</si>
  <si>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</si>
  <si>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</si>
  <si>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</si>
  <si>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</si>
  <si>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</si>
  <si>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</si>
  <si>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</si>
  <si>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</si>
  <si>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</si>
  <si>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</si>
  <si>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</si>
  <si>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</si>
  <si>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</si>
  <si>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</si>
  <si>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</si>
  <si>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</si>
  <si>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</si>
  <si>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</si>
  <si>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Jenn Pedde</t>
  </si>
  <si>
    <t>Corrie Davidson</t>
  </si>
  <si>
    <t>The Community Bot</t>
  </si>
  <si>
    <t>CyberBaddeoBot</t>
  </si>
  <si>
    <t>John Pearce #cyber &amp; #technology #news</t>
  </si>
  <si>
    <t>John pearce #cyber &amp; #technology #news</t>
  </si>
  <si>
    <t>Arabian Lion Trading</t>
  </si>
  <si>
    <t>r i s s</t>
  </si>
  <si>
    <t>David DeWald</t>
  </si>
  <si>
    <t>0499154500.eu</t>
  </si>
  <si>
    <t>24101967</t>
  </si>
  <si>
    <t>90703340</t>
  </si>
  <si>
    <t>1253630643612704769</t>
  </si>
  <si>
    <t>4140723142</t>
  </si>
  <si>
    <t>877800655477501952</t>
  </si>
  <si>
    <t>1458375312820117504</t>
  </si>
  <si>
    <t>1552299600211578881</t>
  </si>
  <si>
    <t>1560785091848290304</t>
  </si>
  <si>
    <t>1923101</t>
  </si>
  <si>
    <t>1443840264213311536</t>
  </si>
  <si>
    <t>Jack of all trades, Master of some.
Current prof @SyracuseU &amp; VP Customer Advocacy @_PeoplePath
Alum: @OliverWyman | @Soc_Element | @2Uinc | #cmgrchat | @WME</t>
  </si>
  <si>
    <t>Community + Product + Marketing // @getremento // Ex-Googler // Occasional consultant // @MaYiTheater Executive Board // #CMGR</t>
  </si>
  <si>
    <t>I am The Community Bot managed by The Community Guy @iamparaspundir.
Talk about community using #cmgr #devrel #communitymanagement &amp; I'll amplify your voice.</t>
  </si>
  <si>
    <t>Markov chained @baddeo and @cyberwest together. You won't believe what happened next.</t>
  </si>
  <si>
    <t>#Depession is not just a #Medical term! It is a #secret we keep to ourselves and afraid to discuss with anyone. Take the first step to freedom &amp; Talk to someone</t>
  </si>
  <si>
    <t>#cyber &amp; #technology #news  
@techpearce
@techpearce2
@techpearce3
@techpearce4
@JohnNews2u
@johnpearcenews5
#Science &amp; #Technology #News #Network</t>
  </si>
  <si>
    <t>Community Manager @Ciena. 20+ years of building online communities. #cmgrlive #cmgr #CommunityManagement #CommunityManager</t>
  </si>
  <si>
    <t>#nft #data #business #social #Moneymatters5
#13thingsalien this is #CrazyMediaNumbers 
https://t.co/nisnyylR4F</t>
  </si>
  <si>
    <t>San Diego, CA (via Cuse &amp; NYC)</t>
  </si>
  <si>
    <t>NYC</t>
  </si>
  <si>
    <t>The hub of gits</t>
  </si>
  <si>
    <t>Manchester, England</t>
  </si>
  <si>
    <t>Manchester uk</t>
  </si>
  <si>
    <t>Raleigh, NC</t>
  </si>
  <si>
    <t xml:space="preserve">rooftop </t>
  </si>
  <si>
    <t>Open Twitter Page for This Person</t>
  </si>
  <si>
    <t xml:space="preserve">jennpedde
</t>
  </si>
  <si>
    <t xml:space="preserve">corriedavidson
</t>
  </si>
  <si>
    <t xml:space="preserve">thecommbot
</t>
  </si>
  <si>
    <t xml:space="preserve">cyberbaddeobot
</t>
  </si>
  <si>
    <t xml:space="preserve">techpearce4
</t>
  </si>
  <si>
    <t xml:space="preserve">techpearce6
</t>
  </si>
  <si>
    <t xml:space="preserve">tradingarabian
</t>
  </si>
  <si>
    <t xml:space="preserve">_iammarissaaa
</t>
  </si>
  <si>
    <t xml:space="preserve">historian
</t>
  </si>
  <si>
    <t>this0499154500
cmgrchat via NodeXL https://t.co/Y3RCm1mBZH
@this0499154500 @historian @_iammarissaaa
@tradingarabian @techpearce6 @techpearce4
@cyberbaddeobot @thecommbot @corriedavidson
@jennpedde Top hashtags: #cmgrchat
#community #esnchat #communitytwitter
#contentmarketing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</si>
  <si>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</si>
  <si>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</si>
  <si>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</si>
  <si>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</si>
  <si>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</si>
  <si>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</si>
  <si>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</si>
  <si>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</si>
  <si>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</si>
  <si>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</si>
  <si>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</si>
  <si>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</si>
  <si>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</si>
  <si>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</si>
  <si>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</si>
  <si>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</si>
  <si>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</si>
  <si>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</si>
  <si>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</si>
  <si>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</si>
  <si>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</si>
  <si>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</si>
  <si>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</si>
  <si>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</si>
  <si>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</si>
  <si>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</si>
  <si>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</si>
  <si>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</si>
  <si>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</si>
  <si>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</si>
  <si>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</si>
  <si>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</si>
  <si>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</si>
  <si>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</si>
  <si>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</si>
  <si>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</si>
  <si>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</si>
  <si>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</si>
  <si>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</si>
  <si>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</si>
  <si>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</si>
  <si>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</si>
  <si>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</si>
  <si>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Top URLs in Tweet</t>
  </si>
  <si>
    <t>https://nodexlgraphgallery.org/Pages/Graph.aspx?graphID=284778</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</si>
  <si>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</si>
  <si>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</si>
  <si>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</si>
  <si>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</si>
  <si>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</si>
  <si>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</si>
  <si>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GraphSource░GraphServerTwitterSearch▓GraphTerm░#esnchat▓ImportDescription░The graph represents a network of 10 Twitter users whose tweets in the requested range contained "#esnchat", or who were replied to or mentioned in those tweets.  The network was obtained from the NodeXL Graph Server on Tuesday, 29 November 2022 at 16:45 UTC.
The requested start date was Tuesday, 29 November 2022 at 01:01 UTC and the maximum number of days (going backward) was 14.
The maximum number of tweets collected was 7,500.
The tweets in the network were tweeted over the 0-minute period from Tuesday, 22 November 2022 at 15:18 UTC to Tuesday, 22 November 2022 at 15:18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</si>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</sst>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131145"/>
        <c:axId val="26418258"/>
      </c:barChart>
      <c:catAx>
        <c:axId val="551311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418258"/>
        <c:crosses val="autoZero"/>
        <c:auto val="1"/>
        <c:lblOffset val="100"/>
        <c:noMultiLvlLbl val="0"/>
      </c:catAx>
      <c:valAx>
        <c:axId val="26418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311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11/22/2022 15:18</c:v>
                </c:pt>
              </c:strCache>
            </c:strRef>
          </c:cat>
          <c:val>
            <c:numRef>
              <c:f>'Time Series'!$B$26:$B$27</c:f>
              <c:numCache>
                <c:formatCode>General</c:formatCode>
                <c:ptCount val="1"/>
                <c:pt idx="0">
                  <c:v>9</c:v>
                </c:pt>
              </c:numCache>
            </c:numRef>
          </c:val>
        </c:ser>
        <c:axId val="12857907"/>
        <c:axId val="48612300"/>
      </c:barChart>
      <c:catAx>
        <c:axId val="12857907"/>
        <c:scaling>
          <c:orientation val="minMax"/>
        </c:scaling>
        <c:axPos val="b"/>
        <c:delete val="0"/>
        <c:numFmt formatCode="General" sourceLinked="1"/>
        <c:majorTickMark val="out"/>
        <c:minorTickMark val="none"/>
        <c:tickLblPos val="nextTo"/>
        <c:crossAx val="48612300"/>
        <c:crosses val="autoZero"/>
        <c:auto val="1"/>
        <c:lblOffset val="100"/>
        <c:noMultiLvlLbl val="0"/>
      </c:catAx>
      <c:valAx>
        <c:axId val="48612300"/>
        <c:scaling>
          <c:orientation val="minMax"/>
        </c:scaling>
        <c:axPos val="l"/>
        <c:majorGridlines/>
        <c:delete val="0"/>
        <c:numFmt formatCode="General" sourceLinked="1"/>
        <c:majorTickMark val="out"/>
        <c:minorTickMark val="none"/>
        <c:tickLblPos val="nextTo"/>
        <c:crossAx val="128579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437731"/>
        <c:axId val="59504124"/>
      </c:barChart>
      <c:catAx>
        <c:axId val="364377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504124"/>
        <c:crosses val="autoZero"/>
        <c:auto val="1"/>
        <c:lblOffset val="100"/>
        <c:noMultiLvlLbl val="0"/>
      </c:catAx>
      <c:valAx>
        <c:axId val="59504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37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775069"/>
        <c:axId val="55104710"/>
      </c:barChart>
      <c:catAx>
        <c:axId val="657750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104710"/>
        <c:crosses val="autoZero"/>
        <c:auto val="1"/>
        <c:lblOffset val="100"/>
        <c:noMultiLvlLbl val="0"/>
      </c:catAx>
      <c:valAx>
        <c:axId val="55104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75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180343"/>
        <c:axId val="34296496"/>
      </c:barChart>
      <c:catAx>
        <c:axId val="261803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296496"/>
        <c:crosses val="autoZero"/>
        <c:auto val="1"/>
        <c:lblOffset val="100"/>
        <c:noMultiLvlLbl val="0"/>
      </c:catAx>
      <c:valAx>
        <c:axId val="34296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80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233009"/>
        <c:axId val="26552762"/>
      </c:barChart>
      <c:catAx>
        <c:axId val="402330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552762"/>
        <c:crosses val="autoZero"/>
        <c:auto val="1"/>
        <c:lblOffset val="100"/>
        <c:noMultiLvlLbl val="0"/>
      </c:catAx>
      <c:valAx>
        <c:axId val="26552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33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648267"/>
        <c:axId val="3290084"/>
      </c:barChart>
      <c:catAx>
        <c:axId val="376482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90084"/>
        <c:crosses val="autoZero"/>
        <c:auto val="1"/>
        <c:lblOffset val="100"/>
        <c:noMultiLvlLbl val="0"/>
      </c:catAx>
      <c:valAx>
        <c:axId val="3290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482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610757"/>
        <c:axId val="65170222"/>
      </c:barChart>
      <c:catAx>
        <c:axId val="296107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170222"/>
        <c:crosses val="autoZero"/>
        <c:auto val="1"/>
        <c:lblOffset val="100"/>
        <c:noMultiLvlLbl val="0"/>
      </c:catAx>
      <c:valAx>
        <c:axId val="65170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10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661087"/>
        <c:axId val="44296600"/>
      </c:barChart>
      <c:catAx>
        <c:axId val="496610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296600"/>
        <c:crosses val="autoZero"/>
        <c:auto val="1"/>
        <c:lblOffset val="100"/>
        <c:noMultiLvlLbl val="0"/>
      </c:catAx>
      <c:valAx>
        <c:axId val="44296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61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125081"/>
        <c:axId val="31254818"/>
      </c:barChart>
      <c:catAx>
        <c:axId val="63125081"/>
        <c:scaling>
          <c:orientation val="minMax"/>
        </c:scaling>
        <c:axPos val="b"/>
        <c:delete val="1"/>
        <c:majorTickMark val="out"/>
        <c:minorTickMark val="none"/>
        <c:tickLblPos val="none"/>
        <c:crossAx val="31254818"/>
        <c:crosses val="autoZero"/>
        <c:auto val="1"/>
        <c:lblOffset val="100"/>
        <c:noMultiLvlLbl val="0"/>
      </c:catAx>
      <c:valAx>
        <c:axId val="31254818"/>
        <c:scaling>
          <c:orientation val="minMax"/>
        </c:scaling>
        <c:axPos val="l"/>
        <c:delete val="1"/>
        <c:majorTickMark val="out"/>
        <c:minorTickMark val="none"/>
        <c:tickLblPos val="none"/>
        <c:crossAx val="631250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E11"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1">
        <s v="cmgrchat community esnchat communitytwitter contentmarketing"/>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22-11-22T15:18:0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this0499154500"/>
    <s v="jennpedde"/>
    <m/>
    <m/>
    <m/>
    <m/>
    <m/>
    <m/>
    <m/>
    <m/>
    <s v="No"/>
    <n v="3"/>
    <m/>
    <m/>
    <x v="0"/>
    <d v="2022-11-22T15:18:08.000"/>
    <s v="cmgrchat via NodeXL https://t.co/Y3RCm1mBZH_x000a_@this0499154500_x000a_@historian_x000a_@_iammarissaaa_x000a_@tradingarabian_x000a_@techpearce6_x000a_@techpearce4_x000a_@cyberbaddeobot_x000a_@thecommbot_x000a_@corriedavidson_x000a_@jennpedde_x000a__x000a_Top hashtags:_x000a_#cmgrchat_x000a_#community_x000a_#esnchat_x000a_#communitytwitter_x000a_#contentmarketing /"/>
    <s v="https://nodexlgraphgallery.org/Pages/Graph.aspx?graphID=284778"/>
    <s v="nodexlgraphgallery.org"/>
    <x v="0"/>
    <m/>
    <s v="http://pbs.twimg.com/profile_images/1443845612445839401/cczEDG9W_normal.jpg"/>
    <x v="0"/>
    <d v="2022-11-22T00:00:00.000"/>
    <s v="15:18:08"/>
    <s v="https://twitter.com/#!/this0499154500/status/1595074157704019969"/>
    <m/>
    <m/>
    <s v="1595074157704019969"/>
    <m/>
    <b v="0"/>
    <n v="0"/>
    <s v=""/>
    <b v="0"/>
    <s v="en"/>
    <m/>
    <s v=""/>
    <b v="0"/>
    <n v="0"/>
    <s v=""/>
    <s v="Twitter for Android"/>
    <b v="0"/>
    <s v="1595074157704019969"/>
    <s v="Tweet"/>
    <n v="0"/>
    <n v="0"/>
    <m/>
    <m/>
    <m/>
    <m/>
    <m/>
    <m/>
    <m/>
    <m/>
    <n v="1"/>
    <s v="1"/>
    <s v="1"/>
  </r>
  <r>
    <s v="this0499154500"/>
    <s v="corriedavidson"/>
    <m/>
    <m/>
    <m/>
    <m/>
    <m/>
    <m/>
    <m/>
    <m/>
    <s v="No"/>
    <n v="4"/>
    <m/>
    <m/>
    <x v="0"/>
    <d v="2022-11-22T15:18:08.000"/>
    <s v="cmgrchat via NodeXL https://t.co/Y3RCm1mBZH_x000a_@this0499154500_x000a_@historian_x000a_@_iammarissaaa_x000a_@tradingarabian_x000a_@techpearce6_x000a_@techpearce4_x000a_@cyberbaddeobot_x000a_@thecommbot_x000a_@corriedavidson_x000a_@jennpedde_x000a__x000a_Top hashtags:_x000a_#cmgrchat_x000a_#community_x000a_#esnchat_x000a_#communitytwitter_x000a_#contentmarketing /"/>
    <s v="https://nodexlgraphgallery.org/Pages/Graph.aspx?graphID=284778"/>
    <s v="nodexlgraphgallery.org"/>
    <x v="0"/>
    <m/>
    <s v="http://pbs.twimg.com/profile_images/1443845612445839401/cczEDG9W_normal.jpg"/>
    <x v="0"/>
    <d v="2022-11-22T00:00:00.000"/>
    <s v="15:18:08"/>
    <s v="https://twitter.com/#!/this0499154500/status/1595074157704019969"/>
    <m/>
    <m/>
    <s v="1595074157704019969"/>
    <m/>
    <b v="0"/>
    <n v="0"/>
    <s v=""/>
    <b v="0"/>
    <s v="en"/>
    <m/>
    <s v=""/>
    <b v="0"/>
    <n v="0"/>
    <s v=""/>
    <s v="Twitter for Android"/>
    <b v="0"/>
    <s v="1595074157704019969"/>
    <s v="Tweet"/>
    <n v="0"/>
    <n v="0"/>
    <m/>
    <m/>
    <m/>
    <m/>
    <m/>
    <m/>
    <m/>
    <m/>
    <n v="1"/>
    <s v="1"/>
    <s v="1"/>
  </r>
  <r>
    <s v="this0499154500"/>
    <s v="thecommbot"/>
    <m/>
    <m/>
    <m/>
    <m/>
    <m/>
    <m/>
    <m/>
    <m/>
    <s v="No"/>
    <n v="5"/>
    <m/>
    <m/>
    <x v="0"/>
    <d v="2022-11-22T15:18:08.000"/>
    <s v="cmgrchat via NodeXL https://t.co/Y3RCm1mBZH_x000a_@this0499154500_x000a_@historian_x000a_@_iammarissaaa_x000a_@tradingarabian_x000a_@techpearce6_x000a_@techpearce4_x000a_@cyberbaddeobot_x000a_@thecommbot_x000a_@corriedavidson_x000a_@jennpedde_x000a__x000a_Top hashtags:_x000a_#cmgrchat_x000a_#community_x000a_#esnchat_x000a_#communitytwitter_x000a_#contentmarketing /"/>
    <s v="https://nodexlgraphgallery.org/Pages/Graph.aspx?graphID=284778"/>
    <s v="nodexlgraphgallery.org"/>
    <x v="0"/>
    <m/>
    <s v="http://pbs.twimg.com/profile_images/1443845612445839401/cczEDG9W_normal.jpg"/>
    <x v="0"/>
    <d v="2022-11-22T00:00:00.000"/>
    <s v="15:18:08"/>
    <s v="https://twitter.com/#!/this0499154500/status/1595074157704019969"/>
    <m/>
    <m/>
    <s v="1595074157704019969"/>
    <m/>
    <b v="0"/>
    <n v="0"/>
    <s v=""/>
    <b v="0"/>
    <s v="en"/>
    <m/>
    <s v=""/>
    <b v="0"/>
    <n v="0"/>
    <s v=""/>
    <s v="Twitter for Android"/>
    <b v="0"/>
    <s v="1595074157704019969"/>
    <s v="Tweet"/>
    <n v="0"/>
    <n v="0"/>
    <m/>
    <m/>
    <m/>
    <m/>
    <m/>
    <m/>
    <m/>
    <m/>
    <n v="1"/>
    <s v="1"/>
    <s v="1"/>
  </r>
  <r>
    <s v="this0499154500"/>
    <s v="cyberbaddeobot"/>
    <m/>
    <m/>
    <m/>
    <m/>
    <m/>
    <m/>
    <m/>
    <m/>
    <s v="No"/>
    <n v="6"/>
    <m/>
    <m/>
    <x v="0"/>
    <d v="2022-11-22T15:18:08.000"/>
    <s v="cmgrchat via NodeXL https://t.co/Y3RCm1mBZH_x000a_@this0499154500_x000a_@historian_x000a_@_iammarissaaa_x000a_@tradingarabian_x000a_@techpearce6_x000a_@techpearce4_x000a_@cyberbaddeobot_x000a_@thecommbot_x000a_@corriedavidson_x000a_@jennpedde_x000a__x000a_Top hashtags:_x000a_#cmgrchat_x000a_#community_x000a_#esnchat_x000a_#communitytwitter_x000a_#contentmarketing /"/>
    <s v="https://nodexlgraphgallery.org/Pages/Graph.aspx?graphID=284778"/>
    <s v="nodexlgraphgallery.org"/>
    <x v="0"/>
    <m/>
    <s v="http://pbs.twimg.com/profile_images/1443845612445839401/cczEDG9W_normal.jpg"/>
    <x v="0"/>
    <d v="2022-11-22T00:00:00.000"/>
    <s v="15:18:08"/>
    <s v="https://twitter.com/#!/this0499154500/status/1595074157704019969"/>
    <m/>
    <m/>
    <s v="1595074157704019969"/>
    <m/>
    <b v="0"/>
    <n v="0"/>
    <s v=""/>
    <b v="0"/>
    <s v="en"/>
    <m/>
    <s v=""/>
    <b v="0"/>
    <n v="0"/>
    <s v=""/>
    <s v="Twitter for Android"/>
    <b v="0"/>
    <s v="1595074157704019969"/>
    <s v="Tweet"/>
    <n v="0"/>
    <n v="0"/>
    <m/>
    <m/>
    <m/>
    <m/>
    <m/>
    <m/>
    <m/>
    <m/>
    <n v="1"/>
    <s v="1"/>
    <s v="1"/>
  </r>
  <r>
    <s v="this0499154500"/>
    <s v="techpearce4"/>
    <m/>
    <m/>
    <m/>
    <m/>
    <m/>
    <m/>
    <m/>
    <m/>
    <s v="No"/>
    <n v="7"/>
    <m/>
    <m/>
    <x v="0"/>
    <d v="2022-11-22T15:18:08.000"/>
    <s v="cmgrchat via NodeXL https://t.co/Y3RCm1mBZH_x000a_@this0499154500_x000a_@historian_x000a_@_iammarissaaa_x000a_@tradingarabian_x000a_@techpearce6_x000a_@techpearce4_x000a_@cyberbaddeobot_x000a_@thecommbot_x000a_@corriedavidson_x000a_@jennpedde_x000a__x000a_Top hashtags:_x000a_#cmgrchat_x000a_#community_x000a_#esnchat_x000a_#communitytwitter_x000a_#contentmarketing /"/>
    <s v="https://nodexlgraphgallery.org/Pages/Graph.aspx?graphID=284778"/>
    <s v="nodexlgraphgallery.org"/>
    <x v="0"/>
    <m/>
    <s v="http://pbs.twimg.com/profile_images/1443845612445839401/cczEDG9W_normal.jpg"/>
    <x v="0"/>
    <d v="2022-11-22T00:00:00.000"/>
    <s v="15:18:08"/>
    <s v="https://twitter.com/#!/this0499154500/status/1595074157704019969"/>
    <m/>
    <m/>
    <s v="1595074157704019969"/>
    <m/>
    <b v="0"/>
    <n v="0"/>
    <s v=""/>
    <b v="0"/>
    <s v="en"/>
    <m/>
    <s v=""/>
    <b v="0"/>
    <n v="0"/>
    <s v=""/>
    <s v="Twitter for Android"/>
    <b v="0"/>
    <s v="1595074157704019969"/>
    <s v="Tweet"/>
    <n v="0"/>
    <n v="0"/>
    <m/>
    <m/>
    <m/>
    <m/>
    <m/>
    <m/>
    <m/>
    <m/>
    <n v="1"/>
    <s v="1"/>
    <s v="1"/>
  </r>
  <r>
    <s v="this0499154500"/>
    <s v="techpearce6"/>
    <m/>
    <m/>
    <m/>
    <m/>
    <m/>
    <m/>
    <m/>
    <m/>
    <s v="No"/>
    <n v="8"/>
    <m/>
    <m/>
    <x v="0"/>
    <d v="2022-11-22T15:18:08.000"/>
    <s v="cmgrchat via NodeXL https://t.co/Y3RCm1mBZH_x000a_@this0499154500_x000a_@historian_x000a_@_iammarissaaa_x000a_@tradingarabian_x000a_@techpearce6_x000a_@techpearce4_x000a_@cyberbaddeobot_x000a_@thecommbot_x000a_@corriedavidson_x000a_@jennpedde_x000a__x000a_Top hashtags:_x000a_#cmgrchat_x000a_#community_x000a_#esnchat_x000a_#communitytwitter_x000a_#contentmarketing /"/>
    <s v="https://nodexlgraphgallery.org/Pages/Graph.aspx?graphID=284778"/>
    <s v="nodexlgraphgallery.org"/>
    <x v="0"/>
    <m/>
    <s v="http://pbs.twimg.com/profile_images/1443845612445839401/cczEDG9W_normal.jpg"/>
    <x v="0"/>
    <d v="2022-11-22T00:00:00.000"/>
    <s v="15:18:08"/>
    <s v="https://twitter.com/#!/this0499154500/status/1595074157704019969"/>
    <m/>
    <m/>
    <s v="1595074157704019969"/>
    <m/>
    <b v="0"/>
    <n v="0"/>
    <s v=""/>
    <b v="0"/>
    <s v="en"/>
    <m/>
    <s v=""/>
    <b v="0"/>
    <n v="0"/>
    <s v=""/>
    <s v="Twitter for Android"/>
    <b v="0"/>
    <s v="1595074157704019969"/>
    <s v="Tweet"/>
    <n v="0"/>
    <n v="0"/>
    <m/>
    <m/>
    <m/>
    <m/>
    <m/>
    <m/>
    <m/>
    <m/>
    <n v="1"/>
    <s v="1"/>
    <s v="1"/>
  </r>
  <r>
    <s v="this0499154500"/>
    <s v="tradingarabian"/>
    <m/>
    <m/>
    <m/>
    <m/>
    <m/>
    <m/>
    <m/>
    <m/>
    <s v="No"/>
    <n v="9"/>
    <m/>
    <m/>
    <x v="0"/>
    <d v="2022-11-22T15:18:08.000"/>
    <s v="cmgrchat via NodeXL https://t.co/Y3RCm1mBZH_x000a_@this0499154500_x000a_@historian_x000a_@_iammarissaaa_x000a_@tradingarabian_x000a_@techpearce6_x000a_@techpearce4_x000a_@cyberbaddeobot_x000a_@thecommbot_x000a_@corriedavidson_x000a_@jennpedde_x000a__x000a_Top hashtags:_x000a_#cmgrchat_x000a_#community_x000a_#esnchat_x000a_#communitytwitter_x000a_#contentmarketing /"/>
    <s v="https://nodexlgraphgallery.org/Pages/Graph.aspx?graphID=284778"/>
    <s v="nodexlgraphgallery.org"/>
    <x v="0"/>
    <m/>
    <s v="http://pbs.twimg.com/profile_images/1443845612445839401/cczEDG9W_normal.jpg"/>
    <x v="0"/>
    <d v="2022-11-22T00:00:00.000"/>
    <s v="15:18:08"/>
    <s v="https://twitter.com/#!/this0499154500/status/1595074157704019969"/>
    <m/>
    <m/>
    <s v="1595074157704019969"/>
    <m/>
    <b v="0"/>
    <n v="0"/>
    <s v=""/>
    <b v="0"/>
    <s v="en"/>
    <m/>
    <s v=""/>
    <b v="0"/>
    <n v="0"/>
    <s v=""/>
    <s v="Twitter for Android"/>
    <b v="0"/>
    <s v="1595074157704019969"/>
    <s v="Tweet"/>
    <n v="0"/>
    <n v="0"/>
    <m/>
    <m/>
    <m/>
    <m/>
    <m/>
    <m/>
    <m/>
    <m/>
    <n v="1"/>
    <s v="1"/>
    <s v="1"/>
  </r>
  <r>
    <s v="this0499154500"/>
    <s v="_iammarissaaa"/>
    <m/>
    <m/>
    <m/>
    <m/>
    <m/>
    <m/>
    <m/>
    <m/>
    <s v="No"/>
    <n v="10"/>
    <m/>
    <m/>
    <x v="0"/>
    <d v="2022-11-22T15:18:08.000"/>
    <s v="cmgrchat via NodeXL https://t.co/Y3RCm1mBZH_x000a_@this0499154500_x000a_@historian_x000a_@_iammarissaaa_x000a_@tradingarabian_x000a_@techpearce6_x000a_@techpearce4_x000a_@cyberbaddeobot_x000a_@thecommbot_x000a_@corriedavidson_x000a_@jennpedde_x000a__x000a_Top hashtags:_x000a_#cmgrchat_x000a_#community_x000a_#esnchat_x000a_#communitytwitter_x000a_#contentmarketing /"/>
    <s v="https://nodexlgraphgallery.org/Pages/Graph.aspx?graphID=284778"/>
    <s v="nodexlgraphgallery.org"/>
    <x v="0"/>
    <m/>
    <s v="http://pbs.twimg.com/profile_images/1443845612445839401/cczEDG9W_normal.jpg"/>
    <x v="0"/>
    <d v="2022-11-22T00:00:00.000"/>
    <s v="15:18:08"/>
    <s v="https://twitter.com/#!/this0499154500/status/1595074157704019969"/>
    <m/>
    <m/>
    <s v="1595074157704019969"/>
    <m/>
    <b v="0"/>
    <n v="0"/>
    <s v=""/>
    <b v="0"/>
    <s v="en"/>
    <m/>
    <s v=""/>
    <b v="0"/>
    <n v="0"/>
    <s v=""/>
    <s v="Twitter for Android"/>
    <b v="0"/>
    <s v="1595074157704019969"/>
    <s v="Tweet"/>
    <n v="0"/>
    <n v="0"/>
    <m/>
    <m/>
    <m/>
    <m/>
    <m/>
    <m/>
    <m/>
    <m/>
    <n v="1"/>
    <s v="1"/>
    <s v="1"/>
  </r>
  <r>
    <s v="this0499154500"/>
    <s v="historian"/>
    <m/>
    <m/>
    <m/>
    <m/>
    <m/>
    <m/>
    <m/>
    <m/>
    <s v="No"/>
    <n v="11"/>
    <m/>
    <m/>
    <x v="0"/>
    <d v="2022-11-22T15:18:08.000"/>
    <s v="cmgrchat via NodeXL https://t.co/Y3RCm1mBZH_x000a_@this0499154500_x000a_@historian_x000a_@_iammarissaaa_x000a_@tradingarabian_x000a_@techpearce6_x000a_@techpearce4_x000a_@cyberbaddeobot_x000a_@thecommbot_x000a_@corriedavidson_x000a_@jennpedde_x000a__x000a_Top hashtags:_x000a_#cmgrchat_x000a_#community_x000a_#esnchat_x000a_#communitytwitter_x000a_#contentmarketing /"/>
    <s v="https://nodexlgraphgallery.org/Pages/Graph.aspx?graphID=284778"/>
    <s v="nodexlgraphgallery.org"/>
    <x v="0"/>
    <m/>
    <s v="http://pbs.twimg.com/profile_images/1443845612445839401/cczEDG9W_normal.jpg"/>
    <x v="0"/>
    <d v="2022-11-22T00:00:00.000"/>
    <s v="15:18:08"/>
    <s v="https://twitter.com/#!/this0499154500/status/1595074157704019969"/>
    <m/>
    <m/>
    <s v="1595074157704019969"/>
    <m/>
    <b v="0"/>
    <n v="0"/>
    <s v=""/>
    <b v="0"/>
    <s v="en"/>
    <m/>
    <s v=""/>
    <b v="0"/>
    <n v="0"/>
    <s v=""/>
    <s v="Twitter for Android"/>
    <b v="0"/>
    <s v="1595074157704019969"/>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11" totalsRowShown="0" headerRowDxfId="220" dataDxfId="219">
  <autoFilter ref="A2:BE11"/>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12" totalsRowShown="0" headerRowDxfId="165" dataDxfId="164">
  <autoFilter ref="A2:BA12"/>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109" dataDxfId="108">
  <autoFilter ref="A1:C11"/>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11" totalsRowShown="0" headerRowDxfId="57" dataDxfId="56">
  <autoFilter ref="A2:BE11"/>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calculatedColumnFormula>HYPERLINK("https://nodexlgraphgallery.org/Pages/Graph.aspx?graphID=284778")</calculatedColumnFormula>
    </tableColumn>
    <tableColumn id="19" name="Domains in Tweet" dataDxfId="37"/>
    <tableColumn id="20" name="Hashtags in Tweet" dataDxfId="36"/>
    <tableColumn id="21" name="Media in Tweet" dataDxfId="35"/>
    <tableColumn id="22" name="Tweet Image File" dataDxfId="34">
      <calculatedColumnFormula>HYPERLINK("http://pbs.twimg.com/profile_images/1443845612445839401/cczEDG9W_normal.jpg")</calculatedColumnFormula>
    </tableColumn>
    <tableColumn id="23" name="Tweet Date (UTC)" dataDxfId="33"/>
    <tableColumn id="24" name="Date" dataDxfId="32"/>
    <tableColumn id="25" name="Time" dataDxfId="31"/>
    <tableColumn id="26" name="Twitter Page for Tweet" dataDxfId="30">
      <calculatedColumnFormula>HYPERLINK("https://twitter.com/#!/this0499154500/status/1595074157704019969")</calculatedColumnFormula>
    </tableColumn>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338</v>
      </c>
      <c r="BD2" s="13" t="s">
        <v>342</v>
      </c>
      <c r="BE2" s="13" t="s">
        <v>343</v>
      </c>
    </row>
    <row r="3" spans="1:57" ht="15" customHeight="1">
      <c r="A3" s="83" t="s">
        <v>214</v>
      </c>
      <c r="B3" s="83" t="s">
        <v>223</v>
      </c>
      <c r="C3" s="54" t="s">
        <v>349</v>
      </c>
      <c r="D3" s="55">
        <v>3</v>
      </c>
      <c r="E3" s="67" t="s">
        <v>132</v>
      </c>
      <c r="F3" s="56">
        <v>35</v>
      </c>
      <c r="G3" s="54"/>
      <c r="H3" s="58"/>
      <c r="I3" s="57"/>
      <c r="J3" s="57"/>
      <c r="K3" s="36" t="s">
        <v>65</v>
      </c>
      <c r="L3" s="63">
        <v>3</v>
      </c>
      <c r="M3" s="63"/>
      <c r="N3" s="64"/>
      <c r="O3" s="84" t="s">
        <v>224</v>
      </c>
      <c r="P3" s="86">
        <v>44887.63759259259</v>
      </c>
      <c r="Q3" s="84" t="s">
        <v>225</v>
      </c>
      <c r="R3" s="88" t="str">
        <f aca="true" t="shared" si="0" ref="R3:R11">HYPERLINK("https://nodexlgraphgallery.org/Pages/Graph.aspx?graphID=284778")</f>
        <v>https://nodexlgraphgallery.org/Pages/Graph.aspx?graphID=284778</v>
      </c>
      <c r="S3" s="84" t="s">
        <v>226</v>
      </c>
      <c r="T3" s="90" t="s">
        <v>227</v>
      </c>
      <c r="U3" s="84"/>
      <c r="V3" s="88" t="str">
        <f aca="true" t="shared" si="1" ref="V3:V11">HYPERLINK("http://pbs.twimg.com/profile_images/1443845612445839401/cczEDG9W_normal.jpg")</f>
        <v>http://pbs.twimg.com/profile_images/1443845612445839401/cczEDG9W_normal.jpg</v>
      </c>
      <c r="W3" s="86">
        <v>44887.63759259259</v>
      </c>
      <c r="X3" s="92">
        <v>44887</v>
      </c>
      <c r="Y3" s="90" t="s">
        <v>228</v>
      </c>
      <c r="Z3" s="88" t="str">
        <f aca="true" t="shared" si="2" ref="Z3:Z11">HYPERLINK("https://twitter.com/#!/this0499154500/status/1595074157704019969")</f>
        <v>https://twitter.com/#!/this0499154500/status/1595074157704019969</v>
      </c>
      <c r="AA3" s="84"/>
      <c r="AB3" s="84"/>
      <c r="AC3" s="90" t="s">
        <v>229</v>
      </c>
      <c r="AD3" s="84"/>
      <c r="AE3" s="84" t="b">
        <v>0</v>
      </c>
      <c r="AF3" s="84">
        <v>0</v>
      </c>
      <c r="AG3" s="90" t="s">
        <v>230</v>
      </c>
      <c r="AH3" s="84" t="b">
        <v>0</v>
      </c>
      <c r="AI3" s="84" t="s">
        <v>231</v>
      </c>
      <c r="AJ3" s="84"/>
      <c r="AK3" s="90" t="s">
        <v>230</v>
      </c>
      <c r="AL3" s="84" t="b">
        <v>0</v>
      </c>
      <c r="AM3" s="84">
        <v>0</v>
      </c>
      <c r="AN3" s="90" t="s">
        <v>230</v>
      </c>
      <c r="AO3" s="90" t="s">
        <v>232</v>
      </c>
      <c r="AP3" s="84" t="b">
        <v>0</v>
      </c>
      <c r="AQ3" s="90" t="s">
        <v>229</v>
      </c>
      <c r="AR3" s="84" t="s">
        <v>176</v>
      </c>
      <c r="AS3" s="84">
        <v>0</v>
      </c>
      <c r="AT3" s="84">
        <v>0</v>
      </c>
      <c r="AU3" s="84"/>
      <c r="AV3" s="84"/>
      <c r="AW3" s="84"/>
      <c r="AX3" s="84"/>
      <c r="AY3" s="84"/>
      <c r="AZ3" s="84"/>
      <c r="BA3" s="84"/>
      <c r="BB3" s="84"/>
      <c r="BC3">
        <v>1</v>
      </c>
      <c r="BD3" s="84" t="str">
        <f>REPLACE(INDEX(GroupVertices[Group],MATCH(Edges[[#This Row],[Vertex 1]],GroupVertices[Vertex],0)),1,1,"")</f>
        <v>1</v>
      </c>
      <c r="BE3" s="84" t="str">
        <f>REPLACE(INDEX(GroupVertices[Group],MATCH(Edges[[#This Row],[Vertex 2]],GroupVertices[Vertex],0)),1,1,"")</f>
        <v>1</v>
      </c>
    </row>
    <row r="4" spans="1:57" ht="15" customHeight="1">
      <c r="A4" s="83" t="s">
        <v>214</v>
      </c>
      <c r="B4" s="83" t="s">
        <v>215</v>
      </c>
      <c r="C4" s="54" t="s">
        <v>349</v>
      </c>
      <c r="D4" s="55">
        <v>3</v>
      </c>
      <c r="E4" s="67" t="s">
        <v>132</v>
      </c>
      <c r="F4" s="56">
        <v>35</v>
      </c>
      <c r="G4" s="54"/>
      <c r="H4" s="58"/>
      <c r="I4" s="57"/>
      <c r="J4" s="57"/>
      <c r="K4" s="36" t="s">
        <v>65</v>
      </c>
      <c r="L4" s="82">
        <v>4</v>
      </c>
      <c r="M4" s="82"/>
      <c r="N4" s="64"/>
      <c r="O4" s="85" t="s">
        <v>224</v>
      </c>
      <c r="P4" s="87">
        <v>44887.63759259259</v>
      </c>
      <c r="Q4" s="85" t="s">
        <v>225</v>
      </c>
      <c r="R4" s="89" t="str">
        <f t="shared" si="0"/>
        <v>https://nodexlgraphgallery.org/Pages/Graph.aspx?graphID=284778</v>
      </c>
      <c r="S4" s="85" t="s">
        <v>226</v>
      </c>
      <c r="T4" s="91" t="s">
        <v>227</v>
      </c>
      <c r="U4" s="85"/>
      <c r="V4" s="89" t="str">
        <f t="shared" si="1"/>
        <v>http://pbs.twimg.com/profile_images/1443845612445839401/cczEDG9W_normal.jpg</v>
      </c>
      <c r="W4" s="87">
        <v>44887.63759259259</v>
      </c>
      <c r="X4" s="93">
        <v>44887</v>
      </c>
      <c r="Y4" s="91" t="s">
        <v>228</v>
      </c>
      <c r="Z4" s="89" t="str">
        <f t="shared" si="2"/>
        <v>https://twitter.com/#!/this0499154500/status/1595074157704019969</v>
      </c>
      <c r="AA4" s="85"/>
      <c r="AB4" s="85"/>
      <c r="AC4" s="91" t="s">
        <v>229</v>
      </c>
      <c r="AD4" s="85"/>
      <c r="AE4" s="85" t="b">
        <v>0</v>
      </c>
      <c r="AF4" s="85">
        <v>0</v>
      </c>
      <c r="AG4" s="91" t="s">
        <v>230</v>
      </c>
      <c r="AH4" s="85" t="b">
        <v>0</v>
      </c>
      <c r="AI4" s="85" t="s">
        <v>231</v>
      </c>
      <c r="AJ4" s="85"/>
      <c r="AK4" s="91" t="s">
        <v>230</v>
      </c>
      <c r="AL4" s="85" t="b">
        <v>0</v>
      </c>
      <c r="AM4" s="85">
        <v>0</v>
      </c>
      <c r="AN4" s="91" t="s">
        <v>230</v>
      </c>
      <c r="AO4" s="91" t="s">
        <v>232</v>
      </c>
      <c r="AP4" s="85" t="b">
        <v>0</v>
      </c>
      <c r="AQ4" s="91" t="s">
        <v>229</v>
      </c>
      <c r="AR4" s="85" t="s">
        <v>176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5" spans="1:57" ht="45">
      <c r="A5" s="83" t="s">
        <v>214</v>
      </c>
      <c r="B5" s="83" t="s">
        <v>216</v>
      </c>
      <c r="C5" s="54" t="s">
        <v>349</v>
      </c>
      <c r="D5" s="55">
        <v>3</v>
      </c>
      <c r="E5" s="67" t="s">
        <v>132</v>
      </c>
      <c r="F5" s="56">
        <v>35</v>
      </c>
      <c r="G5" s="54"/>
      <c r="H5" s="58"/>
      <c r="I5" s="57"/>
      <c r="J5" s="57"/>
      <c r="K5" s="36" t="s">
        <v>65</v>
      </c>
      <c r="L5" s="82">
        <v>5</v>
      </c>
      <c r="M5" s="82"/>
      <c r="N5" s="64"/>
      <c r="O5" s="85" t="s">
        <v>224</v>
      </c>
      <c r="P5" s="87">
        <v>44887.63759259259</v>
      </c>
      <c r="Q5" s="85" t="s">
        <v>225</v>
      </c>
      <c r="R5" s="89" t="str">
        <f t="shared" si="0"/>
        <v>https://nodexlgraphgallery.org/Pages/Graph.aspx?graphID=284778</v>
      </c>
      <c r="S5" s="85" t="s">
        <v>226</v>
      </c>
      <c r="T5" s="91" t="s">
        <v>227</v>
      </c>
      <c r="U5" s="85"/>
      <c r="V5" s="89" t="str">
        <f t="shared" si="1"/>
        <v>http://pbs.twimg.com/profile_images/1443845612445839401/cczEDG9W_normal.jpg</v>
      </c>
      <c r="W5" s="87">
        <v>44887.63759259259</v>
      </c>
      <c r="X5" s="93">
        <v>44887</v>
      </c>
      <c r="Y5" s="91" t="s">
        <v>228</v>
      </c>
      <c r="Z5" s="89" t="str">
        <f t="shared" si="2"/>
        <v>https://twitter.com/#!/this0499154500/status/1595074157704019969</v>
      </c>
      <c r="AA5" s="85"/>
      <c r="AB5" s="85"/>
      <c r="AC5" s="91" t="s">
        <v>229</v>
      </c>
      <c r="AD5" s="85"/>
      <c r="AE5" s="85" t="b">
        <v>0</v>
      </c>
      <c r="AF5" s="85">
        <v>0</v>
      </c>
      <c r="AG5" s="91" t="s">
        <v>230</v>
      </c>
      <c r="AH5" s="85" t="b">
        <v>0</v>
      </c>
      <c r="AI5" s="85" t="s">
        <v>231</v>
      </c>
      <c r="AJ5" s="85"/>
      <c r="AK5" s="91" t="s">
        <v>230</v>
      </c>
      <c r="AL5" s="85" t="b">
        <v>0</v>
      </c>
      <c r="AM5" s="85">
        <v>0</v>
      </c>
      <c r="AN5" s="91" t="s">
        <v>230</v>
      </c>
      <c r="AO5" s="91" t="s">
        <v>232</v>
      </c>
      <c r="AP5" s="85" t="b">
        <v>0</v>
      </c>
      <c r="AQ5" s="91" t="s">
        <v>229</v>
      </c>
      <c r="AR5" s="85" t="s">
        <v>176</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row>
    <row r="6" spans="1:57" ht="45">
      <c r="A6" s="83" t="s">
        <v>214</v>
      </c>
      <c r="B6" s="83" t="s">
        <v>217</v>
      </c>
      <c r="C6" s="54" t="s">
        <v>349</v>
      </c>
      <c r="D6" s="55">
        <v>3</v>
      </c>
      <c r="E6" s="67" t="s">
        <v>132</v>
      </c>
      <c r="F6" s="56">
        <v>35</v>
      </c>
      <c r="G6" s="54"/>
      <c r="H6" s="58"/>
      <c r="I6" s="57"/>
      <c r="J6" s="57"/>
      <c r="K6" s="36" t="s">
        <v>65</v>
      </c>
      <c r="L6" s="82">
        <v>6</v>
      </c>
      <c r="M6" s="82"/>
      <c r="N6" s="64"/>
      <c r="O6" s="85" t="s">
        <v>224</v>
      </c>
      <c r="P6" s="87">
        <v>44887.63759259259</v>
      </c>
      <c r="Q6" s="85" t="s">
        <v>225</v>
      </c>
      <c r="R6" s="89" t="str">
        <f t="shared" si="0"/>
        <v>https://nodexlgraphgallery.org/Pages/Graph.aspx?graphID=284778</v>
      </c>
      <c r="S6" s="85" t="s">
        <v>226</v>
      </c>
      <c r="T6" s="91" t="s">
        <v>227</v>
      </c>
      <c r="U6" s="85"/>
      <c r="V6" s="89" t="str">
        <f t="shared" si="1"/>
        <v>http://pbs.twimg.com/profile_images/1443845612445839401/cczEDG9W_normal.jpg</v>
      </c>
      <c r="W6" s="87">
        <v>44887.63759259259</v>
      </c>
      <c r="X6" s="93">
        <v>44887</v>
      </c>
      <c r="Y6" s="91" t="s">
        <v>228</v>
      </c>
      <c r="Z6" s="89" t="str">
        <f t="shared" si="2"/>
        <v>https://twitter.com/#!/this0499154500/status/1595074157704019969</v>
      </c>
      <c r="AA6" s="85"/>
      <c r="AB6" s="85"/>
      <c r="AC6" s="91" t="s">
        <v>229</v>
      </c>
      <c r="AD6" s="85"/>
      <c r="AE6" s="85" t="b">
        <v>0</v>
      </c>
      <c r="AF6" s="85">
        <v>0</v>
      </c>
      <c r="AG6" s="91" t="s">
        <v>230</v>
      </c>
      <c r="AH6" s="85" t="b">
        <v>0</v>
      </c>
      <c r="AI6" s="85" t="s">
        <v>231</v>
      </c>
      <c r="AJ6" s="85"/>
      <c r="AK6" s="91" t="s">
        <v>230</v>
      </c>
      <c r="AL6" s="85" t="b">
        <v>0</v>
      </c>
      <c r="AM6" s="85">
        <v>0</v>
      </c>
      <c r="AN6" s="91" t="s">
        <v>230</v>
      </c>
      <c r="AO6" s="91" t="s">
        <v>232</v>
      </c>
      <c r="AP6" s="85" t="b">
        <v>0</v>
      </c>
      <c r="AQ6" s="91" t="s">
        <v>229</v>
      </c>
      <c r="AR6" s="85" t="s">
        <v>176</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row>
    <row r="7" spans="1:57" ht="45">
      <c r="A7" s="83" t="s">
        <v>214</v>
      </c>
      <c r="B7" s="83" t="s">
        <v>218</v>
      </c>
      <c r="C7" s="54" t="s">
        <v>349</v>
      </c>
      <c r="D7" s="55">
        <v>3</v>
      </c>
      <c r="E7" s="67" t="s">
        <v>132</v>
      </c>
      <c r="F7" s="56">
        <v>35</v>
      </c>
      <c r="G7" s="54"/>
      <c r="H7" s="58"/>
      <c r="I7" s="57"/>
      <c r="J7" s="57"/>
      <c r="K7" s="36" t="s">
        <v>65</v>
      </c>
      <c r="L7" s="82">
        <v>7</v>
      </c>
      <c r="M7" s="82"/>
      <c r="N7" s="64"/>
      <c r="O7" s="85" t="s">
        <v>224</v>
      </c>
      <c r="P7" s="87">
        <v>44887.63759259259</v>
      </c>
      <c r="Q7" s="85" t="s">
        <v>225</v>
      </c>
      <c r="R7" s="89" t="str">
        <f t="shared" si="0"/>
        <v>https://nodexlgraphgallery.org/Pages/Graph.aspx?graphID=284778</v>
      </c>
      <c r="S7" s="85" t="s">
        <v>226</v>
      </c>
      <c r="T7" s="91" t="s">
        <v>227</v>
      </c>
      <c r="U7" s="85"/>
      <c r="V7" s="89" t="str">
        <f t="shared" si="1"/>
        <v>http://pbs.twimg.com/profile_images/1443845612445839401/cczEDG9W_normal.jpg</v>
      </c>
      <c r="W7" s="87">
        <v>44887.63759259259</v>
      </c>
      <c r="X7" s="93">
        <v>44887</v>
      </c>
      <c r="Y7" s="91" t="s">
        <v>228</v>
      </c>
      <c r="Z7" s="89" t="str">
        <f t="shared" si="2"/>
        <v>https://twitter.com/#!/this0499154500/status/1595074157704019969</v>
      </c>
      <c r="AA7" s="85"/>
      <c r="AB7" s="85"/>
      <c r="AC7" s="91" t="s">
        <v>229</v>
      </c>
      <c r="AD7" s="85"/>
      <c r="AE7" s="85" t="b">
        <v>0</v>
      </c>
      <c r="AF7" s="85">
        <v>0</v>
      </c>
      <c r="AG7" s="91" t="s">
        <v>230</v>
      </c>
      <c r="AH7" s="85" t="b">
        <v>0</v>
      </c>
      <c r="AI7" s="85" t="s">
        <v>231</v>
      </c>
      <c r="AJ7" s="85"/>
      <c r="AK7" s="91" t="s">
        <v>230</v>
      </c>
      <c r="AL7" s="85" t="b">
        <v>0</v>
      </c>
      <c r="AM7" s="85">
        <v>0</v>
      </c>
      <c r="AN7" s="91" t="s">
        <v>230</v>
      </c>
      <c r="AO7" s="91" t="s">
        <v>232</v>
      </c>
      <c r="AP7" s="85" t="b">
        <v>0</v>
      </c>
      <c r="AQ7" s="91" t="s">
        <v>229</v>
      </c>
      <c r="AR7" s="85" t="s">
        <v>176</v>
      </c>
      <c r="AS7" s="85">
        <v>0</v>
      </c>
      <c r="AT7" s="85">
        <v>0</v>
      </c>
      <c r="AU7" s="85"/>
      <c r="AV7" s="85"/>
      <c r="AW7" s="85"/>
      <c r="AX7" s="85"/>
      <c r="AY7" s="85"/>
      <c r="AZ7" s="85"/>
      <c r="BA7" s="85"/>
      <c r="BB7" s="85"/>
      <c r="BC7">
        <v>1</v>
      </c>
      <c r="BD7" s="84" t="str">
        <f>REPLACE(INDEX(GroupVertices[Group],MATCH(Edges[[#This Row],[Vertex 1]],GroupVertices[Vertex],0)),1,1,"")</f>
        <v>1</v>
      </c>
      <c r="BE7" s="84" t="str">
        <f>REPLACE(INDEX(GroupVertices[Group],MATCH(Edges[[#This Row],[Vertex 2]],GroupVertices[Vertex],0)),1,1,"")</f>
        <v>1</v>
      </c>
    </row>
    <row r="8" spans="1:57" ht="45">
      <c r="A8" s="83" t="s">
        <v>214</v>
      </c>
      <c r="B8" s="83" t="s">
        <v>219</v>
      </c>
      <c r="C8" s="54" t="s">
        <v>349</v>
      </c>
      <c r="D8" s="55">
        <v>3</v>
      </c>
      <c r="E8" s="67" t="s">
        <v>132</v>
      </c>
      <c r="F8" s="56">
        <v>35</v>
      </c>
      <c r="G8" s="54"/>
      <c r="H8" s="58"/>
      <c r="I8" s="57"/>
      <c r="J8" s="57"/>
      <c r="K8" s="36" t="s">
        <v>65</v>
      </c>
      <c r="L8" s="82">
        <v>8</v>
      </c>
      <c r="M8" s="82"/>
      <c r="N8" s="64"/>
      <c r="O8" s="85" t="s">
        <v>224</v>
      </c>
      <c r="P8" s="87">
        <v>44887.63759259259</v>
      </c>
      <c r="Q8" s="85" t="s">
        <v>225</v>
      </c>
      <c r="R8" s="89" t="str">
        <f t="shared" si="0"/>
        <v>https://nodexlgraphgallery.org/Pages/Graph.aspx?graphID=284778</v>
      </c>
      <c r="S8" s="85" t="s">
        <v>226</v>
      </c>
      <c r="T8" s="91" t="s">
        <v>227</v>
      </c>
      <c r="U8" s="85"/>
      <c r="V8" s="89" t="str">
        <f t="shared" si="1"/>
        <v>http://pbs.twimg.com/profile_images/1443845612445839401/cczEDG9W_normal.jpg</v>
      </c>
      <c r="W8" s="87">
        <v>44887.63759259259</v>
      </c>
      <c r="X8" s="93">
        <v>44887</v>
      </c>
      <c r="Y8" s="91" t="s">
        <v>228</v>
      </c>
      <c r="Z8" s="89" t="str">
        <f t="shared" si="2"/>
        <v>https://twitter.com/#!/this0499154500/status/1595074157704019969</v>
      </c>
      <c r="AA8" s="85"/>
      <c r="AB8" s="85"/>
      <c r="AC8" s="91" t="s">
        <v>229</v>
      </c>
      <c r="AD8" s="85"/>
      <c r="AE8" s="85" t="b">
        <v>0</v>
      </c>
      <c r="AF8" s="85">
        <v>0</v>
      </c>
      <c r="AG8" s="91" t="s">
        <v>230</v>
      </c>
      <c r="AH8" s="85" t="b">
        <v>0</v>
      </c>
      <c r="AI8" s="85" t="s">
        <v>231</v>
      </c>
      <c r="AJ8" s="85"/>
      <c r="AK8" s="91" t="s">
        <v>230</v>
      </c>
      <c r="AL8" s="85" t="b">
        <v>0</v>
      </c>
      <c r="AM8" s="85">
        <v>0</v>
      </c>
      <c r="AN8" s="91" t="s">
        <v>230</v>
      </c>
      <c r="AO8" s="91" t="s">
        <v>232</v>
      </c>
      <c r="AP8" s="85" t="b">
        <v>0</v>
      </c>
      <c r="AQ8" s="91" t="s">
        <v>229</v>
      </c>
      <c r="AR8" s="85" t="s">
        <v>176</v>
      </c>
      <c r="AS8" s="85">
        <v>0</v>
      </c>
      <c r="AT8" s="85">
        <v>0</v>
      </c>
      <c r="AU8" s="85"/>
      <c r="AV8" s="85"/>
      <c r="AW8" s="85"/>
      <c r="AX8" s="85"/>
      <c r="AY8" s="85"/>
      <c r="AZ8" s="85"/>
      <c r="BA8" s="85"/>
      <c r="BB8" s="85"/>
      <c r="BC8">
        <v>1</v>
      </c>
      <c r="BD8" s="84" t="str">
        <f>REPLACE(INDEX(GroupVertices[Group],MATCH(Edges[[#This Row],[Vertex 1]],GroupVertices[Vertex],0)),1,1,"")</f>
        <v>1</v>
      </c>
      <c r="BE8" s="84" t="str">
        <f>REPLACE(INDEX(GroupVertices[Group],MATCH(Edges[[#This Row],[Vertex 2]],GroupVertices[Vertex],0)),1,1,"")</f>
        <v>1</v>
      </c>
    </row>
    <row r="9" spans="1:57" ht="45">
      <c r="A9" s="83" t="s">
        <v>214</v>
      </c>
      <c r="B9" s="83" t="s">
        <v>220</v>
      </c>
      <c r="C9" s="54" t="s">
        <v>349</v>
      </c>
      <c r="D9" s="55">
        <v>3</v>
      </c>
      <c r="E9" s="67" t="s">
        <v>132</v>
      </c>
      <c r="F9" s="56">
        <v>35</v>
      </c>
      <c r="G9" s="54"/>
      <c r="H9" s="58"/>
      <c r="I9" s="57"/>
      <c r="J9" s="57"/>
      <c r="K9" s="36" t="s">
        <v>65</v>
      </c>
      <c r="L9" s="82">
        <v>9</v>
      </c>
      <c r="M9" s="82"/>
      <c r="N9" s="64"/>
      <c r="O9" s="85" t="s">
        <v>224</v>
      </c>
      <c r="P9" s="87">
        <v>44887.63759259259</v>
      </c>
      <c r="Q9" s="85" t="s">
        <v>225</v>
      </c>
      <c r="R9" s="89" t="str">
        <f t="shared" si="0"/>
        <v>https://nodexlgraphgallery.org/Pages/Graph.aspx?graphID=284778</v>
      </c>
      <c r="S9" s="85" t="s">
        <v>226</v>
      </c>
      <c r="T9" s="91" t="s">
        <v>227</v>
      </c>
      <c r="U9" s="85"/>
      <c r="V9" s="89" t="str">
        <f t="shared" si="1"/>
        <v>http://pbs.twimg.com/profile_images/1443845612445839401/cczEDG9W_normal.jpg</v>
      </c>
      <c r="W9" s="87">
        <v>44887.63759259259</v>
      </c>
      <c r="X9" s="93">
        <v>44887</v>
      </c>
      <c r="Y9" s="91" t="s">
        <v>228</v>
      </c>
      <c r="Z9" s="89" t="str">
        <f t="shared" si="2"/>
        <v>https://twitter.com/#!/this0499154500/status/1595074157704019969</v>
      </c>
      <c r="AA9" s="85"/>
      <c r="AB9" s="85"/>
      <c r="AC9" s="91" t="s">
        <v>229</v>
      </c>
      <c r="AD9" s="85"/>
      <c r="AE9" s="85" t="b">
        <v>0</v>
      </c>
      <c r="AF9" s="85">
        <v>0</v>
      </c>
      <c r="AG9" s="91" t="s">
        <v>230</v>
      </c>
      <c r="AH9" s="85" t="b">
        <v>0</v>
      </c>
      <c r="AI9" s="85" t="s">
        <v>231</v>
      </c>
      <c r="AJ9" s="85"/>
      <c r="AK9" s="91" t="s">
        <v>230</v>
      </c>
      <c r="AL9" s="85" t="b">
        <v>0</v>
      </c>
      <c r="AM9" s="85">
        <v>0</v>
      </c>
      <c r="AN9" s="91" t="s">
        <v>230</v>
      </c>
      <c r="AO9" s="91" t="s">
        <v>232</v>
      </c>
      <c r="AP9" s="85" t="b">
        <v>0</v>
      </c>
      <c r="AQ9" s="91" t="s">
        <v>229</v>
      </c>
      <c r="AR9" s="85" t="s">
        <v>176</v>
      </c>
      <c r="AS9" s="85">
        <v>0</v>
      </c>
      <c r="AT9" s="85">
        <v>0</v>
      </c>
      <c r="AU9" s="85"/>
      <c r="AV9" s="85"/>
      <c r="AW9" s="85"/>
      <c r="AX9" s="85"/>
      <c r="AY9" s="85"/>
      <c r="AZ9" s="85"/>
      <c r="BA9" s="85"/>
      <c r="BB9" s="85"/>
      <c r="BC9">
        <v>1</v>
      </c>
      <c r="BD9" s="84" t="str">
        <f>REPLACE(INDEX(GroupVertices[Group],MATCH(Edges[[#This Row],[Vertex 1]],GroupVertices[Vertex],0)),1,1,"")</f>
        <v>1</v>
      </c>
      <c r="BE9" s="84" t="str">
        <f>REPLACE(INDEX(GroupVertices[Group],MATCH(Edges[[#This Row],[Vertex 2]],GroupVertices[Vertex],0)),1,1,"")</f>
        <v>1</v>
      </c>
    </row>
    <row r="10" spans="1:57" ht="45">
      <c r="A10" s="83" t="s">
        <v>214</v>
      </c>
      <c r="B10" s="83" t="s">
        <v>221</v>
      </c>
      <c r="C10" s="54" t="s">
        <v>349</v>
      </c>
      <c r="D10" s="55">
        <v>3</v>
      </c>
      <c r="E10" s="67" t="s">
        <v>132</v>
      </c>
      <c r="F10" s="56">
        <v>35</v>
      </c>
      <c r="G10" s="54"/>
      <c r="H10" s="58"/>
      <c r="I10" s="57"/>
      <c r="J10" s="57"/>
      <c r="K10" s="36" t="s">
        <v>65</v>
      </c>
      <c r="L10" s="82">
        <v>10</v>
      </c>
      <c r="M10" s="82"/>
      <c r="N10" s="64"/>
      <c r="O10" s="85" t="s">
        <v>224</v>
      </c>
      <c r="P10" s="87">
        <v>44887.63759259259</v>
      </c>
      <c r="Q10" s="85" t="s">
        <v>225</v>
      </c>
      <c r="R10" s="89" t="str">
        <f t="shared" si="0"/>
        <v>https://nodexlgraphgallery.org/Pages/Graph.aspx?graphID=284778</v>
      </c>
      <c r="S10" s="85" t="s">
        <v>226</v>
      </c>
      <c r="T10" s="91" t="s">
        <v>227</v>
      </c>
      <c r="U10" s="85"/>
      <c r="V10" s="89" t="str">
        <f t="shared" si="1"/>
        <v>http://pbs.twimg.com/profile_images/1443845612445839401/cczEDG9W_normal.jpg</v>
      </c>
      <c r="W10" s="87">
        <v>44887.63759259259</v>
      </c>
      <c r="X10" s="93">
        <v>44887</v>
      </c>
      <c r="Y10" s="91" t="s">
        <v>228</v>
      </c>
      <c r="Z10" s="89" t="str">
        <f t="shared" si="2"/>
        <v>https://twitter.com/#!/this0499154500/status/1595074157704019969</v>
      </c>
      <c r="AA10" s="85"/>
      <c r="AB10" s="85"/>
      <c r="AC10" s="91" t="s">
        <v>229</v>
      </c>
      <c r="AD10" s="85"/>
      <c r="AE10" s="85" t="b">
        <v>0</v>
      </c>
      <c r="AF10" s="85">
        <v>0</v>
      </c>
      <c r="AG10" s="91" t="s">
        <v>230</v>
      </c>
      <c r="AH10" s="85" t="b">
        <v>0</v>
      </c>
      <c r="AI10" s="85" t="s">
        <v>231</v>
      </c>
      <c r="AJ10" s="85"/>
      <c r="AK10" s="91" t="s">
        <v>230</v>
      </c>
      <c r="AL10" s="85" t="b">
        <v>0</v>
      </c>
      <c r="AM10" s="85">
        <v>0</v>
      </c>
      <c r="AN10" s="91" t="s">
        <v>230</v>
      </c>
      <c r="AO10" s="91" t="s">
        <v>232</v>
      </c>
      <c r="AP10" s="85" t="b">
        <v>0</v>
      </c>
      <c r="AQ10" s="91" t="s">
        <v>229</v>
      </c>
      <c r="AR10" s="85" t="s">
        <v>176</v>
      </c>
      <c r="AS10" s="85">
        <v>0</v>
      </c>
      <c r="AT10" s="85">
        <v>0</v>
      </c>
      <c r="AU10" s="85"/>
      <c r="AV10" s="85"/>
      <c r="AW10" s="85"/>
      <c r="AX10" s="85"/>
      <c r="AY10" s="85"/>
      <c r="AZ10" s="85"/>
      <c r="BA10" s="85"/>
      <c r="BB10" s="85"/>
      <c r="BC10">
        <v>1</v>
      </c>
      <c r="BD10" s="84" t="str">
        <f>REPLACE(INDEX(GroupVertices[Group],MATCH(Edges[[#This Row],[Vertex 1]],GroupVertices[Vertex],0)),1,1,"")</f>
        <v>1</v>
      </c>
      <c r="BE10" s="84" t="str">
        <f>REPLACE(INDEX(GroupVertices[Group],MATCH(Edges[[#This Row],[Vertex 2]],GroupVertices[Vertex],0)),1,1,"")</f>
        <v>1</v>
      </c>
    </row>
    <row r="11" spans="1:57" ht="45">
      <c r="A11" s="83" t="s">
        <v>214</v>
      </c>
      <c r="B11" s="83" t="s">
        <v>222</v>
      </c>
      <c r="C11" s="54" t="s">
        <v>349</v>
      </c>
      <c r="D11" s="55">
        <v>3</v>
      </c>
      <c r="E11" s="67" t="s">
        <v>132</v>
      </c>
      <c r="F11" s="56">
        <v>35</v>
      </c>
      <c r="G11" s="54"/>
      <c r="H11" s="58"/>
      <c r="I11" s="57"/>
      <c r="J11" s="57"/>
      <c r="K11" s="36" t="s">
        <v>65</v>
      </c>
      <c r="L11" s="82">
        <v>11</v>
      </c>
      <c r="M11" s="82"/>
      <c r="N11" s="64"/>
      <c r="O11" s="85" t="s">
        <v>224</v>
      </c>
      <c r="P11" s="87">
        <v>44887.63759259259</v>
      </c>
      <c r="Q11" s="85" t="s">
        <v>225</v>
      </c>
      <c r="R11" s="89" t="str">
        <f t="shared" si="0"/>
        <v>https://nodexlgraphgallery.org/Pages/Graph.aspx?graphID=284778</v>
      </c>
      <c r="S11" s="85" t="s">
        <v>226</v>
      </c>
      <c r="T11" s="91" t="s">
        <v>227</v>
      </c>
      <c r="U11" s="85"/>
      <c r="V11" s="89" t="str">
        <f t="shared" si="1"/>
        <v>http://pbs.twimg.com/profile_images/1443845612445839401/cczEDG9W_normal.jpg</v>
      </c>
      <c r="W11" s="87">
        <v>44887.63759259259</v>
      </c>
      <c r="X11" s="93">
        <v>44887</v>
      </c>
      <c r="Y11" s="91" t="s">
        <v>228</v>
      </c>
      <c r="Z11" s="89" t="str">
        <f t="shared" si="2"/>
        <v>https://twitter.com/#!/this0499154500/status/1595074157704019969</v>
      </c>
      <c r="AA11" s="85"/>
      <c r="AB11" s="85"/>
      <c r="AC11" s="91" t="s">
        <v>229</v>
      </c>
      <c r="AD11" s="85"/>
      <c r="AE11" s="85" t="b">
        <v>0</v>
      </c>
      <c r="AF11" s="85">
        <v>0</v>
      </c>
      <c r="AG11" s="91" t="s">
        <v>230</v>
      </c>
      <c r="AH11" s="85" t="b">
        <v>0</v>
      </c>
      <c r="AI11" s="85" t="s">
        <v>231</v>
      </c>
      <c r="AJ11" s="85"/>
      <c r="AK11" s="91" t="s">
        <v>230</v>
      </c>
      <c r="AL11" s="85" t="b">
        <v>0</v>
      </c>
      <c r="AM11" s="85">
        <v>0</v>
      </c>
      <c r="AN11" s="91" t="s">
        <v>230</v>
      </c>
      <c r="AO11" s="91" t="s">
        <v>232</v>
      </c>
      <c r="AP11" s="85" t="b">
        <v>0</v>
      </c>
      <c r="AQ11" s="91" t="s">
        <v>229</v>
      </c>
      <c r="AR11" s="85" t="s">
        <v>176</v>
      </c>
      <c r="AS11" s="85">
        <v>0</v>
      </c>
      <c r="AT11" s="85">
        <v>0</v>
      </c>
      <c r="AU11" s="85"/>
      <c r="AV11" s="85"/>
      <c r="AW11" s="85"/>
      <c r="AX11" s="85"/>
      <c r="AY11" s="85"/>
      <c r="AZ11" s="85"/>
      <c r="BA11" s="85"/>
      <c r="BB11" s="85"/>
      <c r="BC11">
        <v>1</v>
      </c>
      <c r="BD11" s="84" t="str">
        <f>REPLACE(INDEX(GroupVertices[Group],MATCH(Edges[[#This Row],[Vertex 1]],GroupVertices[Vertex],0)),1,1,"")</f>
        <v>1</v>
      </c>
      <c r="BE11" s="84"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233</v>
      </c>
      <c r="AE2" s="13" t="s">
        <v>234</v>
      </c>
      <c r="AF2" s="13" t="s">
        <v>235</v>
      </c>
      <c r="AG2" s="13" t="s">
        <v>236</v>
      </c>
      <c r="AH2" s="13" t="s">
        <v>237</v>
      </c>
      <c r="AI2" s="13" t="s">
        <v>238</v>
      </c>
      <c r="AJ2" s="13" t="s">
        <v>239</v>
      </c>
      <c r="AK2" s="13" t="s">
        <v>240</v>
      </c>
      <c r="AL2" s="13" t="s">
        <v>241</v>
      </c>
      <c r="AM2" s="13" t="s">
        <v>242</v>
      </c>
      <c r="AN2" s="13" t="s">
        <v>243</v>
      </c>
      <c r="AO2" s="13" t="s">
        <v>244</v>
      </c>
      <c r="AP2" s="13" t="s">
        <v>245</v>
      </c>
      <c r="AQ2" s="13" t="s">
        <v>246</v>
      </c>
      <c r="AR2" s="13" t="s">
        <v>247</v>
      </c>
      <c r="AS2" s="13" t="s">
        <v>248</v>
      </c>
      <c r="AT2" s="13" t="s">
        <v>194</v>
      </c>
      <c r="AU2" s="13" t="s">
        <v>249</v>
      </c>
      <c r="AV2" s="13" t="s">
        <v>250</v>
      </c>
      <c r="AW2" s="13" t="s">
        <v>251</v>
      </c>
      <c r="AX2" s="13" t="s">
        <v>252</v>
      </c>
      <c r="AY2" s="13" t="s">
        <v>253</v>
      </c>
      <c r="AZ2" s="13" t="s">
        <v>254</v>
      </c>
      <c r="BA2" s="13" t="s">
        <v>341</v>
      </c>
      <c r="BB2" s="3"/>
      <c r="BC2" s="3"/>
    </row>
    <row r="3" spans="1:55" ht="15" customHeight="1">
      <c r="A3" s="50" t="s">
        <v>214</v>
      </c>
      <c r="B3" s="54"/>
      <c r="C3" s="54"/>
      <c r="D3" s="55"/>
      <c r="E3" s="56"/>
      <c r="F3" s="115" t="str">
        <f>HYPERLINK("http://pbs.twimg.com/profile_images/1443845612445839401/cczEDG9W_normal.jpg")</f>
        <v>http://pbs.twimg.com/profile_images/1443845612445839401/cczEDG9W_normal.jpg</v>
      </c>
      <c r="G3" s="54"/>
      <c r="H3" s="58" t="s">
        <v>214</v>
      </c>
      <c r="I3" s="57"/>
      <c r="J3" s="57"/>
      <c r="K3" s="117" t="s">
        <v>300</v>
      </c>
      <c r="L3" s="60"/>
      <c r="M3" s="61">
        <v>5069.4482421875</v>
      </c>
      <c r="N3" s="61">
        <v>4919.94921875</v>
      </c>
      <c r="O3" s="59"/>
      <c r="P3" s="62"/>
      <c r="Q3" s="62"/>
      <c r="R3" s="51"/>
      <c r="S3" s="51"/>
      <c r="T3" s="51"/>
      <c r="U3" s="51"/>
      <c r="V3" s="52"/>
      <c r="W3" s="52"/>
      <c r="X3" s="53"/>
      <c r="Y3" s="52"/>
      <c r="Z3" s="52"/>
      <c r="AA3" s="63">
        <v>3</v>
      </c>
      <c r="AB3" s="63"/>
      <c r="AC3" s="64"/>
      <c r="AD3" s="84" t="s">
        <v>264</v>
      </c>
      <c r="AE3" s="90" t="s">
        <v>274</v>
      </c>
      <c r="AF3" s="84">
        <v>467</v>
      </c>
      <c r="AG3" s="84">
        <v>382</v>
      </c>
      <c r="AH3" s="84">
        <v>25061</v>
      </c>
      <c r="AI3" s="84">
        <v>14910</v>
      </c>
      <c r="AJ3" s="84"/>
      <c r="AK3" s="84" t="s">
        <v>282</v>
      </c>
      <c r="AL3" s="84" t="s">
        <v>289</v>
      </c>
      <c r="AM3" s="88" t="str">
        <f>HYPERLINK("https://t.co/yW1s5MlEkl")</f>
        <v>https://t.co/yW1s5MlEkl</v>
      </c>
      <c r="AN3" s="84"/>
      <c r="AO3" s="86">
        <v>44470.311944444446</v>
      </c>
      <c r="AP3" s="88" t="str">
        <f>HYPERLINK("https://pbs.twimg.com/profile_banners/1443840264213311536/1667656800")</f>
        <v>https://pbs.twimg.com/profile_banners/1443840264213311536/1667656800</v>
      </c>
      <c r="AQ3" s="84" t="b">
        <v>1</v>
      </c>
      <c r="AR3" s="84" t="b">
        <v>0</v>
      </c>
      <c r="AS3" s="84" t="b">
        <v>1</v>
      </c>
      <c r="AT3" s="84"/>
      <c r="AU3" s="84">
        <v>37</v>
      </c>
      <c r="AV3" s="84"/>
      <c r="AW3" s="84" t="b">
        <v>0</v>
      </c>
      <c r="AX3" s="84" t="s">
        <v>290</v>
      </c>
      <c r="AY3" s="88" t="str">
        <f>HYPERLINK("https://twitter.com/this0499154500")</f>
        <v>https://twitter.com/this0499154500</v>
      </c>
      <c r="AZ3" s="84" t="s">
        <v>66</v>
      </c>
      <c r="BA3" s="84" t="str">
        <f>REPLACE(INDEX(GroupVertices[Group],MATCH(Vertices[[#This Row],[Vertex]],GroupVertices[Vertex],0)),1,1,"")</f>
        <v>1</v>
      </c>
      <c r="BB3" s="3"/>
      <c r="BC3" s="3"/>
    </row>
    <row r="4" spans="1:58" ht="15">
      <c r="A4" s="14" t="s">
        <v>223</v>
      </c>
      <c r="B4" s="15"/>
      <c r="C4" s="15"/>
      <c r="D4" s="94"/>
      <c r="E4" s="80"/>
      <c r="F4" s="115" t="str">
        <f>HYPERLINK("http://pbs.twimg.com/profile_images/1351376297507737601/WBZn8ANs_normal.jpg")</f>
        <v>http://pbs.twimg.com/profile_images/1351376297507737601/WBZn8ANs_normal.jpg</v>
      </c>
      <c r="G4" s="15"/>
      <c r="H4" s="16" t="s">
        <v>223</v>
      </c>
      <c r="I4" s="68"/>
      <c r="J4" s="68"/>
      <c r="K4" s="117" t="s">
        <v>291</v>
      </c>
      <c r="L4" s="95"/>
      <c r="M4" s="96">
        <v>3755.829833984375</v>
      </c>
      <c r="N4" s="96">
        <v>164.4572296142578</v>
      </c>
      <c r="O4" s="78"/>
      <c r="P4" s="97"/>
      <c r="Q4" s="97"/>
      <c r="R4" s="98"/>
      <c r="S4" s="98"/>
      <c r="T4" s="98"/>
      <c r="U4" s="98"/>
      <c r="V4" s="53"/>
      <c r="W4" s="53"/>
      <c r="X4" s="53"/>
      <c r="Y4" s="53"/>
      <c r="Z4" s="52"/>
      <c r="AA4" s="81">
        <v>4</v>
      </c>
      <c r="AB4" s="81"/>
      <c r="AC4" s="99"/>
      <c r="AD4" s="84" t="s">
        <v>255</v>
      </c>
      <c r="AE4" s="90" t="s">
        <v>265</v>
      </c>
      <c r="AF4" s="84">
        <v>1133</v>
      </c>
      <c r="AG4" s="84">
        <v>5620</v>
      </c>
      <c r="AH4" s="84">
        <v>70887</v>
      </c>
      <c r="AI4" s="84">
        <v>3867</v>
      </c>
      <c r="AJ4" s="84"/>
      <c r="AK4" s="84" t="s">
        <v>275</v>
      </c>
      <c r="AL4" s="84" t="s">
        <v>283</v>
      </c>
      <c r="AM4" s="88" t="str">
        <f>HYPERLINK("https://t.co/Cbb4Rahb4T")</f>
        <v>https://t.co/Cbb4Rahb4T</v>
      </c>
      <c r="AN4" s="84"/>
      <c r="AO4" s="86">
        <v>39885.082349537035</v>
      </c>
      <c r="AP4" s="88" t="str">
        <f>HYPERLINK("https://pbs.twimg.com/profile_banners/24101967/1611028137")</f>
        <v>https://pbs.twimg.com/profile_banners/24101967/1611028137</v>
      </c>
      <c r="AQ4" s="84" t="b">
        <v>0</v>
      </c>
      <c r="AR4" s="84" t="b">
        <v>0</v>
      </c>
      <c r="AS4" s="84" t="b">
        <v>1</v>
      </c>
      <c r="AT4" s="84"/>
      <c r="AU4" s="84">
        <v>695</v>
      </c>
      <c r="AV4" s="88" t="str">
        <f>HYPERLINK("http://abs.twimg.com/images/themes/theme14/bg.gif")</f>
        <v>http://abs.twimg.com/images/themes/theme14/bg.gif</v>
      </c>
      <c r="AW4" s="84" t="b">
        <v>0</v>
      </c>
      <c r="AX4" s="84" t="s">
        <v>290</v>
      </c>
      <c r="AY4" s="88" t="str">
        <f>HYPERLINK("https://twitter.com/jennpedde")</f>
        <v>https://twitter.com/jennpedde</v>
      </c>
      <c r="AZ4" s="84" t="s">
        <v>65</v>
      </c>
      <c r="BA4" s="84" t="str">
        <f>REPLACE(INDEX(GroupVertices[Group],MATCH(Vertices[[#This Row],[Vertex]],GroupVertices[Vertex],0)),1,1,"")</f>
        <v>1</v>
      </c>
      <c r="BB4" s="2"/>
      <c r="BC4" s="3"/>
      <c r="BD4" s="3"/>
      <c r="BE4" s="3"/>
      <c r="BF4" s="3"/>
    </row>
    <row r="5" spans="1:58" ht="15">
      <c r="A5" s="14" t="s">
        <v>215</v>
      </c>
      <c r="B5" s="15"/>
      <c r="C5" s="15"/>
      <c r="D5" s="94"/>
      <c r="E5" s="80"/>
      <c r="F5" s="115" t="str">
        <f>HYPERLINK("http://pbs.twimg.com/profile_images/1590394514560237572/UEKGKLxH_normal.jpg")</f>
        <v>http://pbs.twimg.com/profile_images/1590394514560237572/UEKGKLxH_normal.jpg</v>
      </c>
      <c r="G5" s="15"/>
      <c r="H5" s="16" t="s">
        <v>215</v>
      </c>
      <c r="I5" s="68"/>
      <c r="J5" s="68"/>
      <c r="K5" s="117" t="s">
        <v>292</v>
      </c>
      <c r="L5" s="95"/>
      <c r="M5" s="96">
        <v>115.86326599121094</v>
      </c>
      <c r="N5" s="96">
        <v>5376.32666015625</v>
      </c>
      <c r="O5" s="78"/>
      <c r="P5" s="97"/>
      <c r="Q5" s="97"/>
      <c r="R5" s="98"/>
      <c r="S5" s="98"/>
      <c r="T5" s="98"/>
      <c r="U5" s="98"/>
      <c r="V5" s="53"/>
      <c r="W5" s="53"/>
      <c r="X5" s="53"/>
      <c r="Y5" s="53"/>
      <c r="Z5" s="52"/>
      <c r="AA5" s="81">
        <v>5</v>
      </c>
      <c r="AB5" s="81"/>
      <c r="AC5" s="99"/>
      <c r="AD5" s="84" t="s">
        <v>256</v>
      </c>
      <c r="AE5" s="90" t="s">
        <v>266</v>
      </c>
      <c r="AF5" s="84">
        <v>2376</v>
      </c>
      <c r="AG5" s="84">
        <v>5815</v>
      </c>
      <c r="AH5" s="84">
        <v>19341</v>
      </c>
      <c r="AI5" s="84">
        <v>6178</v>
      </c>
      <c r="AJ5" s="84"/>
      <c r="AK5" s="84" t="s">
        <v>276</v>
      </c>
      <c r="AL5" s="84" t="s">
        <v>284</v>
      </c>
      <c r="AM5" s="88" t="str">
        <f>HYPERLINK("https://t.co/IMsVJeWMx7")</f>
        <v>https://t.co/IMsVJeWMx7</v>
      </c>
      <c r="AN5" s="84"/>
      <c r="AO5" s="86">
        <v>40134.82494212963</v>
      </c>
      <c r="AP5" s="88" t="str">
        <f>HYPERLINK("https://pbs.twimg.com/profile_banners/90703340/1515517167")</f>
        <v>https://pbs.twimg.com/profile_banners/90703340/1515517167</v>
      </c>
      <c r="AQ5" s="84" t="b">
        <v>0</v>
      </c>
      <c r="AR5" s="84" t="b">
        <v>0</v>
      </c>
      <c r="AS5" s="84" t="b">
        <v>1</v>
      </c>
      <c r="AT5" s="84"/>
      <c r="AU5" s="84">
        <v>300</v>
      </c>
      <c r="AV5" s="88" t="str">
        <f>HYPERLINK("http://abs.twimg.com/images/themes/theme2/bg.gif")</f>
        <v>http://abs.twimg.com/images/themes/theme2/bg.gif</v>
      </c>
      <c r="AW5" s="84" t="b">
        <v>0</v>
      </c>
      <c r="AX5" s="84" t="s">
        <v>290</v>
      </c>
      <c r="AY5" s="88" t="str">
        <f>HYPERLINK("https://twitter.com/corriedavidson")</f>
        <v>https://twitter.com/corriedavidson</v>
      </c>
      <c r="AZ5" s="84" t="s">
        <v>65</v>
      </c>
      <c r="BA5" s="84" t="str">
        <f>REPLACE(INDEX(GroupVertices[Group],MATCH(Vertices[[#This Row],[Vertex]],GroupVertices[Vertex],0)),1,1,"")</f>
        <v>1</v>
      </c>
      <c r="BB5" s="2"/>
      <c r="BC5" s="3"/>
      <c r="BD5" s="3"/>
      <c r="BE5" s="3"/>
      <c r="BF5" s="3"/>
    </row>
    <row r="6" spans="1:58" ht="15">
      <c r="A6" s="14" t="s">
        <v>216</v>
      </c>
      <c r="B6" s="15"/>
      <c r="C6" s="15"/>
      <c r="D6" s="94"/>
      <c r="E6" s="80"/>
      <c r="F6" s="115" t="str">
        <f>HYPERLINK("http://abs.twimg.com/sticky/default_profile_images/default_profile_normal.png")</f>
        <v>http://abs.twimg.com/sticky/default_profile_images/default_profile_normal.png</v>
      </c>
      <c r="G6" s="15"/>
      <c r="H6" s="16" t="s">
        <v>216</v>
      </c>
      <c r="I6" s="68"/>
      <c r="J6" s="68"/>
      <c r="K6" s="117" t="s">
        <v>293</v>
      </c>
      <c r="L6" s="95"/>
      <c r="M6" s="96">
        <v>9883.13671875</v>
      </c>
      <c r="N6" s="96">
        <v>6170.21728515625</v>
      </c>
      <c r="O6" s="78"/>
      <c r="P6" s="97"/>
      <c r="Q6" s="97"/>
      <c r="R6" s="98"/>
      <c r="S6" s="98"/>
      <c r="T6" s="98"/>
      <c r="U6" s="98"/>
      <c r="V6" s="53"/>
      <c r="W6" s="53"/>
      <c r="X6" s="53"/>
      <c r="Y6" s="53"/>
      <c r="Z6" s="52"/>
      <c r="AA6" s="81">
        <v>6</v>
      </c>
      <c r="AB6" s="81"/>
      <c r="AC6" s="99"/>
      <c r="AD6" s="84" t="s">
        <v>257</v>
      </c>
      <c r="AE6" s="90" t="s">
        <v>267</v>
      </c>
      <c r="AF6" s="84">
        <v>2</v>
      </c>
      <c r="AG6" s="84">
        <v>398</v>
      </c>
      <c r="AH6" s="84">
        <v>40523</v>
      </c>
      <c r="AI6" s="84">
        <v>44</v>
      </c>
      <c r="AJ6" s="84"/>
      <c r="AK6" s="84" t="s">
        <v>277</v>
      </c>
      <c r="AL6" s="84"/>
      <c r="AM6" s="84"/>
      <c r="AN6" s="84"/>
      <c r="AO6" s="86">
        <v>43945.43320601852</v>
      </c>
      <c r="AP6" s="88" t="str">
        <f>HYPERLINK("https://pbs.twimg.com/profile_banners/1253630643612704769/1589458921")</f>
        <v>https://pbs.twimg.com/profile_banners/1253630643612704769/1589458921</v>
      </c>
      <c r="AQ6" s="84" t="b">
        <v>1</v>
      </c>
      <c r="AR6" s="84" t="b">
        <v>1</v>
      </c>
      <c r="AS6" s="84" t="b">
        <v>0</v>
      </c>
      <c r="AT6" s="84"/>
      <c r="AU6" s="84">
        <v>7</v>
      </c>
      <c r="AV6" s="84"/>
      <c r="AW6" s="84" t="b">
        <v>0</v>
      </c>
      <c r="AX6" s="84" t="s">
        <v>290</v>
      </c>
      <c r="AY6" s="88" t="str">
        <f>HYPERLINK("https://twitter.com/thecommbot")</f>
        <v>https://twitter.com/thecommbot</v>
      </c>
      <c r="AZ6" s="84" t="s">
        <v>65</v>
      </c>
      <c r="BA6" s="84" t="str">
        <f>REPLACE(INDEX(GroupVertices[Group],MATCH(Vertices[[#This Row],[Vertex]],GroupVertices[Vertex],0)),1,1,"")</f>
        <v>1</v>
      </c>
      <c r="BB6" s="2"/>
      <c r="BC6" s="3"/>
      <c r="BD6" s="3"/>
      <c r="BE6" s="3"/>
      <c r="BF6" s="3"/>
    </row>
    <row r="7" spans="1:58" ht="15">
      <c r="A7" s="14" t="s">
        <v>217</v>
      </c>
      <c r="B7" s="15"/>
      <c r="C7" s="15"/>
      <c r="D7" s="94"/>
      <c r="E7" s="80"/>
      <c r="F7" s="115" t="str">
        <f>HYPERLINK("http://pbs.twimg.com/profile_images/846314239782518784/4EFVsuju_normal.jpg")</f>
        <v>http://pbs.twimg.com/profile_images/846314239782518784/4EFVsuju_normal.jpg</v>
      </c>
      <c r="G7" s="15"/>
      <c r="H7" s="16" t="s">
        <v>217</v>
      </c>
      <c r="I7" s="68"/>
      <c r="J7" s="68"/>
      <c r="K7" s="117" t="s">
        <v>294</v>
      </c>
      <c r="L7" s="95"/>
      <c r="M7" s="96">
        <v>4663.115234375</v>
      </c>
      <c r="N7" s="96">
        <v>9834.54296875</v>
      </c>
      <c r="O7" s="78"/>
      <c r="P7" s="97"/>
      <c r="Q7" s="97"/>
      <c r="R7" s="98"/>
      <c r="S7" s="98"/>
      <c r="T7" s="98"/>
      <c r="U7" s="98"/>
      <c r="V7" s="53"/>
      <c r="W7" s="53"/>
      <c r="X7" s="53"/>
      <c r="Y7" s="53"/>
      <c r="Z7" s="52"/>
      <c r="AA7" s="81">
        <v>7</v>
      </c>
      <c r="AB7" s="81"/>
      <c r="AC7" s="99"/>
      <c r="AD7" s="84" t="s">
        <v>258</v>
      </c>
      <c r="AE7" s="90" t="s">
        <v>268</v>
      </c>
      <c r="AF7" s="84">
        <v>107</v>
      </c>
      <c r="AG7" s="84">
        <v>61</v>
      </c>
      <c r="AH7" s="84">
        <v>2478</v>
      </c>
      <c r="AI7" s="84">
        <v>6</v>
      </c>
      <c r="AJ7" s="84"/>
      <c r="AK7" s="84" t="s">
        <v>278</v>
      </c>
      <c r="AL7" s="84" t="s">
        <v>285</v>
      </c>
      <c r="AM7" s="84"/>
      <c r="AN7" s="84"/>
      <c r="AO7" s="86">
        <v>42316.392488425925</v>
      </c>
      <c r="AP7" s="84"/>
      <c r="AQ7" s="84" t="b">
        <v>0</v>
      </c>
      <c r="AR7" s="84" t="b">
        <v>0</v>
      </c>
      <c r="AS7" s="84" t="b">
        <v>0</v>
      </c>
      <c r="AT7" s="84"/>
      <c r="AU7" s="84">
        <v>42</v>
      </c>
      <c r="AV7" s="88" t="str">
        <f>HYPERLINK("http://abs.twimg.com/images/themes/theme1/bg.png")</f>
        <v>http://abs.twimg.com/images/themes/theme1/bg.png</v>
      </c>
      <c r="AW7" s="84" t="b">
        <v>0</v>
      </c>
      <c r="AX7" s="84" t="s">
        <v>290</v>
      </c>
      <c r="AY7" s="88" t="str">
        <f>HYPERLINK("https://twitter.com/cyberbaddeobot")</f>
        <v>https://twitter.com/cyberbaddeobot</v>
      </c>
      <c r="AZ7" s="84" t="s">
        <v>65</v>
      </c>
      <c r="BA7" s="84" t="str">
        <f>REPLACE(INDEX(GroupVertices[Group],MATCH(Vertices[[#This Row],[Vertex]],GroupVertices[Vertex],0)),1,1,"")</f>
        <v>1</v>
      </c>
      <c r="BB7" s="2"/>
      <c r="BC7" s="3"/>
      <c r="BD7" s="3"/>
      <c r="BE7" s="3"/>
      <c r="BF7" s="3"/>
    </row>
    <row r="8" spans="1:58" ht="15">
      <c r="A8" s="14" t="s">
        <v>218</v>
      </c>
      <c r="B8" s="15"/>
      <c r="C8" s="15"/>
      <c r="D8" s="94"/>
      <c r="E8" s="80"/>
      <c r="F8" s="115" t="str">
        <f>HYPERLINK("http://pbs.twimg.com/profile_images/879939642438582272/oUuH2SrQ_normal.jpg")</f>
        <v>http://pbs.twimg.com/profile_images/879939642438582272/oUuH2SrQ_normal.jpg</v>
      </c>
      <c r="G8" s="15"/>
      <c r="H8" s="16" t="s">
        <v>218</v>
      </c>
      <c r="I8" s="68"/>
      <c r="J8" s="68"/>
      <c r="K8" s="117" t="s">
        <v>295</v>
      </c>
      <c r="L8" s="95"/>
      <c r="M8" s="96">
        <v>7148.0361328125</v>
      </c>
      <c r="N8" s="96">
        <v>439.2937316894531</v>
      </c>
      <c r="O8" s="78"/>
      <c r="P8" s="97"/>
      <c r="Q8" s="97"/>
      <c r="R8" s="98"/>
      <c r="S8" s="98"/>
      <c r="T8" s="98"/>
      <c r="U8" s="98"/>
      <c r="V8" s="53"/>
      <c r="W8" s="53"/>
      <c r="X8" s="53"/>
      <c r="Y8" s="53"/>
      <c r="Z8" s="52"/>
      <c r="AA8" s="81">
        <v>8</v>
      </c>
      <c r="AB8" s="81"/>
      <c r="AC8" s="99"/>
      <c r="AD8" s="84" t="s">
        <v>259</v>
      </c>
      <c r="AE8" s="90" t="s">
        <v>269</v>
      </c>
      <c r="AF8" s="84">
        <v>4844</v>
      </c>
      <c r="AG8" s="84">
        <v>4493</v>
      </c>
      <c r="AH8" s="84">
        <v>34416</v>
      </c>
      <c r="AI8" s="84">
        <v>7045</v>
      </c>
      <c r="AJ8" s="84"/>
      <c r="AK8" s="84" t="s">
        <v>279</v>
      </c>
      <c r="AL8" s="84" t="s">
        <v>286</v>
      </c>
      <c r="AM8" s="84"/>
      <c r="AN8" s="84"/>
      <c r="AO8" s="86">
        <v>42908.33980324074</v>
      </c>
      <c r="AP8" s="88" t="str">
        <f>HYPERLINK("https://pbs.twimg.com/profile_banners/877800655477501952/1657309162")</f>
        <v>https://pbs.twimg.com/profile_banners/877800655477501952/1657309162</v>
      </c>
      <c r="AQ8" s="84" t="b">
        <v>0</v>
      </c>
      <c r="AR8" s="84" t="b">
        <v>0</v>
      </c>
      <c r="AS8" s="84" t="b">
        <v>0</v>
      </c>
      <c r="AT8" s="84"/>
      <c r="AU8" s="84">
        <v>47</v>
      </c>
      <c r="AV8" s="88" t="str">
        <f>HYPERLINK("http://abs.twimg.com/images/themes/theme1/bg.png")</f>
        <v>http://abs.twimg.com/images/themes/theme1/bg.png</v>
      </c>
      <c r="AW8" s="84" t="b">
        <v>0</v>
      </c>
      <c r="AX8" s="84" t="s">
        <v>290</v>
      </c>
      <c r="AY8" s="88" t="str">
        <f>HYPERLINK("https://twitter.com/techpearce4")</f>
        <v>https://twitter.com/techpearce4</v>
      </c>
      <c r="AZ8" s="84" t="s">
        <v>65</v>
      </c>
      <c r="BA8" s="84" t="str">
        <f>REPLACE(INDEX(GroupVertices[Group],MATCH(Vertices[[#This Row],[Vertex]],GroupVertices[Vertex],0)),1,1,"")</f>
        <v>1</v>
      </c>
      <c r="BB8" s="2"/>
      <c r="BC8" s="3"/>
      <c r="BD8" s="3"/>
      <c r="BE8" s="3"/>
      <c r="BF8" s="3"/>
    </row>
    <row r="9" spans="1:58" ht="15">
      <c r="A9" s="14" t="s">
        <v>219</v>
      </c>
      <c r="B9" s="15"/>
      <c r="C9" s="15"/>
      <c r="D9" s="94"/>
      <c r="E9" s="80"/>
      <c r="F9" s="115" t="str">
        <f>HYPERLINK("http://pbs.twimg.com/profile_images/1547260607170232320/FfTjIDhM_normal.png")</f>
        <v>http://pbs.twimg.com/profile_images/1547260607170232320/FfTjIDhM_normal.png</v>
      </c>
      <c r="G9" s="15"/>
      <c r="H9" s="16" t="s">
        <v>219</v>
      </c>
      <c r="I9" s="68"/>
      <c r="J9" s="68"/>
      <c r="K9" s="117" t="s">
        <v>296</v>
      </c>
      <c r="L9" s="95"/>
      <c r="M9" s="96">
        <v>1570.3133544921875</v>
      </c>
      <c r="N9" s="96">
        <v>8425.611328125</v>
      </c>
      <c r="O9" s="78"/>
      <c r="P9" s="97"/>
      <c r="Q9" s="97"/>
      <c r="R9" s="98"/>
      <c r="S9" s="98"/>
      <c r="T9" s="98"/>
      <c r="U9" s="98"/>
      <c r="V9" s="53"/>
      <c r="W9" s="53"/>
      <c r="X9" s="53"/>
      <c r="Y9" s="53"/>
      <c r="Z9" s="52"/>
      <c r="AA9" s="81">
        <v>9</v>
      </c>
      <c r="AB9" s="81"/>
      <c r="AC9" s="99"/>
      <c r="AD9" s="84" t="s">
        <v>260</v>
      </c>
      <c r="AE9" s="90" t="s">
        <v>270</v>
      </c>
      <c r="AF9" s="84">
        <v>2595</v>
      </c>
      <c r="AG9" s="84">
        <v>2361</v>
      </c>
      <c r="AH9" s="84">
        <v>9935</v>
      </c>
      <c r="AI9" s="84">
        <v>714</v>
      </c>
      <c r="AJ9" s="84"/>
      <c r="AK9" s="84" t="s">
        <v>280</v>
      </c>
      <c r="AL9" s="84" t="s">
        <v>287</v>
      </c>
      <c r="AM9" s="88" t="str">
        <f>HYPERLINK("https://t.co/PzndURSCSB")</f>
        <v>https://t.co/PzndURSCSB</v>
      </c>
      <c r="AN9" s="84"/>
      <c r="AO9" s="86">
        <v>44510.42240740741</v>
      </c>
      <c r="AP9" s="88" t="str">
        <f>HYPERLINK("https://pbs.twimg.com/profile_banners/1458375312820117504/1657308175")</f>
        <v>https://pbs.twimg.com/profile_banners/1458375312820117504/1657308175</v>
      </c>
      <c r="AQ9" s="84" t="b">
        <v>1</v>
      </c>
      <c r="AR9" s="84" t="b">
        <v>0</v>
      </c>
      <c r="AS9" s="84" t="b">
        <v>0</v>
      </c>
      <c r="AT9" s="84"/>
      <c r="AU9" s="84">
        <v>9</v>
      </c>
      <c r="AV9" s="84"/>
      <c r="AW9" s="84" t="b">
        <v>0</v>
      </c>
      <c r="AX9" s="84" t="s">
        <v>290</v>
      </c>
      <c r="AY9" s="88" t="str">
        <f>HYPERLINK("https://twitter.com/techpearce6")</f>
        <v>https://twitter.com/techpearce6</v>
      </c>
      <c r="AZ9" s="84" t="s">
        <v>65</v>
      </c>
      <c r="BA9" s="84" t="str">
        <f>REPLACE(INDEX(GroupVertices[Group],MATCH(Vertices[[#This Row],[Vertex]],GroupVertices[Vertex],0)),1,1,"")</f>
        <v>1</v>
      </c>
      <c r="BB9" s="2"/>
      <c r="BC9" s="3"/>
      <c r="BD9" s="3"/>
      <c r="BE9" s="3"/>
      <c r="BF9" s="3"/>
    </row>
    <row r="10" spans="1:58" ht="15">
      <c r="A10" s="14" t="s">
        <v>220</v>
      </c>
      <c r="B10" s="15"/>
      <c r="C10" s="15"/>
      <c r="D10" s="94"/>
      <c r="E10" s="80"/>
      <c r="F10" s="115" t="str">
        <f>HYPERLINK("http://pbs.twimg.com/profile_images/1552299807124881409/Ybo3DP1T_normal.png")</f>
        <v>http://pbs.twimg.com/profile_images/1552299807124881409/Ybo3DP1T_normal.png</v>
      </c>
      <c r="G10" s="15"/>
      <c r="H10" s="16" t="s">
        <v>220</v>
      </c>
      <c r="I10" s="68"/>
      <c r="J10" s="68"/>
      <c r="K10" s="117" t="s">
        <v>297</v>
      </c>
      <c r="L10" s="95"/>
      <c r="M10" s="96">
        <v>9567.3173828125</v>
      </c>
      <c r="N10" s="96">
        <v>2811.798828125</v>
      </c>
      <c r="O10" s="78"/>
      <c r="P10" s="97"/>
      <c r="Q10" s="97"/>
      <c r="R10" s="98"/>
      <c r="S10" s="98"/>
      <c r="T10" s="98"/>
      <c r="U10" s="98"/>
      <c r="V10" s="53"/>
      <c r="W10" s="53"/>
      <c r="X10" s="53"/>
      <c r="Y10" s="53"/>
      <c r="Z10" s="52"/>
      <c r="AA10" s="81">
        <v>10</v>
      </c>
      <c r="AB10" s="81"/>
      <c r="AC10" s="99"/>
      <c r="AD10" s="84" t="s">
        <v>261</v>
      </c>
      <c r="AE10" s="90" t="s">
        <v>271</v>
      </c>
      <c r="AF10" s="84">
        <v>23</v>
      </c>
      <c r="AG10" s="84">
        <v>1</v>
      </c>
      <c r="AH10" s="84">
        <v>134</v>
      </c>
      <c r="AI10" s="84">
        <v>0</v>
      </c>
      <c r="AJ10" s="84"/>
      <c r="AK10" s="84"/>
      <c r="AL10" s="84"/>
      <c r="AM10" s="84"/>
      <c r="AN10" s="84"/>
      <c r="AO10" s="86">
        <v>44769.60287037037</v>
      </c>
      <c r="AP10" s="84"/>
      <c r="AQ10" s="84" t="b">
        <v>1</v>
      </c>
      <c r="AR10" s="84" t="b">
        <v>0</v>
      </c>
      <c r="AS10" s="84" t="b">
        <v>0</v>
      </c>
      <c r="AT10" s="84"/>
      <c r="AU10" s="84">
        <v>0</v>
      </c>
      <c r="AV10" s="84"/>
      <c r="AW10" s="84" t="b">
        <v>0</v>
      </c>
      <c r="AX10" s="84" t="s">
        <v>290</v>
      </c>
      <c r="AY10" s="88" t="str">
        <f>HYPERLINK("https://twitter.com/tradingarabian")</f>
        <v>https://twitter.com/tradingarabian</v>
      </c>
      <c r="AZ10" s="84" t="s">
        <v>65</v>
      </c>
      <c r="BA10" s="84" t="str">
        <f>REPLACE(INDEX(GroupVertices[Group],MATCH(Vertices[[#This Row],[Vertex]],GroupVertices[Vertex],0)),1,1,"")</f>
        <v>1</v>
      </c>
      <c r="BB10" s="2"/>
      <c r="BC10" s="3"/>
      <c r="BD10" s="3"/>
      <c r="BE10" s="3"/>
      <c r="BF10" s="3"/>
    </row>
    <row r="11" spans="1:58" ht="15">
      <c r="A11" s="14" t="s">
        <v>221</v>
      </c>
      <c r="B11" s="15"/>
      <c r="C11" s="15"/>
      <c r="D11" s="94"/>
      <c r="E11" s="80"/>
      <c r="F11" s="115" t="str">
        <f>HYPERLINK("http://pbs.twimg.com/profile_images/1560785459009273858/MQe1UQS5_normal.jpg")</f>
        <v>http://pbs.twimg.com/profile_images/1560785459009273858/MQe1UQS5_normal.jpg</v>
      </c>
      <c r="G11" s="15"/>
      <c r="H11" s="16" t="s">
        <v>221</v>
      </c>
      <c r="I11" s="68"/>
      <c r="J11" s="68"/>
      <c r="K11" s="117" t="s">
        <v>298</v>
      </c>
      <c r="L11" s="95"/>
      <c r="M11" s="96">
        <v>977.9410400390625</v>
      </c>
      <c r="N11" s="96">
        <v>2113.36669921875</v>
      </c>
      <c r="O11" s="78"/>
      <c r="P11" s="97"/>
      <c r="Q11" s="97"/>
      <c r="R11" s="98"/>
      <c r="S11" s="98"/>
      <c r="T11" s="98"/>
      <c r="U11" s="98"/>
      <c r="V11" s="53"/>
      <c r="W11" s="53"/>
      <c r="X11" s="53"/>
      <c r="Y11" s="53"/>
      <c r="Z11" s="52"/>
      <c r="AA11" s="81">
        <v>11</v>
      </c>
      <c r="AB11" s="81"/>
      <c r="AC11" s="99"/>
      <c r="AD11" s="84" t="s">
        <v>262</v>
      </c>
      <c r="AE11" s="90" t="s">
        <v>272</v>
      </c>
      <c r="AF11" s="84">
        <v>2</v>
      </c>
      <c r="AG11" s="84">
        <v>3</v>
      </c>
      <c r="AH11" s="84">
        <v>23</v>
      </c>
      <c r="AI11" s="84">
        <v>5</v>
      </c>
      <c r="AJ11" s="84"/>
      <c r="AK11" s="84"/>
      <c r="AL11" s="84"/>
      <c r="AM11" s="84"/>
      <c r="AN11" s="84"/>
      <c r="AO11" s="86">
        <v>44793.01804398148</v>
      </c>
      <c r="AP11" s="88" t="str">
        <f>HYPERLINK("https://pbs.twimg.com/profile_banners/1560785091848290304/1660955473")</f>
        <v>https://pbs.twimg.com/profile_banners/1560785091848290304/1660955473</v>
      </c>
      <c r="AQ11" s="84" t="b">
        <v>1</v>
      </c>
      <c r="AR11" s="84" t="b">
        <v>0</v>
      </c>
      <c r="AS11" s="84" t="b">
        <v>0</v>
      </c>
      <c r="AT11" s="84"/>
      <c r="AU11" s="84">
        <v>0</v>
      </c>
      <c r="AV11" s="84"/>
      <c r="AW11" s="84" t="b">
        <v>0</v>
      </c>
      <c r="AX11" s="84" t="s">
        <v>290</v>
      </c>
      <c r="AY11" s="88" t="str">
        <f>HYPERLINK("https://twitter.com/_iammarissaaa")</f>
        <v>https://twitter.com/_iammarissaaa</v>
      </c>
      <c r="AZ11" s="84" t="s">
        <v>65</v>
      </c>
      <c r="BA11" s="84" t="str">
        <f>REPLACE(INDEX(GroupVertices[Group],MATCH(Vertices[[#This Row],[Vertex]],GroupVertices[Vertex],0)),1,1,"")</f>
        <v>1</v>
      </c>
      <c r="BB11" s="2"/>
      <c r="BC11" s="3"/>
      <c r="BD11" s="3"/>
      <c r="BE11" s="3"/>
      <c r="BF11" s="3"/>
    </row>
    <row r="12" spans="1:58" ht="15">
      <c r="A12" s="100" t="s">
        <v>222</v>
      </c>
      <c r="B12" s="101"/>
      <c r="C12" s="101"/>
      <c r="D12" s="102"/>
      <c r="E12" s="103"/>
      <c r="F12" s="116" t="str">
        <f>HYPERLINK("http://pbs.twimg.com/profile_images/1568940122409783300/UdbguHg0_normal.jpg")</f>
        <v>http://pbs.twimg.com/profile_images/1568940122409783300/UdbguHg0_normal.jpg</v>
      </c>
      <c r="G12" s="101"/>
      <c r="H12" s="104" t="s">
        <v>222</v>
      </c>
      <c r="I12" s="105"/>
      <c r="J12" s="105"/>
      <c r="K12" s="118" t="s">
        <v>299</v>
      </c>
      <c r="L12" s="106"/>
      <c r="M12" s="107">
        <v>7945.47705078125</v>
      </c>
      <c r="N12" s="107">
        <v>8942.82421875</v>
      </c>
      <c r="O12" s="108"/>
      <c r="P12" s="109"/>
      <c r="Q12" s="109"/>
      <c r="R12" s="110"/>
      <c r="S12" s="110"/>
      <c r="T12" s="110"/>
      <c r="U12" s="110"/>
      <c r="V12" s="111"/>
      <c r="W12" s="111"/>
      <c r="X12" s="111"/>
      <c r="Y12" s="111"/>
      <c r="Z12" s="112"/>
      <c r="AA12" s="113">
        <v>12</v>
      </c>
      <c r="AB12" s="113"/>
      <c r="AC12" s="114"/>
      <c r="AD12" s="84" t="s">
        <v>263</v>
      </c>
      <c r="AE12" s="90" t="s">
        <v>273</v>
      </c>
      <c r="AF12" s="84">
        <v>89</v>
      </c>
      <c r="AG12" s="84">
        <v>2767</v>
      </c>
      <c r="AH12" s="84">
        <v>10159</v>
      </c>
      <c r="AI12" s="84">
        <v>286</v>
      </c>
      <c r="AJ12" s="84"/>
      <c r="AK12" s="84" t="s">
        <v>281</v>
      </c>
      <c r="AL12" s="84" t="s">
        <v>288</v>
      </c>
      <c r="AM12" s="88" t="str">
        <f>HYPERLINK("https://t.co/Cq9nGTAtfu")</f>
        <v>https://t.co/Cq9nGTAtfu</v>
      </c>
      <c r="AN12" s="84"/>
      <c r="AO12" s="86">
        <v>39163.78670138889</v>
      </c>
      <c r="AP12" s="88" t="str">
        <f>HYPERLINK("https://pbs.twimg.com/profile_banners/1923101/1662902044")</f>
        <v>https://pbs.twimg.com/profile_banners/1923101/1662902044</v>
      </c>
      <c r="AQ12" s="84" t="b">
        <v>0</v>
      </c>
      <c r="AR12" s="84" t="b">
        <v>0</v>
      </c>
      <c r="AS12" s="84" t="b">
        <v>1</v>
      </c>
      <c r="AT12" s="84"/>
      <c r="AU12" s="84">
        <v>301</v>
      </c>
      <c r="AV12" s="88" t="str">
        <f>HYPERLINK("http://abs.twimg.com/images/themes/theme14/bg.gif")</f>
        <v>http://abs.twimg.com/images/themes/theme14/bg.gif</v>
      </c>
      <c r="AW12" s="84" t="b">
        <v>0</v>
      </c>
      <c r="AX12" s="84" t="s">
        <v>290</v>
      </c>
      <c r="AY12" s="88" t="str">
        <f>HYPERLINK("https://twitter.com/historian")</f>
        <v>https://twitter.com/historian</v>
      </c>
      <c r="AZ12" s="84" t="s">
        <v>65</v>
      </c>
      <c r="BA12" s="84" t="str">
        <f>REPLACE(INDEX(GroupVertices[Group],MATCH(Vertices[[#This Row],[Vertex]],GroupVertices[Vertex],0)),1,1,"")</f>
        <v>1</v>
      </c>
      <c r="BB12" s="2"/>
      <c r="BC12" s="3"/>
      <c r="BD12" s="3"/>
      <c r="BE12" s="3"/>
      <c r="BF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344</v>
      </c>
    </row>
    <row r="3" spans="1:25" ht="15">
      <c r="A3" s="83" t="s">
        <v>339</v>
      </c>
      <c r="B3" s="119" t="s">
        <v>340</v>
      </c>
      <c r="C3" s="119" t="s">
        <v>56</v>
      </c>
      <c r="D3" s="15"/>
      <c r="E3" s="15"/>
      <c r="F3" s="16" t="s">
        <v>339</v>
      </c>
      <c r="G3" s="78"/>
      <c r="H3" s="78"/>
      <c r="I3" s="65">
        <v>3</v>
      </c>
      <c r="J3" s="65"/>
      <c r="K3" s="51">
        <v>10</v>
      </c>
      <c r="L3" s="51">
        <v>9</v>
      </c>
      <c r="M3" s="51">
        <v>0</v>
      </c>
      <c r="N3" s="51">
        <v>9</v>
      </c>
      <c r="O3" s="51">
        <v>0</v>
      </c>
      <c r="P3" s="52">
        <v>0</v>
      </c>
      <c r="Q3" s="52">
        <v>0</v>
      </c>
      <c r="R3" s="51">
        <v>1</v>
      </c>
      <c r="S3" s="51">
        <v>0</v>
      </c>
      <c r="T3" s="51">
        <v>10</v>
      </c>
      <c r="U3" s="51">
        <v>9</v>
      </c>
      <c r="V3" s="51">
        <v>2</v>
      </c>
      <c r="W3" s="52">
        <v>1.62</v>
      </c>
      <c r="X3" s="52">
        <v>0.1</v>
      </c>
      <c r="Y3" s="84" t="s">
        <v>345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339</v>
      </c>
      <c r="B2" s="90" t="s">
        <v>214</v>
      </c>
      <c r="C2" s="84">
        <f>VLOOKUP(GroupVertices[[#This Row],[Vertex]],Vertices[],MATCH("ID",Vertices[[#Headers],[Vertex]:[Vertex Group]],0),FALSE)</f>
        <v>3</v>
      </c>
    </row>
    <row r="3" spans="1:3" ht="15">
      <c r="A3" s="85" t="s">
        <v>339</v>
      </c>
      <c r="B3" s="90" t="s">
        <v>222</v>
      </c>
      <c r="C3" s="84">
        <f>VLOOKUP(GroupVertices[[#This Row],[Vertex]],Vertices[],MATCH("ID",Vertices[[#Headers],[Vertex]:[Vertex Group]],0),FALSE)</f>
        <v>12</v>
      </c>
    </row>
    <row r="4" spans="1:3" ht="15">
      <c r="A4" s="85" t="s">
        <v>339</v>
      </c>
      <c r="B4" s="90" t="s">
        <v>221</v>
      </c>
      <c r="C4" s="84">
        <f>VLOOKUP(GroupVertices[[#This Row],[Vertex]],Vertices[],MATCH("ID",Vertices[[#Headers],[Vertex]:[Vertex Group]],0),FALSE)</f>
        <v>11</v>
      </c>
    </row>
    <row r="5" spans="1:3" ht="15">
      <c r="A5" s="85" t="s">
        <v>339</v>
      </c>
      <c r="B5" s="90" t="s">
        <v>220</v>
      </c>
      <c r="C5" s="84">
        <f>VLOOKUP(GroupVertices[[#This Row],[Vertex]],Vertices[],MATCH("ID",Vertices[[#Headers],[Vertex]:[Vertex Group]],0),FALSE)</f>
        <v>10</v>
      </c>
    </row>
    <row r="6" spans="1:3" ht="15">
      <c r="A6" s="85" t="s">
        <v>339</v>
      </c>
      <c r="B6" s="90" t="s">
        <v>219</v>
      </c>
      <c r="C6" s="84">
        <f>VLOOKUP(GroupVertices[[#This Row],[Vertex]],Vertices[],MATCH("ID",Vertices[[#Headers],[Vertex]:[Vertex Group]],0),FALSE)</f>
        <v>9</v>
      </c>
    </row>
    <row r="7" spans="1:3" ht="15">
      <c r="A7" s="85" t="s">
        <v>339</v>
      </c>
      <c r="B7" s="90" t="s">
        <v>218</v>
      </c>
      <c r="C7" s="84">
        <f>VLOOKUP(GroupVertices[[#This Row],[Vertex]],Vertices[],MATCH("ID",Vertices[[#Headers],[Vertex]:[Vertex Group]],0),FALSE)</f>
        <v>8</v>
      </c>
    </row>
    <row r="8" spans="1:3" ht="15">
      <c r="A8" s="85" t="s">
        <v>339</v>
      </c>
      <c r="B8" s="90" t="s">
        <v>217</v>
      </c>
      <c r="C8" s="84">
        <f>VLOOKUP(GroupVertices[[#This Row],[Vertex]],Vertices[],MATCH("ID",Vertices[[#Headers],[Vertex]:[Vertex Group]],0),FALSE)</f>
        <v>7</v>
      </c>
    </row>
    <row r="9" spans="1:3" ht="15">
      <c r="A9" s="85" t="s">
        <v>339</v>
      </c>
      <c r="B9" s="90" t="s">
        <v>216</v>
      </c>
      <c r="C9" s="84">
        <f>VLOOKUP(GroupVertices[[#This Row],[Vertex]],Vertices[],MATCH("ID",Vertices[[#Headers],[Vertex]:[Vertex Group]],0),FALSE)</f>
        <v>6</v>
      </c>
    </row>
    <row r="10" spans="1:3" ht="15">
      <c r="A10" s="85" t="s">
        <v>339</v>
      </c>
      <c r="B10" s="90" t="s">
        <v>215</v>
      </c>
      <c r="C10" s="84">
        <f>VLOOKUP(GroupVertices[[#This Row],[Vertex]],Vertices[],MATCH("ID",Vertices[[#Headers],[Vertex]:[Vertex Group]],0),FALSE)</f>
        <v>5</v>
      </c>
    </row>
    <row r="11" spans="1:3" ht="15">
      <c r="A11" s="85" t="s">
        <v>339</v>
      </c>
      <c r="B11" s="90" t="s">
        <v>223</v>
      </c>
      <c r="C11" s="84">
        <f>VLOOKUP(GroupVertices[[#This Row],[Vertex]],Vertices[],MATCH("ID",Vertices[[#Headers],[Vertex]:[Vertex Group]],0),FALSE)</f>
        <v>4</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1" spans="1:2" ht="15">
      <c r="A51" s="79"/>
      <c r="B51" s="79"/>
    </row>
    <row r="52" spans="1:2" ht="15">
      <c r="A52" s="36"/>
      <c r="B52" s="36"/>
    </row>
    <row r="53" spans="1:2" ht="15">
      <c r="A53" s="79"/>
      <c r="B53" s="79"/>
    </row>
    <row r="54" spans="1:2" ht="15">
      <c r="A54" s="36"/>
      <c r="B54" s="36"/>
    </row>
    <row r="55" spans="1:2" ht="15">
      <c r="A55" s="36"/>
      <c r="B55" s="36"/>
    </row>
    <row r="56" spans="1:2" ht="15">
      <c r="A56" s="36"/>
      <c r="B56" s="36"/>
    </row>
    <row r="57" spans="1:2" ht="15">
      <c r="A57" s="79"/>
      <c r="B57" s="79"/>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t="str">
        <f>IF(COUNT(Vertices[In-Degree])&gt;0,F2,NoMetricMessage)</f>
        <v>Not Available</v>
      </c>
    </row>
    <row r="89" spans="1:2" ht="15">
      <c r="A89" s="35" t="s">
        <v>89</v>
      </c>
      <c r="B89" s="48" t="str">
        <f>IF(COUNT(Vertices[In-Degree])&gt;0,F36,NoMetricMessage)</f>
        <v>Not Available</v>
      </c>
    </row>
    <row r="90" spans="1:2" ht="15">
      <c r="A90" s="35" t="s">
        <v>90</v>
      </c>
      <c r="B90" s="49" t="str">
        <f>_xlfn.IFERROR(AVERAGE(Vertices[In-Degree]),NoMetricMessage)</f>
        <v>Not Available</v>
      </c>
    </row>
    <row r="91" spans="1:2" ht="15">
      <c r="A91" s="35" t="s">
        <v>91</v>
      </c>
      <c r="B91" s="49" t="str">
        <f>_xlfn.IFERROR(MEDIAN(Vertices[In-Degree]),NoMetricMessage)</f>
        <v>Not Available</v>
      </c>
    </row>
    <row r="102" spans="1:2" ht="15">
      <c r="A102" s="35" t="s">
        <v>94</v>
      </c>
      <c r="B102" s="48" t="str">
        <f>IF(COUNT(Vertices[Out-Degree])&gt;0,H2,NoMetricMessage)</f>
        <v>Not Available</v>
      </c>
    </row>
    <row r="103" spans="1:2" ht="15">
      <c r="A103" s="35" t="s">
        <v>95</v>
      </c>
      <c r="B103" s="48" t="str">
        <f>IF(COUNT(Vertices[Out-Degree])&gt;0,H36,NoMetricMessage)</f>
        <v>Not Available</v>
      </c>
    </row>
    <row r="104" spans="1:2" ht="15">
      <c r="A104" s="35" t="s">
        <v>96</v>
      </c>
      <c r="B104" s="49" t="str">
        <f>_xlfn.IFERROR(AVERAGE(Vertices[Out-Degree]),NoMetricMessage)</f>
        <v>Not Available</v>
      </c>
    </row>
    <row r="105" spans="1:2" ht="15">
      <c r="A105" s="35" t="s">
        <v>97</v>
      </c>
      <c r="B105" s="49" t="str">
        <f>_xlfn.IFERROR(MEDIAN(Vertices[Out-Degree]),NoMetricMessage)</f>
        <v>Not Available</v>
      </c>
    </row>
    <row r="116" spans="1:2" ht="15">
      <c r="A116" s="35" t="s">
        <v>100</v>
      </c>
      <c r="B116" s="49" t="str">
        <f>IF(COUNT(Vertices[Betweenness Centrality])&gt;0,J2,NoMetricMessage)</f>
        <v>Not Available</v>
      </c>
    </row>
    <row r="117" spans="1:2" ht="15">
      <c r="A117" s="35" t="s">
        <v>101</v>
      </c>
      <c r="B117" s="49" t="str">
        <f>IF(COUNT(Vertices[Betweenness Centrality])&gt;0,J36,NoMetricMessage)</f>
        <v>Not Available</v>
      </c>
    </row>
    <row r="118" spans="1:2" ht="15">
      <c r="A118" s="35" t="s">
        <v>102</v>
      </c>
      <c r="B118" s="49" t="str">
        <f>_xlfn.IFERROR(AVERAGE(Vertices[Betweenness Centrality]),NoMetricMessage)</f>
        <v>Not Available</v>
      </c>
    </row>
    <row r="119" spans="1:2" ht="15">
      <c r="A119" s="35" t="s">
        <v>103</v>
      </c>
      <c r="B119" s="49" t="str">
        <f>_xlfn.IFERROR(MEDIAN(Vertices[Betweenness Centrality]),NoMetricMessage)</f>
        <v>Not Available</v>
      </c>
    </row>
    <row r="130" spans="1:2" ht="15">
      <c r="A130" s="35" t="s">
        <v>106</v>
      </c>
      <c r="B130" s="49" t="str">
        <f>IF(COUNT(Vertices[Closeness Centrality])&gt;0,L2,NoMetricMessage)</f>
        <v>Not Available</v>
      </c>
    </row>
    <row r="131" spans="1:2" ht="15">
      <c r="A131" s="35" t="s">
        <v>107</v>
      </c>
      <c r="B131" s="49" t="str">
        <f>IF(COUNT(Vertices[Closeness Centrality])&gt;0,L36,NoMetricMessage)</f>
        <v>Not Available</v>
      </c>
    </row>
    <row r="132" spans="1:2" ht="15">
      <c r="A132" s="35" t="s">
        <v>108</v>
      </c>
      <c r="B132" s="49" t="str">
        <f>_xlfn.IFERROR(AVERAGE(Vertices[Closeness Centrality]),NoMetricMessage)</f>
        <v>Not Available</v>
      </c>
    </row>
    <row r="133" spans="1:2" ht="15">
      <c r="A133" s="35" t="s">
        <v>109</v>
      </c>
      <c r="B133" s="49" t="str">
        <f>_xlfn.IFERROR(MEDIAN(Vertices[Closeness Centrality]),NoMetricMessage)</f>
        <v>Not Available</v>
      </c>
    </row>
    <row r="144" spans="1:2" ht="15">
      <c r="A144" s="35" t="s">
        <v>112</v>
      </c>
      <c r="B144" s="49" t="str">
        <f>IF(COUNT(Vertices[Eigenvector Centrality])&gt;0,N2,NoMetricMessage)</f>
        <v>Not Available</v>
      </c>
    </row>
    <row r="145" spans="1:2" ht="15">
      <c r="A145" s="35" t="s">
        <v>113</v>
      </c>
      <c r="B145" s="49" t="str">
        <f>IF(COUNT(Vertices[Eigenvector Centrality])&gt;0,N36,NoMetricMessage)</f>
        <v>Not Available</v>
      </c>
    </row>
    <row r="146" spans="1:2" ht="15">
      <c r="A146" s="35" t="s">
        <v>114</v>
      </c>
      <c r="B146" s="49" t="str">
        <f>_xlfn.IFERROR(AVERAGE(Vertices[Eigenvector Centrality]),NoMetricMessage)</f>
        <v>Not Available</v>
      </c>
    </row>
    <row r="147" spans="1:2" ht="15">
      <c r="A147" s="35" t="s">
        <v>115</v>
      </c>
      <c r="B147" s="49" t="str">
        <f>_xlfn.IFERROR(MEDIAN(Vertices[Eigenvector Centrality]),NoMetricMessage)</f>
        <v>Not Available</v>
      </c>
    </row>
    <row r="158" spans="1:2" ht="15">
      <c r="A158" s="35" t="s">
        <v>140</v>
      </c>
      <c r="B158" s="49" t="str">
        <f>IF(COUNT(Vertices[PageRank])&gt;0,P2,NoMetricMessage)</f>
        <v>Not Available</v>
      </c>
    </row>
    <row r="159" spans="1:2" ht="15">
      <c r="A159" s="35" t="s">
        <v>141</v>
      </c>
      <c r="B159" s="49" t="str">
        <f>IF(COUNT(Vertices[PageRank])&gt;0,P36,NoMetricMessage)</f>
        <v>Not Available</v>
      </c>
    </row>
    <row r="160" spans="1:2" ht="15">
      <c r="A160" s="35" t="s">
        <v>142</v>
      </c>
      <c r="B160" s="49" t="str">
        <f>_xlfn.IFERROR(AVERAGE(Vertices[PageRank]),NoMetricMessage)</f>
        <v>Not Available</v>
      </c>
    </row>
    <row r="161" spans="1:2" ht="15">
      <c r="A161" s="35" t="s">
        <v>143</v>
      </c>
      <c r="B161" s="49" t="str">
        <f>_xlfn.IFERROR(MEDIAN(Vertices[PageRank]),NoMetricMessage)</f>
        <v>Not Available</v>
      </c>
    </row>
    <row r="172" spans="1:2" ht="15">
      <c r="A172" s="35" t="s">
        <v>118</v>
      </c>
      <c r="B172" s="49" t="str">
        <f>IF(COUNT(Vertices[Clustering Coefficient])&gt;0,R2,NoMetricMessage)</f>
        <v>Not Available</v>
      </c>
    </row>
    <row r="173" spans="1:2" ht="15">
      <c r="A173" s="35" t="s">
        <v>119</v>
      </c>
      <c r="B173" s="49" t="str">
        <f>IF(COUNT(Vertices[Clustering Coefficient])&gt;0,R36,NoMetricMessage)</f>
        <v>Not Available</v>
      </c>
    </row>
    <row r="174" spans="1:2" ht="15">
      <c r="A174" s="35" t="s">
        <v>120</v>
      </c>
      <c r="B174" s="49" t="str">
        <f>_xlfn.IFERROR(AVERAGE(Vertices[Clustering Coefficient]),NoMetricMessage)</f>
        <v>Not Available</v>
      </c>
    </row>
    <row r="175" spans="1:2" ht="15">
      <c r="A175" s="35" t="s">
        <v>121</v>
      </c>
      <c r="B175"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338</v>
      </c>
      <c r="BD2" s="13" t="s">
        <v>342</v>
      </c>
      <c r="BE2" s="13" t="s">
        <v>343</v>
      </c>
    </row>
    <row r="3" spans="1:57" ht="15" customHeight="1">
      <c r="A3" s="83" t="s">
        <v>214</v>
      </c>
      <c r="B3" s="83" t="s">
        <v>223</v>
      </c>
      <c r="C3" s="54"/>
      <c r="D3" s="55"/>
      <c r="E3" s="67"/>
      <c r="F3" s="56"/>
      <c r="G3" s="54"/>
      <c r="H3" s="58"/>
      <c r="I3" s="57"/>
      <c r="J3" s="57"/>
      <c r="K3" s="36" t="s">
        <v>65</v>
      </c>
      <c r="L3" s="63">
        <v>3</v>
      </c>
      <c r="M3" s="63"/>
      <c r="N3" s="64"/>
      <c r="O3" s="84" t="s">
        <v>224</v>
      </c>
      <c r="P3" s="86">
        <v>44887.63759259259</v>
      </c>
      <c r="Q3" s="84" t="s">
        <v>225</v>
      </c>
      <c r="R3" s="88" t="str">
        <f aca="true" t="shared" si="0" ref="R3:R11">HYPERLINK("https://nodexlgraphgallery.org/Pages/Graph.aspx?graphID=284778")</f>
        <v>https://nodexlgraphgallery.org/Pages/Graph.aspx?graphID=284778</v>
      </c>
      <c r="S3" s="84" t="s">
        <v>226</v>
      </c>
      <c r="T3" s="90" t="s">
        <v>227</v>
      </c>
      <c r="U3" s="84"/>
      <c r="V3" s="88" t="str">
        <f aca="true" t="shared" si="1" ref="V3:V11">HYPERLINK("http://pbs.twimg.com/profile_images/1443845612445839401/cczEDG9W_normal.jpg")</f>
        <v>http://pbs.twimg.com/profile_images/1443845612445839401/cczEDG9W_normal.jpg</v>
      </c>
      <c r="W3" s="86">
        <v>44887.63759259259</v>
      </c>
      <c r="X3" s="92">
        <v>44887</v>
      </c>
      <c r="Y3" s="90" t="s">
        <v>228</v>
      </c>
      <c r="Z3" s="88" t="str">
        <f aca="true" t="shared" si="2" ref="Z3:Z11">HYPERLINK("https://twitter.com/#!/this0499154500/status/1595074157704019969")</f>
        <v>https://twitter.com/#!/this0499154500/status/1595074157704019969</v>
      </c>
      <c r="AA3" s="84"/>
      <c r="AB3" s="84"/>
      <c r="AC3" s="90" t="s">
        <v>229</v>
      </c>
      <c r="AD3" s="84"/>
      <c r="AE3" s="84" t="b">
        <v>0</v>
      </c>
      <c r="AF3" s="84">
        <v>0</v>
      </c>
      <c r="AG3" s="90" t="s">
        <v>230</v>
      </c>
      <c r="AH3" s="84" t="b">
        <v>0</v>
      </c>
      <c r="AI3" s="84" t="s">
        <v>231</v>
      </c>
      <c r="AJ3" s="84"/>
      <c r="AK3" s="90" t="s">
        <v>230</v>
      </c>
      <c r="AL3" s="84" t="b">
        <v>0</v>
      </c>
      <c r="AM3" s="84">
        <v>0</v>
      </c>
      <c r="AN3" s="90" t="s">
        <v>230</v>
      </c>
      <c r="AO3" s="90" t="s">
        <v>232</v>
      </c>
      <c r="AP3" s="84" t="b">
        <v>0</v>
      </c>
      <c r="AQ3" s="90" t="s">
        <v>229</v>
      </c>
      <c r="AR3" s="84" t="s">
        <v>176</v>
      </c>
      <c r="AS3" s="84">
        <v>0</v>
      </c>
      <c r="AT3" s="84">
        <v>0</v>
      </c>
      <c r="AU3" s="84"/>
      <c r="AV3" s="84"/>
      <c r="AW3" s="84"/>
      <c r="AX3" s="84"/>
      <c r="AY3" s="84"/>
      <c r="AZ3" s="84"/>
      <c r="BA3" s="84"/>
      <c r="BB3" s="84"/>
      <c r="BC3">
        <v>1</v>
      </c>
      <c r="BD3" s="84" t="str">
        <f>REPLACE(INDEX(GroupVertices[Group],MATCH(Edges11[[#This Row],[Vertex 1]],GroupVertices[Vertex],0)),1,1,"")</f>
        <v>1</v>
      </c>
      <c r="BE3" s="84" t="str">
        <f>REPLACE(INDEX(GroupVertices[Group],MATCH(Edges11[[#This Row],[Vertex 2]],GroupVertices[Vertex],0)),1,1,"")</f>
        <v>1</v>
      </c>
    </row>
    <row r="4" spans="1:57" ht="15" customHeight="1">
      <c r="A4" s="83" t="s">
        <v>214</v>
      </c>
      <c r="B4" s="83" t="s">
        <v>215</v>
      </c>
      <c r="C4" s="54"/>
      <c r="D4" s="55"/>
      <c r="E4" s="67"/>
      <c r="F4" s="56"/>
      <c r="G4" s="54"/>
      <c r="H4" s="58"/>
      <c r="I4" s="57"/>
      <c r="J4" s="57"/>
      <c r="K4" s="36" t="s">
        <v>65</v>
      </c>
      <c r="L4" s="82">
        <v>4</v>
      </c>
      <c r="M4" s="82"/>
      <c r="N4" s="64"/>
      <c r="O4" s="85" t="s">
        <v>224</v>
      </c>
      <c r="P4" s="87">
        <v>44887.63759259259</v>
      </c>
      <c r="Q4" s="85" t="s">
        <v>225</v>
      </c>
      <c r="R4" s="89" t="str">
        <f t="shared" si="0"/>
        <v>https://nodexlgraphgallery.org/Pages/Graph.aspx?graphID=284778</v>
      </c>
      <c r="S4" s="85" t="s">
        <v>226</v>
      </c>
      <c r="T4" s="91" t="s">
        <v>227</v>
      </c>
      <c r="U4" s="85"/>
      <c r="V4" s="89" t="str">
        <f t="shared" si="1"/>
        <v>http://pbs.twimg.com/profile_images/1443845612445839401/cczEDG9W_normal.jpg</v>
      </c>
      <c r="W4" s="87">
        <v>44887.63759259259</v>
      </c>
      <c r="X4" s="93">
        <v>44887</v>
      </c>
      <c r="Y4" s="91" t="s">
        <v>228</v>
      </c>
      <c r="Z4" s="89" t="str">
        <f t="shared" si="2"/>
        <v>https://twitter.com/#!/this0499154500/status/1595074157704019969</v>
      </c>
      <c r="AA4" s="85"/>
      <c r="AB4" s="85"/>
      <c r="AC4" s="91" t="s">
        <v>229</v>
      </c>
      <c r="AD4" s="85"/>
      <c r="AE4" s="85" t="b">
        <v>0</v>
      </c>
      <c r="AF4" s="85">
        <v>0</v>
      </c>
      <c r="AG4" s="91" t="s">
        <v>230</v>
      </c>
      <c r="AH4" s="85" t="b">
        <v>0</v>
      </c>
      <c r="AI4" s="85" t="s">
        <v>231</v>
      </c>
      <c r="AJ4" s="85"/>
      <c r="AK4" s="91" t="s">
        <v>230</v>
      </c>
      <c r="AL4" s="85" t="b">
        <v>0</v>
      </c>
      <c r="AM4" s="85">
        <v>0</v>
      </c>
      <c r="AN4" s="91" t="s">
        <v>230</v>
      </c>
      <c r="AO4" s="91" t="s">
        <v>232</v>
      </c>
      <c r="AP4" s="85" t="b">
        <v>0</v>
      </c>
      <c r="AQ4" s="91" t="s">
        <v>229</v>
      </c>
      <c r="AR4" s="85" t="s">
        <v>176</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5" spans="1:57" ht="15">
      <c r="A5" s="83" t="s">
        <v>214</v>
      </c>
      <c r="B5" s="83" t="s">
        <v>216</v>
      </c>
      <c r="C5" s="54"/>
      <c r="D5" s="55"/>
      <c r="E5" s="67"/>
      <c r="F5" s="56"/>
      <c r="G5" s="54"/>
      <c r="H5" s="58"/>
      <c r="I5" s="57"/>
      <c r="J5" s="57"/>
      <c r="K5" s="36" t="s">
        <v>65</v>
      </c>
      <c r="L5" s="82">
        <v>5</v>
      </c>
      <c r="M5" s="82"/>
      <c r="N5" s="64"/>
      <c r="O5" s="85" t="s">
        <v>224</v>
      </c>
      <c r="P5" s="87">
        <v>44887.63759259259</v>
      </c>
      <c r="Q5" s="85" t="s">
        <v>225</v>
      </c>
      <c r="R5" s="89" t="str">
        <f t="shared" si="0"/>
        <v>https://nodexlgraphgallery.org/Pages/Graph.aspx?graphID=284778</v>
      </c>
      <c r="S5" s="85" t="s">
        <v>226</v>
      </c>
      <c r="T5" s="91" t="s">
        <v>227</v>
      </c>
      <c r="U5" s="85"/>
      <c r="V5" s="89" t="str">
        <f t="shared" si="1"/>
        <v>http://pbs.twimg.com/profile_images/1443845612445839401/cczEDG9W_normal.jpg</v>
      </c>
      <c r="W5" s="87">
        <v>44887.63759259259</v>
      </c>
      <c r="X5" s="93">
        <v>44887</v>
      </c>
      <c r="Y5" s="91" t="s">
        <v>228</v>
      </c>
      <c r="Z5" s="89" t="str">
        <f t="shared" si="2"/>
        <v>https://twitter.com/#!/this0499154500/status/1595074157704019969</v>
      </c>
      <c r="AA5" s="85"/>
      <c r="AB5" s="85"/>
      <c r="AC5" s="91" t="s">
        <v>229</v>
      </c>
      <c r="AD5" s="85"/>
      <c r="AE5" s="85" t="b">
        <v>0</v>
      </c>
      <c r="AF5" s="85">
        <v>0</v>
      </c>
      <c r="AG5" s="91" t="s">
        <v>230</v>
      </c>
      <c r="AH5" s="85" t="b">
        <v>0</v>
      </c>
      <c r="AI5" s="85" t="s">
        <v>231</v>
      </c>
      <c r="AJ5" s="85"/>
      <c r="AK5" s="91" t="s">
        <v>230</v>
      </c>
      <c r="AL5" s="85" t="b">
        <v>0</v>
      </c>
      <c r="AM5" s="85">
        <v>0</v>
      </c>
      <c r="AN5" s="91" t="s">
        <v>230</v>
      </c>
      <c r="AO5" s="91" t="s">
        <v>232</v>
      </c>
      <c r="AP5" s="85" t="b">
        <v>0</v>
      </c>
      <c r="AQ5" s="91" t="s">
        <v>229</v>
      </c>
      <c r="AR5" s="85" t="s">
        <v>176</v>
      </c>
      <c r="AS5" s="85">
        <v>0</v>
      </c>
      <c r="AT5" s="85">
        <v>0</v>
      </c>
      <c r="AU5" s="85"/>
      <c r="AV5" s="85"/>
      <c r="AW5" s="85"/>
      <c r="AX5" s="85"/>
      <c r="AY5" s="85"/>
      <c r="AZ5" s="85"/>
      <c r="BA5" s="85"/>
      <c r="BB5" s="85"/>
      <c r="BC5">
        <v>1</v>
      </c>
      <c r="BD5" s="84" t="str">
        <f>REPLACE(INDEX(GroupVertices[Group],MATCH(Edges11[[#This Row],[Vertex 1]],GroupVertices[Vertex],0)),1,1,"")</f>
        <v>1</v>
      </c>
      <c r="BE5" s="84" t="str">
        <f>REPLACE(INDEX(GroupVertices[Group],MATCH(Edges11[[#This Row],[Vertex 2]],GroupVertices[Vertex],0)),1,1,"")</f>
        <v>1</v>
      </c>
    </row>
    <row r="6" spans="1:57" ht="15">
      <c r="A6" s="83" t="s">
        <v>214</v>
      </c>
      <c r="B6" s="83" t="s">
        <v>217</v>
      </c>
      <c r="C6" s="54"/>
      <c r="D6" s="55"/>
      <c r="E6" s="67"/>
      <c r="F6" s="56"/>
      <c r="G6" s="54"/>
      <c r="H6" s="58"/>
      <c r="I6" s="57"/>
      <c r="J6" s="57"/>
      <c r="K6" s="36" t="s">
        <v>65</v>
      </c>
      <c r="L6" s="82">
        <v>6</v>
      </c>
      <c r="M6" s="82"/>
      <c r="N6" s="64"/>
      <c r="O6" s="85" t="s">
        <v>224</v>
      </c>
      <c r="P6" s="87">
        <v>44887.63759259259</v>
      </c>
      <c r="Q6" s="85" t="s">
        <v>225</v>
      </c>
      <c r="R6" s="89" t="str">
        <f t="shared" si="0"/>
        <v>https://nodexlgraphgallery.org/Pages/Graph.aspx?graphID=284778</v>
      </c>
      <c r="S6" s="85" t="s">
        <v>226</v>
      </c>
      <c r="T6" s="91" t="s">
        <v>227</v>
      </c>
      <c r="U6" s="85"/>
      <c r="V6" s="89" t="str">
        <f t="shared" si="1"/>
        <v>http://pbs.twimg.com/profile_images/1443845612445839401/cczEDG9W_normal.jpg</v>
      </c>
      <c r="W6" s="87">
        <v>44887.63759259259</v>
      </c>
      <c r="X6" s="93">
        <v>44887</v>
      </c>
      <c r="Y6" s="91" t="s">
        <v>228</v>
      </c>
      <c r="Z6" s="89" t="str">
        <f t="shared" si="2"/>
        <v>https://twitter.com/#!/this0499154500/status/1595074157704019969</v>
      </c>
      <c r="AA6" s="85"/>
      <c r="AB6" s="85"/>
      <c r="AC6" s="91" t="s">
        <v>229</v>
      </c>
      <c r="AD6" s="85"/>
      <c r="AE6" s="85" t="b">
        <v>0</v>
      </c>
      <c r="AF6" s="85">
        <v>0</v>
      </c>
      <c r="AG6" s="91" t="s">
        <v>230</v>
      </c>
      <c r="AH6" s="85" t="b">
        <v>0</v>
      </c>
      <c r="AI6" s="85" t="s">
        <v>231</v>
      </c>
      <c r="AJ6" s="85"/>
      <c r="AK6" s="91" t="s">
        <v>230</v>
      </c>
      <c r="AL6" s="85" t="b">
        <v>0</v>
      </c>
      <c r="AM6" s="85">
        <v>0</v>
      </c>
      <c r="AN6" s="91" t="s">
        <v>230</v>
      </c>
      <c r="AO6" s="91" t="s">
        <v>232</v>
      </c>
      <c r="AP6" s="85" t="b">
        <v>0</v>
      </c>
      <c r="AQ6" s="91" t="s">
        <v>229</v>
      </c>
      <c r="AR6" s="85" t="s">
        <v>176</v>
      </c>
      <c r="AS6" s="85">
        <v>0</v>
      </c>
      <c r="AT6" s="85">
        <v>0</v>
      </c>
      <c r="AU6" s="85"/>
      <c r="AV6" s="85"/>
      <c r="AW6" s="85"/>
      <c r="AX6" s="85"/>
      <c r="AY6" s="85"/>
      <c r="AZ6" s="85"/>
      <c r="BA6" s="85"/>
      <c r="BB6" s="85"/>
      <c r="BC6">
        <v>1</v>
      </c>
      <c r="BD6" s="84" t="str">
        <f>REPLACE(INDEX(GroupVertices[Group],MATCH(Edges11[[#This Row],[Vertex 1]],GroupVertices[Vertex],0)),1,1,"")</f>
        <v>1</v>
      </c>
      <c r="BE6" s="84" t="str">
        <f>REPLACE(INDEX(GroupVertices[Group],MATCH(Edges11[[#This Row],[Vertex 2]],GroupVertices[Vertex],0)),1,1,"")</f>
        <v>1</v>
      </c>
    </row>
    <row r="7" spans="1:57" ht="15">
      <c r="A7" s="83" t="s">
        <v>214</v>
      </c>
      <c r="B7" s="83" t="s">
        <v>218</v>
      </c>
      <c r="C7" s="54"/>
      <c r="D7" s="55"/>
      <c r="E7" s="67"/>
      <c r="F7" s="56"/>
      <c r="G7" s="54"/>
      <c r="H7" s="58"/>
      <c r="I7" s="57"/>
      <c r="J7" s="57"/>
      <c r="K7" s="36" t="s">
        <v>65</v>
      </c>
      <c r="L7" s="82">
        <v>7</v>
      </c>
      <c r="M7" s="82"/>
      <c r="N7" s="64"/>
      <c r="O7" s="85" t="s">
        <v>224</v>
      </c>
      <c r="P7" s="87">
        <v>44887.63759259259</v>
      </c>
      <c r="Q7" s="85" t="s">
        <v>225</v>
      </c>
      <c r="R7" s="89" t="str">
        <f t="shared" si="0"/>
        <v>https://nodexlgraphgallery.org/Pages/Graph.aspx?graphID=284778</v>
      </c>
      <c r="S7" s="85" t="s">
        <v>226</v>
      </c>
      <c r="T7" s="91" t="s">
        <v>227</v>
      </c>
      <c r="U7" s="85"/>
      <c r="V7" s="89" t="str">
        <f t="shared" si="1"/>
        <v>http://pbs.twimg.com/profile_images/1443845612445839401/cczEDG9W_normal.jpg</v>
      </c>
      <c r="W7" s="87">
        <v>44887.63759259259</v>
      </c>
      <c r="X7" s="93">
        <v>44887</v>
      </c>
      <c r="Y7" s="91" t="s">
        <v>228</v>
      </c>
      <c r="Z7" s="89" t="str">
        <f t="shared" si="2"/>
        <v>https://twitter.com/#!/this0499154500/status/1595074157704019969</v>
      </c>
      <c r="AA7" s="85"/>
      <c r="AB7" s="85"/>
      <c r="AC7" s="91" t="s">
        <v>229</v>
      </c>
      <c r="AD7" s="85"/>
      <c r="AE7" s="85" t="b">
        <v>0</v>
      </c>
      <c r="AF7" s="85">
        <v>0</v>
      </c>
      <c r="AG7" s="91" t="s">
        <v>230</v>
      </c>
      <c r="AH7" s="85" t="b">
        <v>0</v>
      </c>
      <c r="AI7" s="85" t="s">
        <v>231</v>
      </c>
      <c r="AJ7" s="85"/>
      <c r="AK7" s="91" t="s">
        <v>230</v>
      </c>
      <c r="AL7" s="85" t="b">
        <v>0</v>
      </c>
      <c r="AM7" s="85">
        <v>0</v>
      </c>
      <c r="AN7" s="91" t="s">
        <v>230</v>
      </c>
      <c r="AO7" s="91" t="s">
        <v>232</v>
      </c>
      <c r="AP7" s="85" t="b">
        <v>0</v>
      </c>
      <c r="AQ7" s="91" t="s">
        <v>229</v>
      </c>
      <c r="AR7" s="85" t="s">
        <v>176</v>
      </c>
      <c r="AS7" s="85">
        <v>0</v>
      </c>
      <c r="AT7" s="85">
        <v>0</v>
      </c>
      <c r="AU7" s="85"/>
      <c r="AV7" s="85"/>
      <c r="AW7" s="85"/>
      <c r="AX7" s="85"/>
      <c r="AY7" s="85"/>
      <c r="AZ7" s="85"/>
      <c r="BA7" s="85"/>
      <c r="BB7" s="85"/>
      <c r="BC7">
        <v>1</v>
      </c>
      <c r="BD7" s="84" t="str">
        <f>REPLACE(INDEX(GroupVertices[Group],MATCH(Edges11[[#This Row],[Vertex 1]],GroupVertices[Vertex],0)),1,1,"")</f>
        <v>1</v>
      </c>
      <c r="BE7" s="84" t="str">
        <f>REPLACE(INDEX(GroupVertices[Group],MATCH(Edges11[[#This Row],[Vertex 2]],GroupVertices[Vertex],0)),1,1,"")</f>
        <v>1</v>
      </c>
    </row>
    <row r="8" spans="1:57" ht="15">
      <c r="A8" s="83" t="s">
        <v>214</v>
      </c>
      <c r="B8" s="83" t="s">
        <v>219</v>
      </c>
      <c r="C8" s="54"/>
      <c r="D8" s="55"/>
      <c r="E8" s="67"/>
      <c r="F8" s="56"/>
      <c r="G8" s="54"/>
      <c r="H8" s="58"/>
      <c r="I8" s="57"/>
      <c r="J8" s="57"/>
      <c r="K8" s="36" t="s">
        <v>65</v>
      </c>
      <c r="L8" s="82">
        <v>8</v>
      </c>
      <c r="M8" s="82"/>
      <c r="N8" s="64"/>
      <c r="O8" s="85" t="s">
        <v>224</v>
      </c>
      <c r="P8" s="87">
        <v>44887.63759259259</v>
      </c>
      <c r="Q8" s="85" t="s">
        <v>225</v>
      </c>
      <c r="R8" s="89" t="str">
        <f t="shared" si="0"/>
        <v>https://nodexlgraphgallery.org/Pages/Graph.aspx?graphID=284778</v>
      </c>
      <c r="S8" s="85" t="s">
        <v>226</v>
      </c>
      <c r="T8" s="91" t="s">
        <v>227</v>
      </c>
      <c r="U8" s="85"/>
      <c r="V8" s="89" t="str">
        <f t="shared" si="1"/>
        <v>http://pbs.twimg.com/profile_images/1443845612445839401/cczEDG9W_normal.jpg</v>
      </c>
      <c r="W8" s="87">
        <v>44887.63759259259</v>
      </c>
      <c r="X8" s="93">
        <v>44887</v>
      </c>
      <c r="Y8" s="91" t="s">
        <v>228</v>
      </c>
      <c r="Z8" s="89" t="str">
        <f t="shared" si="2"/>
        <v>https://twitter.com/#!/this0499154500/status/1595074157704019969</v>
      </c>
      <c r="AA8" s="85"/>
      <c r="AB8" s="85"/>
      <c r="AC8" s="91" t="s">
        <v>229</v>
      </c>
      <c r="AD8" s="85"/>
      <c r="AE8" s="85" t="b">
        <v>0</v>
      </c>
      <c r="AF8" s="85">
        <v>0</v>
      </c>
      <c r="AG8" s="91" t="s">
        <v>230</v>
      </c>
      <c r="AH8" s="85" t="b">
        <v>0</v>
      </c>
      <c r="AI8" s="85" t="s">
        <v>231</v>
      </c>
      <c r="AJ8" s="85"/>
      <c r="AK8" s="91" t="s">
        <v>230</v>
      </c>
      <c r="AL8" s="85" t="b">
        <v>0</v>
      </c>
      <c r="AM8" s="85">
        <v>0</v>
      </c>
      <c r="AN8" s="91" t="s">
        <v>230</v>
      </c>
      <c r="AO8" s="91" t="s">
        <v>232</v>
      </c>
      <c r="AP8" s="85" t="b">
        <v>0</v>
      </c>
      <c r="AQ8" s="91" t="s">
        <v>229</v>
      </c>
      <c r="AR8" s="85" t="s">
        <v>176</v>
      </c>
      <c r="AS8" s="85">
        <v>0</v>
      </c>
      <c r="AT8" s="85">
        <v>0</v>
      </c>
      <c r="AU8" s="85"/>
      <c r="AV8" s="85"/>
      <c r="AW8" s="85"/>
      <c r="AX8" s="85"/>
      <c r="AY8" s="85"/>
      <c r="AZ8" s="85"/>
      <c r="BA8" s="85"/>
      <c r="BB8" s="85"/>
      <c r="BC8">
        <v>1</v>
      </c>
      <c r="BD8" s="84" t="str">
        <f>REPLACE(INDEX(GroupVertices[Group],MATCH(Edges11[[#This Row],[Vertex 1]],GroupVertices[Vertex],0)),1,1,"")</f>
        <v>1</v>
      </c>
      <c r="BE8" s="84" t="str">
        <f>REPLACE(INDEX(GroupVertices[Group],MATCH(Edges11[[#This Row],[Vertex 2]],GroupVertices[Vertex],0)),1,1,"")</f>
        <v>1</v>
      </c>
    </row>
    <row r="9" spans="1:57" ht="15">
      <c r="A9" s="83" t="s">
        <v>214</v>
      </c>
      <c r="B9" s="83" t="s">
        <v>220</v>
      </c>
      <c r="C9" s="54"/>
      <c r="D9" s="55"/>
      <c r="E9" s="67"/>
      <c r="F9" s="56"/>
      <c r="G9" s="54"/>
      <c r="H9" s="58"/>
      <c r="I9" s="57"/>
      <c r="J9" s="57"/>
      <c r="K9" s="36" t="s">
        <v>65</v>
      </c>
      <c r="L9" s="82">
        <v>9</v>
      </c>
      <c r="M9" s="82"/>
      <c r="N9" s="64"/>
      <c r="O9" s="85" t="s">
        <v>224</v>
      </c>
      <c r="P9" s="87">
        <v>44887.63759259259</v>
      </c>
      <c r="Q9" s="85" t="s">
        <v>225</v>
      </c>
      <c r="R9" s="89" t="str">
        <f t="shared" si="0"/>
        <v>https://nodexlgraphgallery.org/Pages/Graph.aspx?graphID=284778</v>
      </c>
      <c r="S9" s="85" t="s">
        <v>226</v>
      </c>
      <c r="T9" s="91" t="s">
        <v>227</v>
      </c>
      <c r="U9" s="85"/>
      <c r="V9" s="89" t="str">
        <f t="shared" si="1"/>
        <v>http://pbs.twimg.com/profile_images/1443845612445839401/cczEDG9W_normal.jpg</v>
      </c>
      <c r="W9" s="87">
        <v>44887.63759259259</v>
      </c>
      <c r="X9" s="93">
        <v>44887</v>
      </c>
      <c r="Y9" s="91" t="s">
        <v>228</v>
      </c>
      <c r="Z9" s="89" t="str">
        <f t="shared" si="2"/>
        <v>https://twitter.com/#!/this0499154500/status/1595074157704019969</v>
      </c>
      <c r="AA9" s="85"/>
      <c r="AB9" s="85"/>
      <c r="AC9" s="91" t="s">
        <v>229</v>
      </c>
      <c r="AD9" s="85"/>
      <c r="AE9" s="85" t="b">
        <v>0</v>
      </c>
      <c r="AF9" s="85">
        <v>0</v>
      </c>
      <c r="AG9" s="91" t="s">
        <v>230</v>
      </c>
      <c r="AH9" s="85" t="b">
        <v>0</v>
      </c>
      <c r="AI9" s="85" t="s">
        <v>231</v>
      </c>
      <c r="AJ9" s="85"/>
      <c r="AK9" s="91" t="s">
        <v>230</v>
      </c>
      <c r="AL9" s="85" t="b">
        <v>0</v>
      </c>
      <c r="AM9" s="85">
        <v>0</v>
      </c>
      <c r="AN9" s="91" t="s">
        <v>230</v>
      </c>
      <c r="AO9" s="91" t="s">
        <v>232</v>
      </c>
      <c r="AP9" s="85" t="b">
        <v>0</v>
      </c>
      <c r="AQ9" s="91" t="s">
        <v>229</v>
      </c>
      <c r="AR9" s="85" t="s">
        <v>176</v>
      </c>
      <c r="AS9" s="85">
        <v>0</v>
      </c>
      <c r="AT9" s="85">
        <v>0</v>
      </c>
      <c r="AU9" s="85"/>
      <c r="AV9" s="85"/>
      <c r="AW9" s="85"/>
      <c r="AX9" s="85"/>
      <c r="AY9" s="85"/>
      <c r="AZ9" s="85"/>
      <c r="BA9" s="85"/>
      <c r="BB9" s="85"/>
      <c r="BC9">
        <v>1</v>
      </c>
      <c r="BD9" s="84" t="str">
        <f>REPLACE(INDEX(GroupVertices[Group],MATCH(Edges11[[#This Row],[Vertex 1]],GroupVertices[Vertex],0)),1,1,"")</f>
        <v>1</v>
      </c>
      <c r="BE9" s="84" t="str">
        <f>REPLACE(INDEX(GroupVertices[Group],MATCH(Edges11[[#This Row],[Vertex 2]],GroupVertices[Vertex],0)),1,1,"")</f>
        <v>1</v>
      </c>
    </row>
    <row r="10" spans="1:57" ht="15">
      <c r="A10" s="83" t="s">
        <v>214</v>
      </c>
      <c r="B10" s="83" t="s">
        <v>221</v>
      </c>
      <c r="C10" s="54"/>
      <c r="D10" s="55"/>
      <c r="E10" s="67"/>
      <c r="F10" s="56"/>
      <c r="G10" s="54"/>
      <c r="H10" s="58"/>
      <c r="I10" s="57"/>
      <c r="J10" s="57"/>
      <c r="K10" s="36" t="s">
        <v>65</v>
      </c>
      <c r="L10" s="82">
        <v>10</v>
      </c>
      <c r="M10" s="82"/>
      <c r="N10" s="64"/>
      <c r="O10" s="85" t="s">
        <v>224</v>
      </c>
      <c r="P10" s="87">
        <v>44887.63759259259</v>
      </c>
      <c r="Q10" s="85" t="s">
        <v>225</v>
      </c>
      <c r="R10" s="89" t="str">
        <f t="shared" si="0"/>
        <v>https://nodexlgraphgallery.org/Pages/Graph.aspx?graphID=284778</v>
      </c>
      <c r="S10" s="85" t="s">
        <v>226</v>
      </c>
      <c r="T10" s="91" t="s">
        <v>227</v>
      </c>
      <c r="U10" s="85"/>
      <c r="V10" s="89" t="str">
        <f t="shared" si="1"/>
        <v>http://pbs.twimg.com/profile_images/1443845612445839401/cczEDG9W_normal.jpg</v>
      </c>
      <c r="W10" s="87">
        <v>44887.63759259259</v>
      </c>
      <c r="X10" s="93">
        <v>44887</v>
      </c>
      <c r="Y10" s="91" t="s">
        <v>228</v>
      </c>
      <c r="Z10" s="89" t="str">
        <f t="shared" si="2"/>
        <v>https://twitter.com/#!/this0499154500/status/1595074157704019969</v>
      </c>
      <c r="AA10" s="85"/>
      <c r="AB10" s="85"/>
      <c r="AC10" s="91" t="s">
        <v>229</v>
      </c>
      <c r="AD10" s="85"/>
      <c r="AE10" s="85" t="b">
        <v>0</v>
      </c>
      <c r="AF10" s="85">
        <v>0</v>
      </c>
      <c r="AG10" s="91" t="s">
        <v>230</v>
      </c>
      <c r="AH10" s="85" t="b">
        <v>0</v>
      </c>
      <c r="AI10" s="85" t="s">
        <v>231</v>
      </c>
      <c r="AJ10" s="85"/>
      <c r="AK10" s="91" t="s">
        <v>230</v>
      </c>
      <c r="AL10" s="85" t="b">
        <v>0</v>
      </c>
      <c r="AM10" s="85">
        <v>0</v>
      </c>
      <c r="AN10" s="91" t="s">
        <v>230</v>
      </c>
      <c r="AO10" s="91" t="s">
        <v>232</v>
      </c>
      <c r="AP10" s="85" t="b">
        <v>0</v>
      </c>
      <c r="AQ10" s="91" t="s">
        <v>229</v>
      </c>
      <c r="AR10" s="85" t="s">
        <v>176</v>
      </c>
      <c r="AS10" s="85">
        <v>0</v>
      </c>
      <c r="AT10" s="85">
        <v>0</v>
      </c>
      <c r="AU10" s="85"/>
      <c r="AV10" s="85"/>
      <c r="AW10" s="85"/>
      <c r="AX10" s="85"/>
      <c r="AY10" s="85"/>
      <c r="AZ10" s="85"/>
      <c r="BA10" s="85"/>
      <c r="BB10" s="85"/>
      <c r="BC10">
        <v>1</v>
      </c>
      <c r="BD10" s="84" t="str">
        <f>REPLACE(INDEX(GroupVertices[Group],MATCH(Edges11[[#This Row],[Vertex 1]],GroupVertices[Vertex],0)),1,1,"")</f>
        <v>1</v>
      </c>
      <c r="BE10" s="84" t="str">
        <f>REPLACE(INDEX(GroupVertices[Group],MATCH(Edges11[[#This Row],[Vertex 2]],GroupVertices[Vertex],0)),1,1,"")</f>
        <v>1</v>
      </c>
    </row>
    <row r="11" spans="1:57" ht="15">
      <c r="A11" s="83" t="s">
        <v>214</v>
      </c>
      <c r="B11" s="83" t="s">
        <v>222</v>
      </c>
      <c r="C11" s="54"/>
      <c r="D11" s="55"/>
      <c r="E11" s="67"/>
      <c r="F11" s="56"/>
      <c r="G11" s="54"/>
      <c r="H11" s="58"/>
      <c r="I11" s="57"/>
      <c r="J11" s="57"/>
      <c r="K11" s="36" t="s">
        <v>65</v>
      </c>
      <c r="L11" s="82">
        <v>11</v>
      </c>
      <c r="M11" s="82"/>
      <c r="N11" s="64"/>
      <c r="O11" s="85" t="s">
        <v>224</v>
      </c>
      <c r="P11" s="87">
        <v>44887.63759259259</v>
      </c>
      <c r="Q11" s="85" t="s">
        <v>225</v>
      </c>
      <c r="R11" s="89" t="str">
        <f t="shared" si="0"/>
        <v>https://nodexlgraphgallery.org/Pages/Graph.aspx?graphID=284778</v>
      </c>
      <c r="S11" s="85" t="s">
        <v>226</v>
      </c>
      <c r="T11" s="91" t="s">
        <v>227</v>
      </c>
      <c r="U11" s="85"/>
      <c r="V11" s="89" t="str">
        <f t="shared" si="1"/>
        <v>http://pbs.twimg.com/profile_images/1443845612445839401/cczEDG9W_normal.jpg</v>
      </c>
      <c r="W11" s="87">
        <v>44887.63759259259</v>
      </c>
      <c r="X11" s="93">
        <v>44887</v>
      </c>
      <c r="Y11" s="91" t="s">
        <v>228</v>
      </c>
      <c r="Z11" s="89" t="str">
        <f t="shared" si="2"/>
        <v>https://twitter.com/#!/this0499154500/status/1595074157704019969</v>
      </c>
      <c r="AA11" s="85"/>
      <c r="AB11" s="85"/>
      <c r="AC11" s="91" t="s">
        <v>229</v>
      </c>
      <c r="AD11" s="85"/>
      <c r="AE11" s="85" t="b">
        <v>0</v>
      </c>
      <c r="AF11" s="85">
        <v>0</v>
      </c>
      <c r="AG11" s="91" t="s">
        <v>230</v>
      </c>
      <c r="AH11" s="85" t="b">
        <v>0</v>
      </c>
      <c r="AI11" s="85" t="s">
        <v>231</v>
      </c>
      <c r="AJ11" s="85"/>
      <c r="AK11" s="91" t="s">
        <v>230</v>
      </c>
      <c r="AL11" s="85" t="b">
        <v>0</v>
      </c>
      <c r="AM11" s="85">
        <v>0</v>
      </c>
      <c r="AN11" s="91" t="s">
        <v>230</v>
      </c>
      <c r="AO11" s="91" t="s">
        <v>232</v>
      </c>
      <c r="AP11" s="85" t="b">
        <v>0</v>
      </c>
      <c r="AQ11" s="91" t="s">
        <v>229</v>
      </c>
      <c r="AR11" s="85" t="s">
        <v>176</v>
      </c>
      <c r="AS11" s="85">
        <v>0</v>
      </c>
      <c r="AT11" s="85">
        <v>0</v>
      </c>
      <c r="AU11" s="85"/>
      <c r="AV11" s="85"/>
      <c r="AW11" s="85"/>
      <c r="AX11" s="85"/>
      <c r="AY11" s="85"/>
      <c r="AZ11" s="85"/>
      <c r="BA11" s="85"/>
      <c r="BB11" s="85"/>
      <c r="BC11">
        <v>1</v>
      </c>
      <c r="BD11" s="84" t="str">
        <f>REPLACE(INDEX(GroupVertices[Group],MATCH(Edges11[[#This Row],[Vertex 1]],GroupVertices[Vertex],0)),1,1,"")</f>
        <v>1</v>
      </c>
      <c r="BE11" s="84"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303</v>
      </c>
      <c r="K7" s="13" t="s">
        <v>304</v>
      </c>
    </row>
    <row r="8" spans="1:11" ht="409.5">
      <c r="A8"/>
      <c r="B8">
        <v>2</v>
      </c>
      <c r="C8">
        <v>2</v>
      </c>
      <c r="D8" t="s">
        <v>61</v>
      </c>
      <c r="E8" t="s">
        <v>61</v>
      </c>
      <c r="H8" t="s">
        <v>73</v>
      </c>
      <c r="J8" t="s">
        <v>305</v>
      </c>
      <c r="K8" s="13" t="s">
        <v>306</v>
      </c>
    </row>
    <row r="9" spans="1:11" ht="409.5">
      <c r="A9"/>
      <c r="B9">
        <v>3</v>
      </c>
      <c r="C9">
        <v>4</v>
      </c>
      <c r="D9" t="s">
        <v>62</v>
      </c>
      <c r="E9" t="s">
        <v>62</v>
      </c>
      <c r="H9" t="s">
        <v>74</v>
      </c>
      <c r="J9" t="s">
        <v>307</v>
      </c>
      <c r="K9" s="13" t="s">
        <v>308</v>
      </c>
    </row>
    <row r="10" spans="1:11" ht="409.5">
      <c r="A10"/>
      <c r="B10">
        <v>4</v>
      </c>
      <c r="D10" t="s">
        <v>63</v>
      </c>
      <c r="E10" t="s">
        <v>63</v>
      </c>
      <c r="H10" t="s">
        <v>75</v>
      </c>
      <c r="J10" t="s">
        <v>309</v>
      </c>
      <c r="K10" s="13" t="s">
        <v>310</v>
      </c>
    </row>
    <row r="11" spans="1:11" ht="15">
      <c r="A11"/>
      <c r="B11">
        <v>5</v>
      </c>
      <c r="D11" t="s">
        <v>46</v>
      </c>
      <c r="E11">
        <v>1</v>
      </c>
      <c r="H11" t="s">
        <v>76</v>
      </c>
      <c r="J11" t="s">
        <v>311</v>
      </c>
      <c r="K11" t="s">
        <v>312</v>
      </c>
    </row>
    <row r="12" spans="1:11" ht="15">
      <c r="A12"/>
      <c r="B12"/>
      <c r="D12" t="s">
        <v>64</v>
      </c>
      <c r="E12">
        <v>2</v>
      </c>
      <c r="H12">
        <v>0</v>
      </c>
      <c r="J12" t="s">
        <v>313</v>
      </c>
      <c r="K12" t="s">
        <v>314</v>
      </c>
    </row>
    <row r="13" spans="1:11" ht="15">
      <c r="A13"/>
      <c r="B13"/>
      <c r="D13">
        <v>1</v>
      </c>
      <c r="E13">
        <v>3</v>
      </c>
      <c r="H13">
        <v>1</v>
      </c>
      <c r="J13" t="s">
        <v>315</v>
      </c>
      <c r="K13" t="s">
        <v>316</v>
      </c>
    </row>
    <row r="14" spans="4:11" ht="15">
      <c r="D14">
        <v>2</v>
      </c>
      <c r="E14">
        <v>4</v>
      </c>
      <c r="H14">
        <v>2</v>
      </c>
      <c r="J14" t="s">
        <v>317</v>
      </c>
      <c r="K14" t="s">
        <v>318</v>
      </c>
    </row>
    <row r="15" spans="4:11" ht="15">
      <c r="D15">
        <v>3</v>
      </c>
      <c r="E15">
        <v>5</v>
      </c>
      <c r="H15">
        <v>3</v>
      </c>
      <c r="J15" t="s">
        <v>319</v>
      </c>
      <c r="K15" t="s">
        <v>320</v>
      </c>
    </row>
    <row r="16" spans="4:11" ht="15">
      <c r="D16">
        <v>4</v>
      </c>
      <c r="E16">
        <v>6</v>
      </c>
      <c r="H16">
        <v>4</v>
      </c>
      <c r="J16" t="s">
        <v>321</v>
      </c>
      <c r="K16" t="s">
        <v>322</v>
      </c>
    </row>
    <row r="17" spans="4:11" ht="15">
      <c r="D17">
        <v>5</v>
      </c>
      <c r="E17">
        <v>7</v>
      </c>
      <c r="H17">
        <v>5</v>
      </c>
      <c r="J17" t="s">
        <v>323</v>
      </c>
      <c r="K17" t="s">
        <v>324</v>
      </c>
    </row>
    <row r="18" spans="4:11" ht="15">
      <c r="D18">
        <v>6</v>
      </c>
      <c r="E18">
        <v>8</v>
      </c>
      <c r="H18">
        <v>6</v>
      </c>
      <c r="J18" t="s">
        <v>325</v>
      </c>
      <c r="K18" t="s">
        <v>326</v>
      </c>
    </row>
    <row r="19" spans="4:11" ht="15">
      <c r="D19">
        <v>7</v>
      </c>
      <c r="E19">
        <v>9</v>
      </c>
      <c r="H19">
        <v>7</v>
      </c>
      <c r="J19" t="s">
        <v>327</v>
      </c>
      <c r="K19" t="s">
        <v>328</v>
      </c>
    </row>
    <row r="20" spans="4:11" ht="15">
      <c r="D20">
        <v>8</v>
      </c>
      <c r="H20">
        <v>8</v>
      </c>
      <c r="J20" t="s">
        <v>329</v>
      </c>
      <c r="K20" t="s">
        <v>330</v>
      </c>
    </row>
    <row r="21" spans="4:11" ht="409.5">
      <c r="D21">
        <v>9</v>
      </c>
      <c r="H21">
        <v>9</v>
      </c>
      <c r="J21" t="s">
        <v>331</v>
      </c>
      <c r="K21" s="13" t="s">
        <v>332</v>
      </c>
    </row>
    <row r="22" spans="4:11" ht="409.5">
      <c r="D22">
        <v>10</v>
      </c>
      <c r="J22" t="s">
        <v>333</v>
      </c>
      <c r="K22" s="13" t="s">
        <v>334</v>
      </c>
    </row>
    <row r="23" spans="4:11" ht="409.5">
      <c r="D23">
        <v>11</v>
      </c>
      <c r="J23" t="s">
        <v>335</v>
      </c>
      <c r="K23" s="13" t="s">
        <v>353</v>
      </c>
    </row>
    <row r="24" spans="10:11" ht="409.5">
      <c r="J24" t="s">
        <v>336</v>
      </c>
      <c r="K24" s="13" t="s">
        <v>352</v>
      </c>
    </row>
    <row r="25" spans="10:11" ht="15">
      <c r="J25" t="s">
        <v>337</v>
      </c>
      <c r="K25" t="b">
        <v>0</v>
      </c>
    </row>
    <row r="26" spans="10:11" ht="15">
      <c r="J26" t="s">
        <v>350</v>
      </c>
      <c r="K26" t="s">
        <v>351</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0" t="s">
        <v>347</v>
      </c>
      <c r="B25" t="s">
        <v>346</v>
      </c>
    </row>
    <row r="26" spans="1:2" ht="15">
      <c r="A26" s="121">
        <v>44887.63759259259</v>
      </c>
      <c r="B26" s="3">
        <v>9</v>
      </c>
    </row>
    <row r="27" spans="1:2" ht="15">
      <c r="A27" s="121" t="s">
        <v>348</v>
      </c>
      <c r="B27"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2022-11-29T22:41:25Z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