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28680" yWindow="65431"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Export Options" sheetId="8" r:id="rId8"/>
    <sheet name="Twitter Search Ntwrk Top Items" sheetId="9" r:id="rId9"/>
    <sheet name="Words" sheetId="10" r:id="rId10"/>
    <sheet name="Word Pairs" sheetId="11" r:id="rId11"/>
    <sheet name="Group Edges" sheetId="12" r:id="rId12"/>
    <sheet name="Time Series Edges" sheetId="14" state="hidden" r:id="rId13"/>
    <sheet name="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<sst xmlns="http://schemas.openxmlformats.org/spreadsheetml/2006/main" count="11631" uniqueCount="1527">
  <si>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</si>
  <si>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</si>
  <si>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</si>
  <si>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</si>
  <si>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</si>
  <si>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</si>
  <si>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</si>
  <si>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</si>
  <si>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</si>
  <si>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</si>
  <si>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</si>
  <si>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</si>
  <si>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</si>
  <si>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</si>
  <si>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</si>
  <si>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</si>
  <si>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</si>
  <si>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</si>
  <si>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</si>
  <si>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</si>
  <si>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</si>
  <si>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</si>
  <si>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</si>
  <si>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</si>
  <si>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</si>
  <si>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</si>
  <si>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</si>
  <si>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</si>
  <si>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</si>
  <si>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</si>
  <si>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</si>
  <si>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</si>
  <si>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</si>
  <si>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</si>
  <si>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</si>
  <si>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</si>
  <si>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</si>
  <si>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</si>
  <si>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</si>
  <si>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</si>
  <si>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</si>
  <si>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</si>
  <si>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</si>
  <si>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</si>
  <si>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</si>
  <si>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</si>
  <si>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</si>
  <si>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</si>
  <si>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</si>
  <si>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</si>
  <si>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</si>
  <si>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</si>
  <si>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</si>
  <si>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</si>
  <si>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</si>
  <si>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</si>
  <si>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</si>
  <si>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</si>
  <si>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</si>
  <si>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</si>
  <si>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</si>
  <si>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</si>
  <si>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</si>
  <si>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</si>
  <si>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</si>
  <si>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</si>
  <si>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</si>
  <si>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</si>
  <si>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</si>
  <si>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</si>
  <si>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</si>
  <si>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</si>
  <si>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</si>
  <si>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</si>
  <si>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</si>
  <si>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</si>
  <si>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</si>
  <si>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</si>
  <si>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</si>
  <si>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</si>
  <si>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</si>
  <si>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</si>
  <si>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</si>
  <si>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</si>
  <si>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</si>
  <si>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</si>
  <si>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</si>
  <si>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</si>
  <si>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</si>
  <si>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</si>
  <si>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</si>
  <si>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</si>
  <si>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</si>
  <si>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</si>
  <si>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</si>
  <si>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</si>
  <si>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</si>
  <si>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</si>
  <si>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</si>
  <si>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</si>
  <si>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</si>
  <si>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</si>
  <si>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</si>
  <si>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</si>
  <si>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</si>
  <si>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</si>
  <si>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</si>
  <si>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</si>
  <si>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</si>
  <si>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</si>
  <si>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</si>
  <si>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</si>
  <si>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</si>
  <si>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</si>
  <si>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</si>
  <si>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</si>
  <si>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</si>
  <si>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</si>
  <si>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</si>
  <si>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</si>
  <si>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</si>
  <si>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</si>
  <si>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</si>
  <si>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</si>
  <si>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</si>
  <si>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</si>
  <si>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</si>
  <si>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</si>
  <si>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</si>
  <si>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</si>
  <si>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</si>
  <si>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</si>
  <si>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</si>
  <si>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</si>
  <si>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</si>
  <si>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</si>
  <si>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</si>
  <si>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</si>
  <si>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</si>
  <si>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</si>
  <si>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</si>
  <si>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</si>
  <si>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</si>
  <si>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</si>
  <si>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</si>
  <si>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</si>
  <si>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</si>
  <si>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</si>
  <si>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</si>
  <si>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</si>
  <si>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</si>
  <si>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</si>
  <si>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</si>
  <si>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</si>
  <si>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</si>
  <si>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</si>
  <si>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</si>
  <si>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</si>
  <si>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</si>
  <si>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</si>
  <si>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</si>
  <si>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</si>
  <si>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</si>
  <si>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</si>
  <si>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</si>
  <si>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</si>
  <si>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</si>
  <si>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</si>
  <si>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</si>
  <si>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</si>
  <si>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</si>
  <si>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</si>
  <si>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</si>
  <si>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</si>
  <si>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Graph History</t>
  </si>
  <si>
    <t>Edge Weight</t>
  </si>
  <si>
    <t>Vertex Group</t>
  </si>
  <si>
    <t>Vertex 1 Group</t>
  </si>
  <si>
    <t>Vertex 2 Group</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</si>
  <si>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</si>
  <si>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</si>
  <si>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</si>
  <si>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</si>
  <si>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</si>
  <si>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</si>
  <si>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</si>
  <si>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</si>
  <si>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</si>
  <si>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</si>
  <si>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</si>
  <si>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</si>
  <si>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</si>
  <si>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</si>
  <si>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</si>
  <si>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</si>
  <si>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</si>
  <si>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</si>
  <si>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</si>
  <si>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</si>
  <si>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</si>
  <si>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</si>
  <si>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</si>
  <si>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</si>
  <si>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</si>
  <si>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Autofill Workbook Results</t>
  </si>
  <si>
    <t>The graph's vertices were grouped by cluster using the Clauset-Newman-Moore cluster algorithm.</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</si>
  <si>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</si>
  <si>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</si>
  <si>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</si>
  <si>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Workbook Settings 3</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</si>
  <si>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t>
  </si>
  <si>
    <t>Workbook Settings 4</t>
  </si>
  <si>
    <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t>
  </si>
  <si>
    <t>Workbook Settings 5</t>
  </si>
  <si>
    <t>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t>
  </si>
  <si>
    <t>Workbook Settings 6</t>
  </si>
  <si>
    <t>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t>
  </si>
  <si>
    <t>Workbook Settings 7</t>
  </si>
  <si>
    <t xml:space="preserve">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t>
  </si>
  <si>
    <t>Workbook Settings 8</t>
  </si>
  <si>
    <t>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t>
  </si>
  <si>
    <t>Workbook Settings 9</t>
  </si>
  <si>
    <t>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t>
  </si>
  <si>
    <t>Workbook Settings 10</t>
  </si>
  <si>
    <t>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t>
  </si>
  <si>
    <t>Workbook Settings 11</t>
  </si>
  <si>
    <t>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t>
  </si>
  <si>
    <t>Workbook Settings 12</t>
  </si>
  <si>
    <t>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t>
  </si>
  <si>
    <t>Workbook Settings 13</t>
  </si>
  <si>
    <t xml:space="preserve">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t>
  </si>
  <si>
    <t>Workbook Settings 14</t>
  </si>
  <si>
    <t>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t>
  </si>
  <si>
    <t>Workbook Settings 15</t>
  </si>
  <si>
    <t xml:space="preserve">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t>
  </si>
  <si>
    <t>Workbook Settings 16</t>
  </si>
  <si>
    <t>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t>
  </si>
  <si>
    <t>Workbook Settings 17</t>
  </si>
  <si>
    <t>Workbook Settings 18</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</si>
  <si>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</si>
  <si>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</si>
  <si>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</si>
  <si>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</si>
  <si>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</si>
  <si>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</si>
  <si>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</si>
  <si>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</si>
  <si>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</si>
  <si>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</si>
  <si>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</si>
  <si>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</si>
  <si>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</si>
  <si>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</si>
  <si>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</si>
  <si>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</si>
  <si>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</si>
  <si>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</si>
  <si>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</si>
  <si>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</si>
  <si>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</si>
  <si>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</si>
  <si>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</si>
  <si>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</si>
  <si>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</si>
  <si>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</si>
  <si>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</si>
  <si>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</si>
  <si>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</si>
  <si>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</si>
  <si>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</si>
  <si>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</si>
  <si>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</si>
  <si>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</si>
  <si>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</si>
  <si>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</si>
  <si>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</si>
  <si>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</si>
  <si>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</si>
  <si>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</si>
  <si>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steelearcher</t>
  </si>
  <si>
    <t>martin_heyam</t>
  </si>
  <si>
    <t>larkkarles</t>
  </si>
  <si>
    <t>paoloigna1</t>
  </si>
  <si>
    <t>iosu_blanco</t>
  </si>
  <si>
    <t>vinitra5</t>
  </si>
  <si>
    <t>daya1angel</t>
  </si>
  <si>
    <t>gul_insidious</t>
  </si>
  <si>
    <t>peterxing</t>
  </si>
  <si>
    <t>piroworldwide</t>
  </si>
  <si>
    <t>chris_armstrong</t>
  </si>
  <si>
    <t>jordisandalinas</t>
  </si>
  <si>
    <t>ikechukwuebere8</t>
  </si>
  <si>
    <t>elultimosapiens</t>
  </si>
  <si>
    <t>frcretweets</t>
  </si>
  <si>
    <t>carlesvillapla1</t>
  </si>
  <si>
    <t>thcbc_nft</t>
  </si>
  <si>
    <t>adsdulantoscott</t>
  </si>
  <si>
    <t>hashtagmarketi7</t>
  </si>
  <si>
    <t>transvisionmad1</t>
  </si>
  <si>
    <t>humanityplus</t>
  </si>
  <si>
    <t>javiercremades</t>
  </si>
  <si>
    <t>ieuropeo</t>
  </si>
  <si>
    <t>rosanaribera</t>
  </si>
  <si>
    <t>kgomotsegoram</t>
  </si>
  <si>
    <t>dw2</t>
  </si>
  <si>
    <t>cordeiro</t>
  </si>
  <si>
    <t>augustofenollar</t>
  </si>
  <si>
    <t>natashavitamore</t>
  </si>
  <si>
    <t>paulspiegel</t>
  </si>
  <si>
    <t>angelninoq</t>
  </si>
  <si>
    <t>aubreydegrey</t>
  </si>
  <si>
    <t>elpoderdecurar</t>
  </si>
  <si>
    <t>lcomunicas</t>
  </si>
  <si>
    <t>dmdima_com</t>
  </si>
  <si>
    <t>niusdiario</t>
  </si>
  <si>
    <t>Retweet</t>
  </si>
  <si>
    <t>MentionsInRetweet</t>
  </si>
  <si>
    <t>Mentions</t>
  </si>
  <si>
    <t>Reached the #TransVisionMadrid venue. Looking serious... https://t.co/yJLSNTKup5</t>
  </si>
  <si>
    <t>#TransVisionMadrid 4 españoles reposan congelados a la espera de ser 'resucitados' De esto hablamos en #TransVision Madrid
Las compañías de #criopreservación viven un extraordinario crecimiento estos años mientras retan a la #ciencia #Futuro #Tecnologia
https://t.co/mMEbjZ46ox</t>
  </si>
  <si>
    <t>#TransVisionMadrid  Estamos ya comenzando  @paulspiegel @NatashaVitaMore desde el @IEuropeo
 @JavierCremades  @cordeiro  Ramon Tamames 
⭐️Síguelo en directo vía #Youtube  _xD83D__xDC47_ https://t.co/wemw0Oj7U4 https://t.co/9bSC7IC5Qc</t>
  </si>
  <si>
    <t>#TransVisionMadrid Hablamos #Biostasis #BFR   #futuro #Ciencia Gracias por el apoyo @dmdima_com @LComunicas @AdsDulantoScott  @RosanaRibera @elpoderdecurar @IEuropeo @HumanityPlus @cordeiro @NatashaVitaMore @aubreydegrey @paulspiegel  @AngelNinoQ @dw2_xD83D__xDD34_
 https://t.co/1lfCUjGiVg https://t.co/2ksQ2QBHnh</t>
  </si>
  <si>
    <t>#Madrid acoge este fin de semana una cumbre internacional #TransVisionMadrid sobre criopreservación humana 
➡️ https://t.co/mYFCeMINnA https://t.co/XzITq0NHie</t>
  </si>
  <si>
    <t>#TransVisionMadrid  Estamos congregados en #Madrid  varios científicos hablando sobre la "inmortalidad" y  Biostasis BFR
_xD83D__xDD39_Debatimos sobre la suspensión de la vida con técnicas de frío para su reanimación posterior   
_xD83D__xDD34_ Estamos en…https://t.co/3sWDssQI8g https://t.co/DTjJF5ztVU</t>
  </si>
  <si>
    <t>⭐️  Nuevo enlace ⭐️  al evento #TransVisionMadrid  
 _xD83D__xDD34_    Estamos en directo  _xD83D__xDD34_   por #youtube  _xD83D__xDC47_https://t.co/UjtDZKw3Ao</t>
  </si>
  <si>
    <t>#TransVisionMadrid Biostasis First Response (BFR) Training is on #youtube #streaming _xD83D__xDD34_ https://t.co/MF3wZvqLSJ https://t.co/e3kPXOUSXl</t>
  </si>
  <si>
    <t>#TransVisionMadrid 4 españoles reposan congelados a la espera de ser 'resucitados' De esto hablamos en #TransVision Madrid
Las compañías de #criopreservación viven un extraordinario crecimiento estos años mientras retan a la #ciencia #Futuro #Tecnologia
https://t.co/zVNK9rZaX2</t>
  </si>
  <si>
    <t>#TransVisionMadrid Biostasis First Response #BFR  Training with David Wood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https://t.co/pMVmb35WWq https://t.co/1ac4UXQYoj</t>
  </si>
  <si>
    <t>I'm all set for my presentation at #TransVisionMadrid on Saturday: "Anticipating accelerating adoption of biostasis: Forthcoming technological changes that may soon cause wide changes in public attitudes" https://t.co/l5HQuRfOeP https://t.co/ZDJdAW3sR5</t>
  </si>
  <si>
    <t>#TransVisionMadrid  This will be the first #BFR  training to be organized in #Spain  after some smaller similar events in Germany, the Netherlands, Switzerland, and the United Kingdom. 
_xD83D__xDEA8_  ALL videos on #YouTube  https://t.co/yiheEheGsM https://t.co/gr75HgDT4C</t>
  </si>
  <si>
    <t>#TransVisionMadrid  Biostasis First Response #BFR Training with Ramón Risco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https://t.co/nH2HzZ5xmM https://t.co/QyAkAoc4Ly</t>
  </si>
  <si>
    <t>NOW  @aubreydegrey   is talking about #Longevity and #Biostasis  in last day of #TransVisionMadrid 
#streaming  https://t.co/1HnjRoEwB9 https://t.co/tPQH4yuj2K</t>
  </si>
  <si>
    <t>#TransVisionMadrid Biostasis First Response #BFR  Training with Jordi Sandalinas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https://t.co/i6lEqdROe6 https://t.co/sfsbqYVBUD</t>
  </si>
  <si>
    <t>Talking about #Longevity and #Biostasis  in #TransVisionMadrid #streaming  
➡️ https://t.co/P0CBGJdTuZ https://t.co/eLbpevlyQ5</t>
  </si>
  <si>
    <t>#TransVisionMadrid Biostasis First Response #BFR  Training with Ben Best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https://t.co/oybknXPBRh https://t.co/vVmJCeRg8I</t>
  </si>
  <si>
    <t>#TransVisionMadrid  Cumbre científica sobre la #inmortalidad" en #Madrid 
_xD83D__xDC49_ Debate sobre la suspensión de la vida con técnicas de frío extremo para ser reanimada mucho tiempo después #LaMuerteDeLaMuerte   https://t.co/vFBOgcr1Ng</t>
  </si>
  <si>
    <t>The biostasis ambulance from the Netherlands, along with a dummy patient, visiting #TransVisionMadrid https://t.co/nMLVd9TMM6</t>
  </si>
  <si>
    <t>#TransVisionMadrid This will be the first #BFR  training to be organized in #Spain  after some smaller similar events in Germany, the Netherlands, Switzerland, and the United Kingdom. #YouTube ➡️https://t.co/PGZDpuUPID https://t.co/LI8KTvG38i</t>
  </si>
  <si>
    <t>#Madrid acoge este finde la Cumbre internacional @transvisionmad1 con un enfoque en la #biostasis humana, que permitirá la #criopreservación de pacientes para su futura reanimación
#TransVision #TransVisionMadrid  #longevidad #FutureFastForward #BFR 
https://t.co/aRh5E4XB4o</t>
  </si>
  <si>
    <t>#TransVisionMadrid  Estamos congregados en #Madrid  varios científicos hablando sobre la "inmortalidad" y  Biostasis BFR
_xD83D__xDD39_Debatimos sobre la suspensión de la vida con técnicas de frío para su reanimación posterior   
_xD83D__xDD34_ Estamos en directo #YouTube  _xD83D__xDD34_ 
➡️ https://t.co/Zi5JcjrsiZ https://t.co/LQGXped5yx</t>
  </si>
  <si>
    <t>Welcome to #TransVisionmadrid  @kgomotsegoRam https://t.co/R23hV8M9Su https://t.co/Ix9BOSysiv</t>
  </si>
  <si>
    <t>⭐️ Estamos ahora en directo #TransVisionMadrid ⭐️
@cordeiro les da la bienvenida a los asistentes acompañado de @NatashaVitaMore  
✅ Síguenos en directo _xD83D__xDC47_https://t.co/Zi5JcjrsiZ</t>
  </si>
  <si>
    <t>#TransVisionMadrid  Estamos ya comenzando  @paulspiegel  Dr. Natasha Vita-More, PhD - 1st   Pedro Guillen   @JavierCremades  Ramon Tamames 
Siguelo en directo via #Youtube  https://t.co/yw5mNVc06p https://t.co/hdu0qHo0Pc</t>
  </si>
  <si>
    <t>#TransVisionMadrid Biostasis First Response (BFR) Training is on #youtube   #streaming  _xD83D__xDD34_   https://t.co/NLjfrcdj3z https://t.co/gstxjWMK5i</t>
  </si>
  <si>
    <t>⭐️ Estamos ahora en directo #TransVisionMadrid ⭐️
@cordeiro les da la bienvenida a los asistentes acompañado de @NatashaVitaMore  
✅ Síguenos en directo _xD83D__xDC47_
https://t.co/lyj52Q4Cb8 https://t.co/5AhFsiLb1L</t>
  </si>
  <si>
    <t>⭐️Welcome to #TransVisionMadrid Natasha Vita-More⭐️ @NatashaVitaMore    Biostasis First Response (BFR) Training is on _xD83D__xDD34_#youtube #streaming _xD83D__xDD34_ ➡️ https://t.co/fXX2bMFc1C https://t.co/gDdjPq0jCe</t>
  </si>
  <si>
    <t>#TransVisionMadrid  La #criogenización como alternativa al entierro o la incineración: costará 5.000 euros en dos décadas  @NiusDiario   https://t.co/8MUExU3hr5</t>
  </si>
  <si>
    <t>⭐️Welcome to #TransVisionmadrid David Wood⭐️ @dw2  Biostasis First Response (BFR) Training is on 
_xD83D__xDD34_ #youtube #streaming _xD83D__xDD34_ ➡️ https://t.co/KyxuVjgkT8 https://t.co/ao8VWaDYSE</t>
  </si>
  <si>
    <t>#TransVisionMadrid Biostasis First Response #BFR  Training with David Pearce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https://t.co/jpk7Fo0jth https://t.co/zB5WzaTlJQ</t>
  </si>
  <si>
    <t>#TransVisionMadrid Biostasis First Response #BFR  Training with Danila Medvedev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https://t.co/lZ4IUDW78a https://t.co/OyNTEAKcDj</t>
  </si>
  <si>
    <t>#TransVisionMadrid Biostasis First Response #BFR  Training with Ángel Niño Quesada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https://t.co/76VmzqKan6 https://t.co/KtCCfu0gh2</t>
  </si>
  <si>
    <t>#TransVisionMadrid Biostasis First Response #BFR  Training with Fernando Herrero Acebes
_xD83D__xDDD3_ Nov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https://t.co/zuepy69o3j https://t.co/4dP8ItsDBO</t>
  </si>
  <si>
    <t>#TransVisionMadrid Biostasis First Response #BFR Training with Manuel de la Peña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https://t.co/AcucWELgWA https://t.co/E1K2ZaAgjP</t>
  </si>
  <si>
    <t>#TransVisionMadrid   Cumbre científica sobre la "inmortalidad" en #Madrid  
Debate sobre la suspensión de la vida con técnicas de frío extremo para ser reanimada mucho tiempo después 
Muchas gracias Diario de Levante   por compartir https://t.co/WiCmggUr45</t>
  </si>
  <si>
    <t>⭐️  Nuevo enlace ⭐️  al evento #TransVisionMadrid  
 _xD83D__xDD34_    Estamos en directo  _xD83D__xDD34_   por #youtube  _xD83D__xDC47_https://t.co/OW32FlT2Ym</t>
  </si>
  <si>
    <t>⭐️Welcome to #TransVisionmadrid  Paul Spiegel⭐️ @paulspiegel    Biostasis First Response (BFR) Training is on _xD83D__xDD34_ #youtube #streaming _xD83D__xDD34_ ➡️ https://t.co/fXX2bMEEc4 https://t.co/qjoT1ubi03</t>
  </si>
  <si>
    <t>#TransVisionMadrid Biostasis First Response #BFR  Training with Paul Spiegel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https://t.co/pseS63rjrF https://t.co/UqLFqWfYAs</t>
  </si>
  <si>
    <t>⭐️Welcome to #TransVisionmadrid Jacob Hoeskstra⭐️ Biostasis First Response (BFR) Training is on  _xD83D__xDD34_ #youtube #streaming _xD83D__xDD34_ ➡️ https://t.co/fXX2bMFc1C https://t.co/hdovyXByoQ</t>
  </si>
  <si>
    <t>#TransVisionMadrid Biostasis First Response #BFR  Training with Jacob Hoeskstra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https://t.co/F2a1Ijolo8 https://t.co/gBbzNFblwS</t>
  </si>
  <si>
    <t>#TransVisionMadrid  TODAY last DAY #BFR  training to be organized in #Spain  after some smaller similar events in Germany, the Netherlands, Switzerland, and the United Kingdom. _xD83D__xDEA8_ALL videos  #YouTube  ➡️https://t.co/zbyotTmHSN https://t.co/gMIMbH9NfY</t>
  </si>
  <si>
    <t>#TransVisionMadrid Biostasis First Response #BFR  Training with Aschwin de Wolf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https://t.co/mug4kR9Oty https://t.co/FRinu2Sg18</t>
  </si>
  <si>
    <t>#TransVisionMadrid Biostasis First Response #BFR  Training with Emil Kendziorra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https://t.co/2m8qvy6EiU https://t.co/GhccnURzV7</t>
  </si>
  <si>
    <t>Madrid acogerá la Cumbre #TransVisionMadrid con ponentes internacionales,  sobre la criopreservación de pacientes para su futura reanimación #BFR #Futuro #Ciencia #Tecnologia https://t.co/kduemvNfPd</t>
  </si>
  <si>
    <t>#TransVisionMadrid  _xD83D__xDC49_ Ramón Risco: «La criopreservación es viable en humanos»  El científico español ha devuelto la vida a gusanos #LaMuerteDeLaMuerte
https://t.co/IhALbtyIgU</t>
  </si>
  <si>
    <t>#TransVisionMadrid  _xD83D__xDC49_ Ramón Risco: «La criopreservación es viable en humanos»  El científico español ha devuelto la vida a gusanos #LaMuerteDeLaMuerte
https://t.co/RZDC7s0DWG</t>
  </si>
  <si>
    <t>NOW  @aubreydegrey  hablando de #Longevity and #Biostasis: Aubrey de Grey    #TransVisionMadrid 
#streaming  https://t.co/ZreujLOi3n https://t.co/6b9NgCstfG</t>
  </si>
  <si>
    <t>#TransVisionMadrid Biostasis First Response #BFR  Training with Emil Kendziorra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https://t.co/1uFTIcyh7V https://t.co/dEu31vfJZ4</t>
  </si>
  <si>
    <t>#TransVisionMadrid Biostasis First Response #BFR Training with Max Moore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https://t.co/TMrYpWx1X4 https://t.co/LpoBN2A7ah</t>
  </si>
  <si>
    <t>#TransVisionMadrid Biostasis First Response #BFR  Training with Fernando Herrero Acebes
_xD83D__xDDD3_ Nov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https://t.co/3RVCCY5rZg https://t.co/vHEq3c0eqp</t>
  </si>
  <si>
    <t>#TransVisionMadrid Biostasis First Response #BFR Training with Natasha Vita-More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https://t.co/249QaIBufE https://t.co/cKkRztwTzw</t>
  </si>
  <si>
    <t>Madrid acogerá la Cumbre #TransVisionMadrid con ponentes internacionales,  sobre la criopreservación de pacientes para su futura reanimación #BFR #Futuro #Ciencia #Tecnologia https://t.co/UVceYCiosy</t>
  </si>
  <si>
    <t>#Madrid acoge este fin de semana una cumbre internacional  #TransVisionMadrid  sobre criopreservación humana 
Muchas gracias Europapress por la difusion ➡️  https://t.co/v1BdBJdE5p https://t.co/wYPVkyiKR4</t>
  </si>
  <si>
    <t>#TransVisionMadrid Biostasis First Response #BFR  Training with Aubrey de Grey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https://t.co/9H933lER9K https://t.co/0QsdeOtvQZ</t>
  </si>
  <si>
    <t>#TransVisionMadrid Biostasis First Response #BFR Training with Bill Falon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https://t.co/01ovKHux8U https://t.co/4NMpNmr0oe</t>
  </si>
  <si>
    <t>#TransVisionMadrid Biostasis First Response #BFR Training with Ramon Tamames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https://t.co/C6twfdX8wO https://t.co/QDAhj18wKr</t>
  </si>
  <si>
    <t>#TransVisionMadrid Biostasis First Response #BFR Training with Greg Fahy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https://t.co/8mmMe2VJmK https://t.co/fiveURriDP</t>
  </si>
  <si>
    <t>#Madrid acoge este fin de semana una cumbre internacional #TransVisionMadrid sobre criopreservación humana 
➡️ https://t.co/zoiGygsrV8 https://t.co/NOSca7VLnP</t>
  </si>
  <si>
    <t>⭐️ Estamos ahora en directo #TransVisionMadrid ⭐️
Les doy la  bienvenida a los asistentes participantes y ponentes
✅ Síguenos en directo _xD83D__xDC47_ https://t.co/DTjJF5hT4m</t>
  </si>
  <si>
    <t>⭐️  Nuevo enlace ⭐️  al evento #TransVisionMadrid  
 _xD83D__xDD34_    Estamos en directo  _xD83D__xDD34_   por #youtube  _xD83D__xDC47_ https://t.co/NLjfrbVHEZ</t>
  </si>
  <si>
    <t>#TransVisionMadrid begin today !  This will be the first _xD835__xDDD5__xD835__xDDD9__xD835__xDDE5_ (_xD835__xDDD5__xD835__xDDF6__xD835__xDDFC__xD835__xDE00__xD835__xDE01__xD835__xDDEE__xD835__xDE00__xD835__xDDF6__xD835__xDE00_ _xD835__xDDD9__xD835__xDDF6__xD835__xDDFF__xD835__xDE00__xD835__xDE01_ _xD835__xDDE5__xD835__xDDF2__xD835__xDE00__xD835__xDDFD__xD835__xDDFC__xD835__xDDFB__xD835__xDE00__xD835__xDDF2_)  training to be organized in Spain, after some smaller similar events during previous years in Germany, the Netherlands, Switzerland, and the…https://t.co/xh5MLqWAKl</t>
  </si>
  <si>
    <t>#TransVisionMadrid Biostasis First Response #BFR Training with Pedro Gillén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https://t.co/E3OMnf8Si6 https://t.co/OAiCt4TE1V</t>
  </si>
  <si>
    <t>#TransVisionMadrid Biostasis First Response #BFR Training with Brenda Ramokopelwa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https://t.co/frmnDvpNhO https://t.co/D32af48pkC</t>
  </si>
  <si>
    <t>Madrid se convierte en la Capital Mundial de la biostasis humana, tras acoger el gran evento internacional #TransVisionMadrid  los días 12 y 13 de noviembre, y donde se impartirá la primera cumbre de biostasis (criopreservación humana) por la BFR (Biostas…https://t.co/nrFc13acyl</t>
  </si>
  <si>
    <t>#TransVisionMadrid  La #criogenización como alternativa al entierro o la incineración: costará 5.000 euros en dos décadas  NIUS https://t.co/l0t0DYaabz</t>
  </si>
  <si>
    <t>#TransVisionMadrid Biostasis First Response #BFR Training with Jose Cordeiro
During November 10-13, Madrid will host its next #TransVision Summit with a focus on human cryopreservation #humanity #future 
➡️ 1st CFR training to be organized in Spain.
Info: https://t.co/Kf70JoBUw1 https://t.co/dxlGOD8JVb</t>
  </si>
  <si>
    <t>#TransVisionMadrid   Indoors Basic BFR Demonstration on a Dummy:  Aschwin De Wolf   and Jacob Hoekstra  (basic ice bath, Q&amp;amp;A)     #streaming   https://t.co/ZreujLOi3n https://t.co/3NqtVDaPIQ</t>
  </si>
  <si>
    <t>Talking about #Longevity and #Biostasis  in #TransVisionMadrid
#streaming  https://t.co/ZreujM5l5n https://t.co/YroqfDLKJL</t>
  </si>
  <si>
    <t>#TransVisionMadrid Biostasis First Response #BFR  Training with Antonio Garrigues Walker
_xD83D__xDDD3_ Nov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https://t.co/lQl7ykETwE https://t.co/CCuy2ouorF</t>
  </si>
  <si>
    <t>#TransVisionMadrid Será la primera cumbre de biostasis (criopreservación humana) por la #BFR (Biostasis First Response) que se organiza en España, utilizando una de las cuatro ambulancias de biostasis que existen actualmente en Europa. #Futuro #Tecnologia https://t.co/mgGqy0X2sw</t>
  </si>
  <si>
    <t>#TransVisionMadrid  _xD83D__xDC49_ Ramón Risco: «La criopreservación es viable en humanos»  El científico español ha devuelto la vida a gusanos #LaMuerteDeLaMuerte
https://t.co/eRKT8dXayB</t>
  </si>
  <si>
    <t>#Criopreservación ➡️ el gran reto de la ciencia  En la cumbre #TransVisionMadrid  participaron  35 expertos internacionales #LaMuerteDeLaMuerte
https://t.co/2a4BtukC1u</t>
  </si>
  <si>
    <t>#TransVisionMadrid  Nos quedarían 100 años para ver la primera resurrección humana, según expertos #LaMuerteDeLaMuerte  
https://t.co/NM815Z4g0T</t>
  </si>
  <si>
    <t>#TransVisionMadrid  Así serán las ambulancias del #futuro capaces de criopreservar cuerpos  #LaMuerteDeLaMuerte https://t.co/bxrTzaQbfA</t>
  </si>
  <si>
    <t>https://www.linkedin.com/feed/update/urn:li:share:6997145306941296640 https://www.youtube.com/watch?v=xb0JCOgMsXc</t>
  </si>
  <si>
    <t>https://youtube.com/c/AlianzaFuturista/streams https://www.linkedin.com/feed/update/urn:li:share:6997477447952674817</t>
  </si>
  <si>
    <t>https://youtu.be/xb0JCOgMsXc https://www.linkedin.com/feed/update/urn:li:share:6997135896437231617</t>
  </si>
  <si>
    <t>https://youtu.be/erkbGlWtX3Q https://www.linkedin.com/feed/update/urn:li:ugcPost:6997204440164241408</t>
  </si>
  <si>
    <t>https://www.youtube.com/watch?v=3JK84n-jsMU https://www.linkedin.com/feed/update/urn:li:share:6997498384492191745</t>
  </si>
  <si>
    <t>https://www.europapress.es/sociedad/noticia-madrid-acoge-fin-semana-cumbre-internacional-criopreservacion-humana-20221111121558.html https://www.linkedin.com/feed/update/urn:li:share:6996824188397207553</t>
  </si>
  <si>
    <t>https://youtu.be/erkbGlWtX3Q https://www.linkedin.com/feed/update/urn:li:ugcPost:6997202881644802048</t>
  </si>
  <si>
    <t>https://www.youtube.com/watch?v=3JK84n-jsMU https://www.linkedin.com/feed/update/urn:li:share:6997511072454750210</t>
  </si>
  <si>
    <t>https://www.youtube.com/watch?v=3JK84n-jsMU https://www.linkedin.com/feed/update/urn:li:share:6997513273625460736</t>
  </si>
  <si>
    <t>abc.es</t>
  </si>
  <si>
    <t>youtube.com</t>
  </si>
  <si>
    <t>europapress.es</t>
  </si>
  <si>
    <t>linkedin.com youtube.com</t>
  </si>
  <si>
    <t>youtu.be</t>
  </si>
  <si>
    <t>transvisionmadrid.com</t>
  </si>
  <si>
    <t>youtube.com linkedin.com</t>
  </si>
  <si>
    <t>levante-emv.com</t>
  </si>
  <si>
    <t>locomunicas.es</t>
  </si>
  <si>
    <t>twitter.com</t>
  </si>
  <si>
    <t>youtu.be linkedin.com</t>
  </si>
  <si>
    <t>niusdiario.es</t>
  </si>
  <si>
    <t>okdiario.com</t>
  </si>
  <si>
    <t>eldebate.com</t>
  </si>
  <si>
    <t>europapress.es linkedin.com</t>
  </si>
  <si>
    <t>linkedin.com</t>
  </si>
  <si>
    <t>institutoeuropeo.es</t>
  </si>
  <si>
    <t>epe.es</t>
  </si>
  <si>
    <t>cuatro.com</t>
  </si>
  <si>
    <t>transvisionmadrid</t>
  </si>
  <si>
    <t>transvisionmadrid transvision criopreservación ciencia futuro tecnologia</t>
  </si>
  <si>
    <t>transvisionmadrid youtube</t>
  </si>
  <si>
    <t>transvisionmadrid biostasis bfr futuro ciencia</t>
  </si>
  <si>
    <t>madrid transvisionmadrid</t>
  </si>
  <si>
    <t>transvisionmadrid madrid</t>
  </si>
  <si>
    <t>transvisionmadrid youtube streaming</t>
  </si>
  <si>
    <t>transvisionmadrid bfr _xD835__xDDE7__xD835__xDDFF__xD835__xDDEE__xD835__xDDFB__xD835__xDE00__xD835__xDDE9__xD835__xDDF6__xD835__xDE00__xD835__xDDF6__xD835__xDDFC__xD835__xDDFB_ future humanity</t>
  </si>
  <si>
    <t>transvisionmadrid bfr spain youtube</t>
  </si>
  <si>
    <t>longevity biostasis transvisionmadrid streaming</t>
  </si>
  <si>
    <t>transvisionmadrid inmortalidad madrid lamuertedelamuerte</t>
  </si>
  <si>
    <t>madrid biostasis criopreservación transvision transvisionmadrid longevidad futurefastforward bfr</t>
  </si>
  <si>
    <t>transvisionmadrid madrid youtube</t>
  </si>
  <si>
    <t>transvisionmadrid criogenización</t>
  </si>
  <si>
    <t>transvisionmadrid bfr futuro ciencia tecnologia</t>
  </si>
  <si>
    <t>transvisionmadrid lamuertedelamuerte</t>
  </si>
  <si>
    <t>transvisionmadrid bfr transvision humanity future</t>
  </si>
  <si>
    <t>transvisionmadrid streaming</t>
  </si>
  <si>
    <t>transvisionmadrid bfr futuro tecnologia</t>
  </si>
  <si>
    <t>criopreservación transvisionmadrid lamuertedelamuerte</t>
  </si>
  <si>
    <t>transvisionmadrid futuro lamuertedelamuerte</t>
  </si>
  <si>
    <t>09:17:08</t>
  </si>
  <si>
    <t>09:35:31</t>
  </si>
  <si>
    <t>10:24:01</t>
  </si>
  <si>
    <t>13:36:08</t>
  </si>
  <si>
    <t>13:36:20</t>
  </si>
  <si>
    <t>13:36:23</t>
  </si>
  <si>
    <t>13:40:07</t>
  </si>
  <si>
    <t>14:15:22</t>
  </si>
  <si>
    <t>14:40:33</t>
  </si>
  <si>
    <t>23:29:15</t>
  </si>
  <si>
    <t>07:32:19</t>
  </si>
  <si>
    <t>00:56:44</t>
  </si>
  <si>
    <t>11:22:08</t>
  </si>
  <si>
    <t>11:51:54</t>
  </si>
  <si>
    <t>08:39:03</t>
  </si>
  <si>
    <t>10:05:25</t>
  </si>
  <si>
    <t>15:07:41</t>
  </si>
  <si>
    <t>15:58:55</t>
  </si>
  <si>
    <t>15:51:57</t>
  </si>
  <si>
    <t>18:24:50</t>
  </si>
  <si>
    <t>22:31:41</t>
  </si>
  <si>
    <t>09:24:52</t>
  </si>
  <si>
    <t>21:59:14</t>
  </si>
  <si>
    <t>16:21:25</t>
  </si>
  <si>
    <t>18:19:19</t>
  </si>
  <si>
    <t>13:30:22</t>
  </si>
  <si>
    <t>12:36:19</t>
  </si>
  <si>
    <t>12:37:43</t>
  </si>
  <si>
    <t>19:21:32</t>
  </si>
  <si>
    <t>22:34:00</t>
  </si>
  <si>
    <t>11:10:43</t>
  </si>
  <si>
    <t>10:23:36</t>
  </si>
  <si>
    <t>15:09:18</t>
  </si>
  <si>
    <t>08:19:23</t>
  </si>
  <si>
    <t>08:20:07</t>
  </si>
  <si>
    <t>08:21:57</t>
  </si>
  <si>
    <t>08:22:14</t>
  </si>
  <si>
    <t>10:48:30</t>
  </si>
  <si>
    <t>10:06:07</t>
  </si>
  <si>
    <t>10:51:06</t>
  </si>
  <si>
    <t>09:42:51</t>
  </si>
  <si>
    <t>11:09:43</t>
  </si>
  <si>
    <t>15:37:08</t>
  </si>
  <si>
    <t>10:58:37</t>
  </si>
  <si>
    <t>07:57:58</t>
  </si>
  <si>
    <t>14:03:57</t>
  </si>
  <si>
    <t>14:32:56</t>
  </si>
  <si>
    <t>12:40:50</t>
  </si>
  <si>
    <t>14:00:34</t>
  </si>
  <si>
    <t>14:00:45</t>
  </si>
  <si>
    <t>14:01:21</t>
  </si>
  <si>
    <t>14:32:35</t>
  </si>
  <si>
    <t>09:24:51</t>
  </si>
  <si>
    <t>09:24:56</t>
  </si>
  <si>
    <t>09:25:05</t>
  </si>
  <si>
    <t>09:25:09</t>
  </si>
  <si>
    <t>12:31:39</t>
  </si>
  <si>
    <t>14:32:49</t>
  </si>
  <si>
    <t>09:46:25</t>
  </si>
  <si>
    <t>09:48:58</t>
  </si>
  <si>
    <t>14:50:36</t>
  </si>
  <si>
    <t>07:43:18</t>
  </si>
  <si>
    <t>16:40:27</t>
  </si>
  <si>
    <t>08:43:54</t>
  </si>
  <si>
    <t>15:54:28</t>
  </si>
  <si>
    <t>10:02:42</t>
  </si>
  <si>
    <t>10:03:03</t>
  </si>
  <si>
    <t>14:42:12</t>
  </si>
  <si>
    <t>08:41:18</t>
  </si>
  <si>
    <t>09:56:21</t>
  </si>
  <si>
    <t>15:16:21</t>
  </si>
  <si>
    <t>15:17:06</t>
  </si>
  <si>
    <t>20:04:19</t>
  </si>
  <si>
    <t>09:43:14</t>
  </si>
  <si>
    <t>09:56:20</t>
  </si>
  <si>
    <t>10:27:28</t>
  </si>
  <si>
    <t>10:27:32</t>
  </si>
  <si>
    <t>10:36:57</t>
  </si>
  <si>
    <t>12:06:17</t>
  </si>
  <si>
    <t>13:58:32</t>
  </si>
  <si>
    <t>14:46:33</t>
  </si>
  <si>
    <t>15:16:15</t>
  </si>
  <si>
    <t>15:43:34</t>
  </si>
  <si>
    <t>20:04:16</t>
  </si>
  <si>
    <t>07:06:15</t>
  </si>
  <si>
    <t>07:13:35</t>
  </si>
  <si>
    <t>08:42:45</t>
  </si>
  <si>
    <t>09:56:18</t>
  </si>
  <si>
    <t>10:03:31</t>
  </si>
  <si>
    <t>11:07:51</t>
  </si>
  <si>
    <t>15:16:16</t>
  </si>
  <si>
    <t>20:04:15</t>
  </si>
  <si>
    <t>19:06:15</t>
  </si>
  <si>
    <t>12:06:18</t>
  </si>
  <si>
    <t>05:18:31</t>
  </si>
  <si>
    <t>05:18:36</t>
  </si>
  <si>
    <t>12:06:25</t>
  </si>
  <si>
    <t>10:00:13</t>
  </si>
  <si>
    <t>10:00:37</t>
  </si>
  <si>
    <t>10:35:20</t>
  </si>
  <si>
    <t>16:57:23</t>
  </si>
  <si>
    <t>22:26:19</t>
  </si>
  <si>
    <t>10:35:43</t>
  </si>
  <si>
    <t>10:51:24</t>
  </si>
  <si>
    <t>13:21:36</t>
  </si>
  <si>
    <t>16:57:29</t>
  </si>
  <si>
    <t>21:11:19</t>
  </si>
  <si>
    <t>04:32:27</t>
  </si>
  <si>
    <t>09:09:18</t>
  </si>
  <si>
    <t>09:23:20</t>
  </si>
  <si>
    <t>09:48:05</t>
  </si>
  <si>
    <t>10:26:55</t>
  </si>
  <si>
    <t>10:37:37</t>
  </si>
  <si>
    <t>13:56:18</t>
  </si>
  <si>
    <t>14:16:10</t>
  </si>
  <si>
    <t>14:26:23</t>
  </si>
  <si>
    <t>16:57:15</t>
  </si>
  <si>
    <t>21:11:16</t>
  </si>
  <si>
    <t>04:32:15</t>
  </si>
  <si>
    <t>06:05:37</t>
  </si>
  <si>
    <t>07:44:59</t>
  </si>
  <si>
    <t>08:37:25</t>
  </si>
  <si>
    <t>10:51:02</t>
  </si>
  <si>
    <t>10:59:47</t>
  </si>
  <si>
    <t>21:11:17</t>
  </si>
  <si>
    <t>22:09:14</t>
  </si>
  <si>
    <t>22:26:15</t>
  </si>
  <si>
    <t>09:09:30</t>
  </si>
  <si>
    <t>22:09:16</t>
  </si>
  <si>
    <t>16:09:16</t>
  </si>
  <si>
    <t>09:23:26</t>
  </si>
  <si>
    <t>16:09:31</t>
  </si>
  <si>
    <t>09:11:21</t>
  </si>
  <si>
    <t>1591359429030858752</t>
  </si>
  <si>
    <t>1591364056849391616</t>
  </si>
  <si>
    <t>1591376258633728002</t>
  </si>
  <si>
    <t>1591424607005052928</t>
  </si>
  <si>
    <t>1591424658418831360</t>
  </si>
  <si>
    <t>1591424670167097344</t>
  </si>
  <si>
    <t>1591425610903068676</t>
  </si>
  <si>
    <t>1591434481411690496</t>
  </si>
  <si>
    <t>1591440819596460032</t>
  </si>
  <si>
    <t>1591573871622295553</t>
  </si>
  <si>
    <t>1591695440382418947</t>
  </si>
  <si>
    <t>1591233499889307648</t>
  </si>
  <si>
    <t>1591390885899833345</t>
  </si>
  <si>
    <t>1591398376918380548</t>
  </si>
  <si>
    <t>1591712232328826880</t>
  </si>
  <si>
    <t>1591733967438614529</t>
  </si>
  <si>
    <t>1591810036141289472</t>
  </si>
  <si>
    <t>1591460542652219395</t>
  </si>
  <si>
    <t>1591821175529046016</t>
  </si>
  <si>
    <t>1591859648688230404</t>
  </si>
  <si>
    <t>1591921771774898176</t>
  </si>
  <si>
    <t>1592086151388602369</t>
  </si>
  <si>
    <t>1591913604252831747</t>
  </si>
  <si>
    <t>1592190977673936899</t>
  </si>
  <si>
    <t>1592945426847518720</t>
  </si>
  <si>
    <t>1591423156446789635</t>
  </si>
  <si>
    <t>1591409554893725697</t>
  </si>
  <si>
    <t>1591409908440002562</t>
  </si>
  <si>
    <t>1592236305534042112</t>
  </si>
  <si>
    <t>1591559965898330113</t>
  </si>
  <si>
    <t>1591388011895623680</t>
  </si>
  <si>
    <t>1591376155583586306</t>
  </si>
  <si>
    <t>1591810443919884290</t>
  </si>
  <si>
    <t>1592069672983490560</t>
  </si>
  <si>
    <t>1592069855901274114</t>
  </si>
  <si>
    <t>1592070315278049280</t>
  </si>
  <si>
    <t>1592070389500284928</t>
  </si>
  <si>
    <t>1591382423438344198</t>
  </si>
  <si>
    <t>1591371754617946112</t>
  </si>
  <si>
    <t>1591020687967531010</t>
  </si>
  <si>
    <t>1591365902465105920</t>
  </si>
  <si>
    <t>1591387760287690754</t>
  </si>
  <si>
    <t>1591817446129897474</t>
  </si>
  <si>
    <t>1591384969460723712</t>
  </si>
  <si>
    <t>1592064281201332226</t>
  </si>
  <si>
    <t>1591431609135550464</t>
  </si>
  <si>
    <t>1591438903516561414</t>
  </si>
  <si>
    <t>1591410690664931328</t>
  </si>
  <si>
    <t>1591430757985271812</t>
  </si>
  <si>
    <t>1591430803812421633</t>
  </si>
  <si>
    <t>1591430953813311490</t>
  </si>
  <si>
    <t>1591438815339900929</t>
  </si>
  <si>
    <t>1592086147353698306</t>
  </si>
  <si>
    <t>1592086165540474880</t>
  </si>
  <si>
    <t>1592086203792523264</t>
  </si>
  <si>
    <t>1592086220389376000</t>
  </si>
  <si>
    <t>1592133155351592960</t>
  </si>
  <si>
    <t>1591438873585917952</t>
  </si>
  <si>
    <t>1591366796648808449</t>
  </si>
  <si>
    <t>1591367441027776513</t>
  </si>
  <si>
    <t>1591443347704799233</t>
  </si>
  <si>
    <t>1591698204193849349</t>
  </si>
  <si>
    <t>1590746215284473866</t>
  </si>
  <si>
    <t>1591351063663480833</t>
  </si>
  <si>
    <t>1591459422395846658</t>
  </si>
  <si>
    <t>1591370896316727296</t>
  </si>
  <si>
    <t>1591370983591809025</t>
  </si>
  <si>
    <t>1591441233578172418</t>
  </si>
  <si>
    <t>1591712799193198592</t>
  </si>
  <si>
    <t>1590644520517091328</t>
  </si>
  <si>
    <t>1590725051489329152</t>
  </si>
  <si>
    <t>1591006910886694912</t>
  </si>
  <si>
    <t>1591087629482729473</t>
  </si>
  <si>
    <t>1591159908736667648</t>
  </si>
  <si>
    <t>1591365995439874049</t>
  </si>
  <si>
    <t>1591369292125200384</t>
  </si>
  <si>
    <t>1591377128204951552</t>
  </si>
  <si>
    <t>1591377144382652416</t>
  </si>
  <si>
    <t>1591379517054267392</t>
  </si>
  <si>
    <t>1591401998385029120</t>
  </si>
  <si>
    <t>1591430243302227968</t>
  </si>
  <si>
    <t>1591442328178286593</t>
  </si>
  <si>
    <t>1591449805267652608</t>
  </si>
  <si>
    <t>1591456676980592640</t>
  </si>
  <si>
    <t>1591522283285266432</t>
  </si>
  <si>
    <t>1591688878091640832</t>
  </si>
  <si>
    <t>1591690722214039552</t>
  </si>
  <si>
    <t>1591713162973544449</t>
  </si>
  <si>
    <t>1591731671656796160</t>
  </si>
  <si>
    <t>1591733491460624384</t>
  </si>
  <si>
    <t>1591749681398308865</t>
  </si>
  <si>
    <t>1591812196526432268</t>
  </si>
  <si>
    <t>1591884669074669569</t>
  </si>
  <si>
    <t>1592090770785566720</t>
  </si>
  <si>
    <t>1592232462209490944</t>
  </si>
  <si>
    <t>1592489164695633920</t>
  </si>
  <si>
    <t>1593111316155490305</t>
  </si>
  <si>
    <t>1593111341119983618</t>
  </si>
  <si>
    <t>1593576358004899840</t>
  </si>
  <si>
    <t>1591370271352623105</t>
  </si>
  <si>
    <t>1591732759793631233</t>
  </si>
  <si>
    <t>1590654332374065153</t>
  </si>
  <si>
    <t>1590750477020532738</t>
  </si>
  <si>
    <t>1590833256651440128</t>
  </si>
  <si>
    <t>1591016815290884096</t>
  </si>
  <si>
    <t>1591020764798636032</t>
  </si>
  <si>
    <t>1591058563073449984</t>
  </si>
  <si>
    <t>1591112892908183552</t>
  </si>
  <si>
    <t>1591176773085134848</t>
  </si>
  <si>
    <t>1591195643380473871</t>
  </si>
  <si>
    <t>1591287785121632256</t>
  </si>
  <si>
    <t>1591357458936745985</t>
  </si>
  <si>
    <t>1591360990305828864</t>
  </si>
  <si>
    <t>1591367218343837696</t>
  </si>
  <si>
    <t>1591376992108150785</t>
  </si>
  <si>
    <t>1591379681969725441</t>
  </si>
  <si>
    <t>1591429682032844800</t>
  </si>
  <si>
    <t>1591434683262418946</t>
  </si>
  <si>
    <t>1591437256136466433</t>
  </si>
  <si>
    <t>1591475222775054336</t>
  </si>
  <si>
    <t>1591539144416698368</t>
  </si>
  <si>
    <t>1591650123431419905</t>
  </si>
  <si>
    <t>1591673618651840512</t>
  </si>
  <si>
    <t>1591698625616564226</t>
  </si>
  <si>
    <t>1591711822561828864</t>
  </si>
  <si>
    <t>1591741494620307459</t>
  </si>
  <si>
    <t>1591745447479349249</t>
  </si>
  <si>
    <t>1591747648419028992</t>
  </si>
  <si>
    <t>1591901539219693568</t>
  </si>
  <si>
    <t>1591916121413804039</t>
  </si>
  <si>
    <t>1591920404662308866</t>
  </si>
  <si>
    <t>1592082283854499841</t>
  </si>
  <si>
    <t>1592278517856845827</t>
  </si>
  <si>
    <t>1592550308684746758</t>
  </si>
  <si>
    <t>1593535339926274049</t>
  </si>
  <si>
    <t>1593637537586839556</t>
  </si>
  <si>
    <t>1591357972751736833</t>
  </si>
  <si>
    <t/>
  </si>
  <si>
    <t>1363899590647439365</t>
  </si>
  <si>
    <t>en</t>
  </si>
  <si>
    <t>es</t>
  </si>
  <si>
    <t>1591376302753607680</t>
  </si>
  <si>
    <t>Twitter Web App</t>
  </si>
  <si>
    <t>Twitter for iPhone</t>
  </si>
  <si>
    <t>Twitter for Android</t>
  </si>
  <si>
    <t>vintwitbot</t>
  </si>
  <si>
    <t>Twitter for iPad</t>
  </si>
  <si>
    <t>FRCRetweets</t>
  </si>
  <si>
    <t>LinkedIn</t>
  </si>
  <si>
    <t>Metricool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</si>
  <si>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</si>
  <si>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</si>
  <si>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</si>
  <si>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</si>
  <si>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</si>
  <si>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</si>
  <si>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</si>
  <si>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</si>
  <si>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</si>
  <si>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</si>
  <si>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</si>
  <si>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</si>
  <si>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</si>
  <si>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</si>
  <si>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</si>
  <si>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</si>
  <si>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</si>
  <si>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</si>
  <si>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</si>
  <si>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</si>
  <si>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</si>
  <si>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</si>
  <si>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José Cordeiro #TransVision #Future #HumanityPlus</t>
  </si>
  <si>
    <t>Steele Archer</t>
  </si>
  <si>
    <t>David Wood</t>
  </si>
  <si>
    <t>Martin Heyam Bielecki</t>
  </si>
  <si>
    <t>LarkKarlos2023</t>
  </si>
  <si>
    <t>Javier Cremades</t>
  </si>
  <si>
    <t>_xD83C__xDDEA__xD83C__xDDFA_ Instituto Europeo</t>
  </si>
  <si>
    <t>Natasha Vita-More</t>
  </si>
  <si>
    <t>Paul Spiegel</t>
  </si>
  <si>
    <t>#TransVisionMadrid Summit with a focus on #BFR</t>
  </si>
  <si>
    <t>paolo ignazio marong</t>
  </si>
  <si>
    <t>Ángel Niño</t>
  </si>
  <si>
    <t>Aubrey de Grey</t>
  </si>
  <si>
    <t>Humanity Plus</t>
  </si>
  <si>
    <t>Manuel de la Peña</t>
  </si>
  <si>
    <t>Rosana Ribera de Gracia</t>
  </si>
  <si>
    <t>Andrés Dulanto Scott _xD83C__xDDEA__xD83C__xDDF8_ ⛹_xD83C__xDFFB_ ⚖️ _xD83E__xDD14__xD83D__xDCAA_</t>
  </si>
  <si>
    <t>loComunicas</t>
  </si>
  <si>
    <t>Dmdima | comunicación y diseño</t>
  </si>
  <si>
    <t>#️⃣ SEOHASHTAG conoce tus_xD83C__xDF10_audiencias #hashtag#️⃣</t>
  </si>
  <si>
    <t>iosu_Blanco #DesMarketingES</t>
  </si>
  <si>
    <t>Whiter Smile</t>
  </si>
  <si>
    <t>Dayana Angel #Ventas #hashtagteam</t>
  </si>
  <si>
    <t>insidious</t>
  </si>
  <si>
    <t>peterxing.eth_xD83E__xDDE2__xD83E__xDDBE_</t>
  </si>
  <si>
    <t>Piro Osazee$nr Massive</t>
  </si>
  <si>
    <t>Chris T. Armstrong</t>
  </si>
  <si>
    <t>Jordi Sandalinas</t>
  </si>
  <si>
    <t>Ikechukwu Ebere</t>
  </si>
  <si>
    <t>José Antonio Ruiz</t>
  </si>
  <si>
    <t>FRC Retweets</t>
  </si>
  <si>
    <t>Carles Villaplana</t>
  </si>
  <si>
    <t>Transhuman Coin Bot Club</t>
  </si>
  <si>
    <t>Kgomotsego Brenda Ramokopelwa</t>
  </si>
  <si>
    <t>NIUS</t>
  </si>
  <si>
    <t>Augusto Fenollar</t>
  </si>
  <si>
    <t>14068117</t>
  </si>
  <si>
    <t>812837015490203649</t>
  </si>
  <si>
    <t>19004791</t>
  </si>
  <si>
    <t>2945783429</t>
  </si>
  <si>
    <t>726423717497167873</t>
  </si>
  <si>
    <t>283976692</t>
  </si>
  <si>
    <t>267258370</t>
  </si>
  <si>
    <t>27702217</t>
  </si>
  <si>
    <t>55918012</t>
  </si>
  <si>
    <t>1341462944</t>
  </si>
  <si>
    <t>3034438655</t>
  </si>
  <si>
    <t>92512982</t>
  </si>
  <si>
    <t>18705065</t>
  </si>
  <si>
    <t>2789646026</t>
  </si>
  <si>
    <t>208476736</t>
  </si>
  <si>
    <t>299558335</t>
  </si>
  <si>
    <t>998911386406309894</t>
  </si>
  <si>
    <t>588948859</t>
  </si>
  <si>
    <t>1377239026432888832</t>
  </si>
  <si>
    <t>1395144847</t>
  </si>
  <si>
    <t>826412069297782792</t>
  </si>
  <si>
    <t>865662805</t>
  </si>
  <si>
    <t>363787147</t>
  </si>
  <si>
    <t>30150841</t>
  </si>
  <si>
    <t>288904474</t>
  </si>
  <si>
    <t>14622891</t>
  </si>
  <si>
    <t>168632371</t>
  </si>
  <si>
    <t>1251230438384902144</t>
  </si>
  <si>
    <t>1511423158573805577</t>
  </si>
  <si>
    <t>1533209625176248326</t>
  </si>
  <si>
    <t>2739803567</t>
  </si>
  <si>
    <t>1580441092285235203</t>
  </si>
  <si>
    <t>66990457</t>
  </si>
  <si>
    <t>1115538035167330304</t>
  </si>
  <si>
    <t>938176846541279242</t>
  </si>
  <si>
    <t>#TransVision #Madrid Futurist Visionary Transhumanist Singularitarian @HumanityPlus Working to transcend biology and travel to Mars and beyond @TransVisionMad1</t>
  </si>
  <si>
    <t>Just a Tuna in a big ocean.</t>
  </si>
  <si>
    <t>Chair, London Futurists. Author of "The Singularity Principles". PDA/smartphone pioneer. Symbian co-founder. Formerly at Psion &amp; Accenture. Active Transhumanist</t>
  </si>
  <si>
    <t>H!i I am Heyam! I'm a designer and YouTuber :D **There is always time for a good idea** _xD83E__xDD14__xD83D__xDE03_</t>
  </si>
  <si>
    <t>Abogado. Attorney. President World Jurist Association</t>
  </si>
  <si>
    <t>_xD83E__xDDEC_ Educación médica
_xD83D__xDD2C_ Divulgación científica
_xD83D__xDCCC_ Artículos, blog y curiosidades sanitarias</t>
  </si>
  <si>
    <t>Strategic futurist / scientist / lifelong learner.</t>
  </si>
  <si>
    <t>Eclectic lawyer, located in San Francisco, CA.
Co-founder/CLO @Longevity_Plan</t>
  </si>
  <si>
    <t>During November 22 Madrid was host of #TransVisionMadrid Summit with a focus on human cryopreservation 
➡️ 1st #BFR training to be organized in _xD83C__xDDEA__xD83C__xDDF8_</t>
  </si>
  <si>
    <t>libero professionista, analista sereno navigatore nel mondo che cambia per cercare rotte nuove ed insolite. Degusta il tempo sa di non sapere. #i4Emploi</t>
  </si>
  <si>
    <t>Concejal Delegado de Área de Innovación y Emprendimiento en @MADRID Presidente @mercamadrid_hoy Presidente @JMDCiudadLineal Liberal @CiudadanosCs</t>
  </si>
  <si>
    <t>I'm spearheading the global crusade to defeat aging. President and CSO of https://t.co/QxFW8fuCt2</t>
  </si>
  <si>
    <t>Non-profit dedicated to promoting understanding, interest, and participation in fields of innovation that can radically benefit the human condition. #Transhuman</t>
  </si>
  <si>
    <t>_xD83C__xDDEA__xD83C__xDDFA_ Presidente Instituto Europeo de Salud
_xD83D__xDD2C_ Doctor Cum Laude Biomedicina
⚕️ Ex Director de la Cátedra del Corazón
_xD83D__xDC49__xD83C__xDFFC_ Antiguo Contact Point de la OMS</t>
  </si>
  <si>
    <t>Periodista</t>
  </si>
  <si>
    <t>Periodista. Internacional. Economía. RSC. Premio ATA 2015 y AEEN 2018. Ex junta APIE y ex paciente Zendal</t>
  </si>
  <si>
    <t>Agencia de Comunicación, Eventos, Fundraising y Consultoría Tecnológica #Comunicacion #PR #SocialMedia</t>
  </si>
  <si>
    <t>Agencia de #comunicación desde 1992 | #Diseño gráfico y web | Campañas de redes y redacción de textos | Creative Content | SEO | Social Media Management</t>
  </si>
  <si>
    <t>#️⃣ Vivian Francos #SEOhashtag
⚡️ Estrategias #hashtag #marketing para campañas políticas, posicionar marcas y eventos #Linkedin #NodeXL #TweetBinder #Metricool</t>
  </si>
  <si>
    <t>#DesMarketingES  _xD83C__xDFAF_ #AnabelaNogs  @DesMarketingES _xD83C__xDF0D_ @Micro_influence Te invito a ᴠɪꜱɪᴛᴀʀ ɴᴜᴇꜱᴛʀᴀ ᴡᴇʙ  https://t.co/dZp44fFd3e</t>
  </si>
  <si>
    <t>Whitens Teeth Up To 6 Shades In Less Than 16 Minutes...  https://t.co/vWoTjC967t</t>
  </si>
  <si>
    <t>Community Manager. #DigitalMarketing 
#SocialMedia #DigitalTransformation #eMailMarketing Convierte tus #Hashtag en #VENTAS.</t>
  </si>
  <si>
    <t>cryonics ☆ transhumanism ☆ life extension ☆ transcendent enhancement ☆ extropy ☆ art</t>
  </si>
  <si>
    <t>Co-founder @transhumancoin and @transhumanismau, Emerging Technologies @kpmgaustralia and @singularityu</t>
  </si>
  <si>
    <t>#Bitcoin. Great man,, Digital and Crypto Assets Manager | Crypto Trader, Business Man, humanity is my religion ,, https://t.co/HwX0PMyeAn</t>
  </si>
  <si>
    <t>Transhumanist author, former AI/software geek, #percussionist #flutist #10thPlanetJiuJitsu New book available now: https://t.co/zqLrCzk3Wl</t>
  </si>
  <si>
    <t>2012 Toulouse Space Show Award Winner, Satellite Imagery, Space Law, Remote Sensing, Human rights, Marine conservationist, Space Assets Protocol, Cryonics</t>
  </si>
  <si>
    <t>the truth shall set me free, fertility is not in the land, fertility is in the mind.</t>
  </si>
  <si>
    <t>Professor @Nebrija University (PhD in Journalism, Bachelor's in Performing Arts) and Political advisor. Author @esferalibros</t>
  </si>
  <si>
    <t>Run by @Fr3nch_C4t
Might follow you if im feeling nice ™️
Follow for more _xD83D__xDC40_
Twitter only allows 2,400 RTs a day :(</t>
  </si>
  <si>
    <t>Putos chafarderos!</t>
  </si>
  <si>
    <t>Not affiliated with THC. Welcome to an island where humans have refused to die, A place to live, A space to live forever 
discord: https://t.co/OHFtBelgwE</t>
  </si>
  <si>
    <t>Futurist| CEO TAFFD's| Director Daleo Consultancy| Member MictSeta 4IR Advisory Committee| Futurist board member Lifeboat Foundation| Co-Founder Afrolongevity</t>
  </si>
  <si>
    <t>NIUS. Nueva Información Útil y Sencilla. La #información #digital en tu mano _xD83D__xDCF2_</t>
  </si>
  <si>
    <t>quimico. Evolucionista. Animalista. La vida y la inteligencia son potencialmente inmortales. F. Dyson.</t>
  </si>
  <si>
    <t>Spain</t>
  </si>
  <si>
    <t>Milton Keynes, England</t>
  </si>
  <si>
    <t>Castilla-La Mancha, España</t>
  </si>
  <si>
    <t>Madrid, Spain</t>
  </si>
  <si>
    <t>Madrid, España</t>
  </si>
  <si>
    <t>Global</t>
  </si>
  <si>
    <t>San Francisco, CA</t>
  </si>
  <si>
    <t>Madrid, Comunidad de Madrid</t>
  </si>
  <si>
    <t>Los Gatos, CA</t>
  </si>
  <si>
    <t xml:space="preserve">Global </t>
  </si>
  <si>
    <t>Madrid</t>
  </si>
  <si>
    <t>Madrid. Spain</t>
  </si>
  <si>
    <t>Israel #️⃣</t>
  </si>
  <si>
    <t>Pamplona</t>
  </si>
  <si>
    <t>Phoenix, AZ</t>
  </si>
  <si>
    <t>Medellin Colombia</t>
  </si>
  <si>
    <t>Sydney, Australia</t>
  </si>
  <si>
    <t>Turkey</t>
  </si>
  <si>
    <t>Kansas City, MO</t>
  </si>
  <si>
    <t>Barcelona</t>
  </si>
  <si>
    <t>Girona</t>
  </si>
  <si>
    <t>Johannesburg</t>
  </si>
  <si>
    <t>madrid</t>
  </si>
  <si>
    <t>Open Twitter Page for This Person</t>
  </si>
  <si>
    <t>cordeiro
#TransVisionMadrid  Así serán las
ambulancias del #futuro capaces
de criopreservar cuerpos  #LaMuerteDeLaMuerte
https://t.co/bxrTzaQbfA</t>
  </si>
  <si>
    <t>steelearcher
Reached the #TransVisionMadrid
venue. Looking serious... https://t.co/yJLSNTKup5</t>
  </si>
  <si>
    <t>dw2
The biostasis ambulance from the
Netherlands, along with a dummy
patient, visiting #TransVisionMadrid
https://t.co/nMLVd9TMM6</t>
  </si>
  <si>
    <t>martin_heyam
#TransVisionMadrid 4 españoles
reposan congelados a la espera
de ser 'resucitados' De esto hablamos
en #TransVision Madrid Las compañías
de #criopreservación viven un extraordinario
crecimiento estos años mientras
retan a la #ciencia #Futuro #Tecnologia
https://t.co/mMEbjZ46ox</t>
  </si>
  <si>
    <t>larkkarles
#TransVisionMadrid Estamos ya comenzando
@paulspiegel @NatashaVitaMore desde
el @IEuropeo @JavierCremades @cordeiro
Ramon Tamames ⭐️Síguelo en directo
vía #Youtube _xD83D__xDC47_ https://t.co/wemw0Oj7U4
https://t.co/9bSC7IC5Qc</t>
  </si>
  <si>
    <t>javiercremades
#TransVisionMadrid Estamos ya comenzando
@paulspiegel @NatashaVitaMore desde
el @IEuropeo @JavierCremades @cordeiro
Ramon Tamames ⭐️Síguelo en directo
vía #Youtube _xD83D__xDC47_ https://t.co/wemw0Oj7U4
https://t.co/9bSC7IC5Qc</t>
  </si>
  <si>
    <t>ieuropeo
Talking about #Longevity and #Biostasis
in #TransVisionMadrid #streaming
➡️ https://t.co/P0CBGJdTuZ https://t.co/eLbpevlyQ5</t>
  </si>
  <si>
    <t xml:space="preserve">natashavitamore
</t>
  </si>
  <si>
    <t xml:space="preserve">paulspiegel
</t>
  </si>
  <si>
    <t>transvisionmad1
#TransVisionMadrid  _xD83D__xDC49_ Ramón Risco:
«La criopreservación es viable
en humanos»  El científico español
ha devuelto la vida a gusanos #LaMuerteDeLaMuerte
https://t.co/RZDC7s0DWG</t>
  </si>
  <si>
    <t>paoloigna1
#TransVisionMadrid Estamos congregados
en #Madrid varios científicos hablando
sobre la "inmortalidad" y Biostasis
BFR _xD83D__xDD39_Debatimos sobre la suspensión
de la vida con técnicas de frío
para su reanimación posterior _xD83D__xDD34_
Estamos en…https://t.co/3sWDssQI8g
https://t.co/DTjJF5ztVU</t>
  </si>
  <si>
    <t xml:space="preserve">angelninoq
</t>
  </si>
  <si>
    <t xml:space="preserve">aubreydegrey
</t>
  </si>
  <si>
    <t>humanityplus
The biostasis ambulance from the
Netherlands, along with a dummy
patient, visiting #TransVisionMadrid
https://t.co/nMLVd9TMM6</t>
  </si>
  <si>
    <t xml:space="preserve">elpoderdecurar
</t>
  </si>
  <si>
    <t>rosanaribera
#Madrid acoge este finde la Cumbre
internacional @transvisionmad1
con un enfoque en la #biostasis
humana, que permitirá la #criopreservación
de pacientes para su futura reanimación
#TransVision #TransVisionMadrid
#longevidad #FutureFastForward
#BFR https://t.co/aRh5E4XB4o</t>
  </si>
  <si>
    <t>adsdulantoscott
#TransVisionMadrid This will be
the first #BFR training to be organized
in #Spain after some smaller similar
events in Germany, the Netherlands,
Switzerland, and the United Kingdom.
#YouTube ➡️https://t.co/PGZDpuUPID
https://t.co/LI8KTvG38i</t>
  </si>
  <si>
    <t xml:space="preserve">lcomunicas
</t>
  </si>
  <si>
    <t xml:space="preserve">dmdima_com
</t>
  </si>
  <si>
    <t>hashtagmarketi7
#TransVisionMadrid Biostasis First
Response (BFR) Training is on #youtube
#streaming _xD83D__xDD34_ https://t.co/NLjfrcdj3z
https://t.co/gstxjWMK5i</t>
  </si>
  <si>
    <t>iosu_blanco
⭐️ Nuevo enlace ⭐️ al evento #TransVisionMadrid
_xD83D__xDD34_ Estamos en directo _xD83D__xDD34_ por #youtube
_xD83D__xDC47_https://t.co/UjtDZKw3Ao</t>
  </si>
  <si>
    <t>vinitra5
#TransVisionMadrid Biostasis First
Response (BFR) Training is on #youtube #streaming _xD83D__xDD34_ https://t.co/MF3wZvqLSJ
https://t.co/e3kPXOUSXl</t>
  </si>
  <si>
    <t>daya1angel
#TransVisionMadrid Biostasis First
Response (BFR) Training is on #youtube #streaming _xD83D__xDD34_ https://t.co/MF3wZvqLSJ
https://t.co/e3kPXOUSXl</t>
  </si>
  <si>
    <t>gul_insidious
#TransVisionMadrid 4 españoles
reposan congelados a la espera
de ser 'resucitados' De esto hablamos
en #TransVision Madrid Las compañías
de #criopreservación viven un extraordinario
crecimiento estos años mientras
retan a la #ciencia #Futuro #Tecnologia
https://t.co/zVNK9rZaX2</t>
  </si>
  <si>
    <t>peterxing
#TransVisionMadrid This will be
the first #BFR training to be organized
in #Spain after some smaller similar
events in Germany, the Netherlands,
Switzerland, and the United Kingdom.
_xD83D__xDEA8_ ALL videos on #YouTube https://t.co/yiheEheGsM
https://t.co/gr75HgDT4C</t>
  </si>
  <si>
    <t>piroworldwide
#TransVisionMadrid  Biostasis First
Response #BFR Training with Ramón
Risco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https://t.co/nH2HzZ5xmM
https://t.co/QyAkAoc4Ly</t>
  </si>
  <si>
    <t>chris_armstrong
NOW @aubreydegrey is talking about
#Longevity and #Biostasis in last
day of #TransVisionMadrid #streaming
https://t.co/1HnjRoEwB9 https://t.co/tPQH4yuj2K</t>
  </si>
  <si>
    <t>jordisandalinas
#TransVisionMadrid Biostasis First
Response #BFR  Training with Jordi
Sandalinas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https://t.co/i6lEqdROe6
https://t.co/sfsbqYVBUD</t>
  </si>
  <si>
    <t>ikechukwuebere8
#TransVisionMadrid  Biostasis First
Response #BFR Training with Ramón
Risco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https://t.co/nH2HzZ5xmM
https://t.co/QyAkAoc4Ly</t>
  </si>
  <si>
    <t>elultimosapiens
#TransVisionMadrid This will be
the first #BFR training to be organized
in #Spain after some smaller similar
events in Germany, the Netherlands,
Switzerland, and the United Kingdom.
_xD83D__xDEA8_ ALL videos on #YouTube https://t.co/yiheEheGsM
https://t.co/gr75HgDT4C</t>
  </si>
  <si>
    <t>frcretweets
Talking about #Longevity and #Biostasis
in #TransVisionMadrid #streaming
➡️ https://t.co/P0CBGJdTuZ https://t.co/eLbpevlyQ5</t>
  </si>
  <si>
    <t>carlesvillapla1
Talking about #Longevity and #Biostasis
in #TransVisionMadrid #streaming
➡️ https://t.co/P0CBGJdTuZ https://t.co/eLbpevlyQ5</t>
  </si>
  <si>
    <t>thcbc_nft
#TransVisionMadrid  Cumbre científica
sobre la #inmortalidad" en #Madrid 
_xD83D__xDC49_ Debate sobre la suspensión de
la vida con técnicas de frío extremo
para ser reanimada mucho tiempo
después #LaMuerteDeLaMuerte   https://t.co/vFBOgcr1Ng</t>
  </si>
  <si>
    <t>kgomotsegoram
Welcome to #TransVisionmadrid @kgomotsegoRam
https://t.co/R23hV8M9Su https://t.co/Ix9BOSysiv</t>
  </si>
  <si>
    <t xml:space="preserve">niusdiario
</t>
  </si>
  <si>
    <t>augustofenollar
#Madrid acoge este fin de semana
una cumbre internacional #TransVisionMadrid
sobre criopreservación humana 
➡️ https://t.co/zoiGygsrV8 https://t.co/NOSca7VLnP</t>
  </si>
  <si>
    <t>Directed</t>
  </si>
  <si>
    <t>G1</t>
  </si>
  <si>
    <t>G2</t>
  </si>
  <si>
    <t>G3</t>
  </si>
  <si>
    <t>G4</t>
  </si>
  <si>
    <t>G5</t>
  </si>
  <si>
    <t>0, 12, 96</t>
  </si>
  <si>
    <t>0, 136, 227</t>
  </si>
  <si>
    <t>0, 100, 50</t>
  </si>
  <si>
    <t>0, 176, 22</t>
  </si>
  <si>
    <t>191, 0, 0</t>
  </si>
  <si>
    <t>Top URLs in Tweet in Entire Graph</t>
  </si>
  <si>
    <t>http://transvisionmadrid.com</t>
  </si>
  <si>
    <t>https://www.youtube.com/watch?v=xb0JCOgMsXc&amp;feature=youtu.be</t>
  </si>
  <si>
    <t>https://www.youtube.com/watch?v=3JK84n-jsMU</t>
  </si>
  <si>
    <t>https://www.youtube.com/watch?v=xb0JCOgMsXc</t>
  </si>
  <si>
    <t>https://youtu.be/erkbGlWtX3Q</t>
  </si>
  <si>
    <t>https://youtube.com/c/AlianzaFuturista/streams</t>
  </si>
  <si>
    <t>https://www.linkedin.com/feed/update/urn:li:share:6997477447952674817</t>
  </si>
  <si>
    <t>https://www.abc.es/sociedad/cuatro-espanoles-reposan-congelados-espera-resucitados-20221109220843-nt.html</t>
  </si>
  <si>
    <t>https://www.europapress.es/sociedad/noticia-madrid-acoge-fin-semana-cumbre-internacional-criopreservacion-humana-20221111121558.html</t>
  </si>
  <si>
    <t>https://www.levante-emv.com/tendencias21/2022/11/12/cumbre-cientifica-inmortalidad-madrid-78418464.html</t>
  </si>
  <si>
    <t>Entire Graph Count</t>
  </si>
  <si>
    <t>Top URLs in Tweet in G1</t>
  </si>
  <si>
    <t>https://www.youtube.com/watch?v=erkbGlWtX3Q&amp;feature=youtu.be</t>
  </si>
  <si>
    <t>https://twitter.com/kgomotsegoRam/status/1591376302753607680</t>
  </si>
  <si>
    <t>https://youtu.be/xb0JCOgMsXc</t>
  </si>
  <si>
    <t>https://www.linkedin.com/feed/update/urn:li:share:6997135896437231617</t>
  </si>
  <si>
    <t>https://www.linkedin.com/feed/update/urn:li:ugcPost:6997204440164241408</t>
  </si>
  <si>
    <t>Top URLs in Tweet in G2</t>
  </si>
  <si>
    <t>G1 Count</t>
  </si>
  <si>
    <t>https://www.youtube.com/watch?v=erkbGlWtX3Q</t>
  </si>
  <si>
    <t>https://www.youtube.com/c/AlianzaFuturista/streams</t>
  </si>
  <si>
    <t>https://www.eldebate.com/salud-y-bienestar/salud/20221114/ramon-risco-criopreservacion-viable-humanos_72431.html#utm_source=rrss-comp&amp;utm_medium=wh&amp;utm_campaign=fixed-btn</t>
  </si>
  <si>
    <t>https://www.niusdiario.es/ciencia-y-tecnologia/ciencia/20221111/precio-criogenizarse-5000-euros-20-anos_18_07953883.html</t>
  </si>
  <si>
    <t>Top URLs in Tweet in G3</t>
  </si>
  <si>
    <t>G2 Count</t>
  </si>
  <si>
    <t>Top URLs in Tweet in G4</t>
  </si>
  <si>
    <t>G3 Count</t>
  </si>
  <si>
    <t>https://okdiario.com/salud/madrid-acogera-cumbre-internacional-sobre-criopreservacion-pacientes-futura-reanimacion-9945365</t>
  </si>
  <si>
    <t>https://www.linkedin.com/feed/update/urn:li:share:6997498384492191745</t>
  </si>
  <si>
    <t>Top URLs in Tweet in G5</t>
  </si>
  <si>
    <t>G4 Count</t>
  </si>
  <si>
    <t>https://www.transvisionmadrid.com/en/2022.html</t>
  </si>
  <si>
    <t>G5 Count</t>
  </si>
  <si>
    <t>Top URLs in Tweet</t>
  </si>
  <si>
    <t>https://www.youtube.com/watch?v=xb0JCOgMsXc&amp;feature=youtu.be https://youtu.be/erkbGlWtX3Q https://www.youtube.com/watch?v=xb0JCOgMsXc https://www.youtube.com/watch?v=erkbGlWtX3Q&amp;feature=youtu.be https://twitter.com/kgomotsegoRam/status/1591376302753607680 https://youtu.be/xb0JCOgMsXc https://www.linkedin.com/feed/update/urn:li:share:6997135896437231617 https://www.linkedin.com/feed/update/urn:li:ugcPost:6997204440164241408 https://www.youtube.com/watch?v=3JK84n-jsMU https://youtube.com/c/AlianzaFuturista/streams</t>
  </si>
  <si>
    <t>http://transvisionmadrid.com https://www.youtube.com/watch?v=3JK84n-jsMU https://www.youtube.com/watch?v=erkbGlWtX3Q https://www.abc.es/sociedad/cuatro-espanoles-reposan-congelados-espera-resucitados-20221109220843-nt.html https://www.youtube.com/watch?v=xb0JCOgMsXc https://www.levante-emv.com/tendencias21/2022/11/12/cumbre-cientifica-inmortalidad-madrid-78418464.html https://www.youtube.com/watch?v=xb0JCOgMsXc&amp;feature=youtu.be https://www.youtube.com/c/AlianzaFuturista/streams https://www.eldebate.com/salud-y-bienestar/salud/20221114/ramon-risco-criopreservacion-viable-humanos_72431.html#utm_source=rrss-comp&amp;utm_medium=wh&amp;utm_campaign=fixed-btn https://www.niusdiario.es/ciencia-y-tecnologia/ciencia/20221111/precio-criogenizarse-5000-euros-20-anos_18_07953883.html</t>
  </si>
  <si>
    <t>https://www.youtube.com/watch?v=xb0JCOgMsXc&amp;feature=youtu.be https://www.youtube.com/c/AlianzaFuturista/streams https://www.youtube.com/watch?v=xb0JCOgMsXc https://www.youtube.com/watch?v=3JK84n-jsMU https://youtube.com/c/AlianzaFuturista/streams https://www.linkedin.com/feed/update/urn:li:share:6997477447952674817</t>
  </si>
  <si>
    <t>http://transvisionmadrid.com https://www.youtube.com/watch?v=3JK84n-jsMU https://www.europapress.es/sociedad/noticia-madrid-acoge-fin-semana-cumbre-internacional-criopreservacion-humana-20221111121558.html https://okdiario.com/salud/madrid-acogera-cumbre-internacional-sobre-criopreservacion-pacientes-futura-reanimacion-9945365 https://www.abc.es/sociedad/cuatro-espanoles-reposan-congelados-espera-resucitados-20221109220843-nt.html https://www.youtube.com/watch?v=xb0JCOgMsXc https://youtu.be/erkbGlWtX3Q https://youtube.com/c/AlianzaFuturista/streams https://www.linkedin.com/feed/update/urn:li:share:6997477447952674817 https://www.linkedin.com/feed/update/urn:li:share:6997498384492191745</t>
  </si>
  <si>
    <t>https://www.transvisionmadrid.com/en/2022.html https://twitter.com/kgomotsegoRam/status/1591376302753607680 https://youtube.com/c/AlianzaFuturista/streams https://www.linkedin.com/feed/update/urn:li:share:6997477447952674817 http://transvisionmadrid.com</t>
  </si>
  <si>
    <t>Top Domains in Tweet in Entire Graph</t>
  </si>
  <si>
    <t>Top Domains in Tweet in G1</t>
  </si>
  <si>
    <t>Top Domains in Tweet in G2</t>
  </si>
  <si>
    <t>Top Domains in Tweet in G3</t>
  </si>
  <si>
    <t>Top Domains in Tweet in G4</t>
  </si>
  <si>
    <t>Top Domains in Tweet in G5</t>
  </si>
  <si>
    <t>Top Domains in Tweet</t>
  </si>
  <si>
    <t>youtube.com youtu.be linkedin.com twitter.com transvisionmadrid.com locomunicas.es europapress.es</t>
  </si>
  <si>
    <t>youtube.com transvisionmadrid.com abc.es levante-emv.com youtu.be linkedin.com eldebate.com niusdiario.es europapress.es okdiario.com</t>
  </si>
  <si>
    <t>transvisionmadrid.com linkedin.com youtube.com europapress.es youtu.be okdiario.com abc.es eldebate.com levante-emv.com niusdiario.es</t>
  </si>
  <si>
    <t>transvisionmadrid.com twitter.com youtube.com linkedin.com</t>
  </si>
  <si>
    <t>Top Hashtags in Tweet in Entire Graph</t>
  </si>
  <si>
    <t>bfr</t>
  </si>
  <si>
    <t>youtube</t>
  </si>
  <si>
    <t>future</t>
  </si>
  <si>
    <t>humanity</t>
  </si>
  <si>
    <t>_xD835__xDDE7__xD835__xDDFF__xD835__xDDEE__xD835__xDDFB__xD835__xDE00__xD835__xDDE9__xD835__xDDF6__xD835__xDE00__xD835__xDDF6__xD835__xDDFC__xD835__xDDFB_</t>
  </si>
  <si>
    <t>streaming</t>
  </si>
  <si>
    <t>biostasis</t>
  </si>
  <si>
    <t>futuro</t>
  </si>
  <si>
    <t>Top Hashtags in Tweet in G1</t>
  </si>
  <si>
    <t>ciencia</t>
  </si>
  <si>
    <t>longevity</t>
  </si>
  <si>
    <t>spain</t>
  </si>
  <si>
    <t>Top Hashtags in Tweet in G2</t>
  </si>
  <si>
    <t>Top Hashtags in Tweet in G3</t>
  </si>
  <si>
    <t>Top Hashtags in Tweet in G4</t>
  </si>
  <si>
    <t>tecnologia</t>
  </si>
  <si>
    <t>Top Hashtags in Tweet in G5</t>
  </si>
  <si>
    <t>Top Hashtags in Tweet</t>
  </si>
  <si>
    <t>transvisionmadrid youtube bfr biostasis streaming futuro ciencia madrid longevity spain</t>
  </si>
  <si>
    <t>transvisionmadrid bfr _xD835__xDDE7__xD835__xDDFF__xD835__xDDEE__xD835__xDDFB__xD835__xDE00__xD835__xDDE9__xD835__xDDF6__xD835__xDE00__xD835__xDDF6__xD835__xDDFC__xD835__xDDFB_ future humanity youtube streaming biostasis madrid ciencia</t>
  </si>
  <si>
    <t>transvisionmadrid youtube bfr spain biostasis futuro ciencia madrid longevity streaming</t>
  </si>
  <si>
    <t>transvisionmadrid bfr future humanity _xD835__xDDE7__xD835__xDDFF__xD835__xDDEE__xD835__xDDFB__xD835__xDE00__xD835__xDDE9__xD835__xDDF6__xD835__xDE00__xD835__xDDF6__xD835__xDDFC__xD835__xDDFB_ futuro streaming tecnologia madrid youtube</t>
  </si>
  <si>
    <t>transvisionmadrid bfr spain youtube _xD835__xDDE7__xD835__xDDFF__xD835__xDDEE__xD835__xDDFB__xD835__xDE00__xD835__xDDE9__xD835__xDDF6__xD835__xDE00__xD835__xDDF6__xD835__xDDFC__xD835__xDDFB_ future humanity</t>
  </si>
  <si>
    <t>Top Words in Tweet in Entire Graph</t>
  </si>
  <si>
    <t>#transvisionmadrid</t>
  </si>
  <si>
    <t>#bfr</t>
  </si>
  <si>
    <t>training</t>
  </si>
  <si>
    <t>first</t>
  </si>
  <si>
    <t>response</t>
  </si>
  <si>
    <t>#youtube</t>
  </si>
  <si>
    <t>13</t>
  </si>
  <si>
    <t>next</t>
  </si>
  <si>
    <t>Top Words in Tweet in G1</t>
  </si>
  <si>
    <t>estamos</t>
  </si>
  <si>
    <t>directo</t>
  </si>
  <si>
    <t>Top Words in Tweet in G2</t>
  </si>
  <si>
    <t>#</t>
  </si>
  <si>
    <t>host</t>
  </si>
  <si>
    <t>Top Words in Tweet in G3</t>
  </si>
  <si>
    <t>ramon</t>
  </si>
  <si>
    <t>desde</t>
  </si>
  <si>
    <t>Top Words in Tweet in G4</t>
  </si>
  <si>
    <t>Top Words in Tweet in G5</t>
  </si>
  <si>
    <t>looking</t>
  </si>
  <si>
    <t>changes</t>
  </si>
  <si>
    <t>serious</t>
  </si>
  <si>
    <t>venue</t>
  </si>
  <si>
    <t>reached</t>
  </si>
  <si>
    <t>anticipating</t>
  </si>
  <si>
    <t>attitudes</t>
  </si>
  <si>
    <t>Top Words in Tweet</t>
  </si>
  <si>
    <t>#transvisionmadrid #youtube estamos biostasis directo #bfr natashavitamore first paulspiegel bfr</t>
  </si>
  <si>
    <t>#transvisionmadrid training biostasis first #bfr response madrid next # host</t>
  </si>
  <si>
    <t>#transvisionmadrid #youtube estamos natashavitamore ieuropeo cordeiro directo paulspiegel ramon desde</t>
  </si>
  <si>
    <t>#transvisionmadrid biostasis #bfr training madrid first response 13 next host</t>
  </si>
  <si>
    <t>#transvisionmadrid looking biostasis changes serious venue reached anticipating training attitudes</t>
  </si>
  <si>
    <t>Top Word Pairs in Tweet in Entire Graph</t>
  </si>
  <si>
    <t>biostasis,first</t>
  </si>
  <si>
    <t>first,response</t>
  </si>
  <si>
    <t>#bfr,training</t>
  </si>
  <si>
    <t>#transvisionmadrid,biostasis</t>
  </si>
  <si>
    <t>response,#bfr</t>
  </si>
  <si>
    <t>13,madrid</t>
  </si>
  <si>
    <t>host,next</t>
  </si>
  <si>
    <t>madrid,host</t>
  </si>
  <si>
    <t>12,13</t>
  </si>
  <si>
    <t>#,#future</t>
  </si>
  <si>
    <t>Top Word Pairs in Tweet in G1</t>
  </si>
  <si>
    <t>#transvisionmadrid,estamos</t>
  </si>
  <si>
    <t>hablamos,#biostasis</t>
  </si>
  <si>
    <t>#ciencia,gracias</t>
  </si>
  <si>
    <t>gracias,apoyo</t>
  </si>
  <si>
    <t>training,#youtube</t>
  </si>
  <si>
    <t>directo,#youtube</t>
  </si>
  <si>
    <t>cordeiro,natashavitamore</t>
  </si>
  <si>
    <t>Top Word Pairs in Tweet in G2</t>
  </si>
  <si>
    <t>#future,#humanity</t>
  </si>
  <si>
    <t>next,#</t>
  </si>
  <si>
    <t>Top Word Pairs in Tweet in G3</t>
  </si>
  <si>
    <t>ramon,tamames</t>
  </si>
  <si>
    <t>ieuropeo,javiercremades</t>
  </si>
  <si>
    <t>cordeiro,ramon</t>
  </si>
  <si>
    <t>directo,vía</t>
  </si>
  <si>
    <t>paulspiegel,natashavitamore</t>
  </si>
  <si>
    <t>vía,#youtube</t>
  </si>
  <si>
    <t>estamos,comenzando</t>
  </si>
  <si>
    <t>javiercremades,cordeiro</t>
  </si>
  <si>
    <t>tamames,síguelo</t>
  </si>
  <si>
    <t>Top Word Pairs in Tweet in G4</t>
  </si>
  <si>
    <t>Top Word Pairs in Tweet in G5</t>
  </si>
  <si>
    <t>venue,looking</t>
  </si>
  <si>
    <t>looking,serious</t>
  </si>
  <si>
    <t>#transvisionmadrid,venue</t>
  </si>
  <si>
    <t>reached,#transvisionmadrid</t>
  </si>
  <si>
    <t>accelerating,adoption</t>
  </si>
  <si>
    <t>presentation,#transvisionmadrid</t>
  </si>
  <si>
    <t>changes,soon</t>
  </si>
  <si>
    <t>#transvisionmadrid,saturday</t>
  </si>
  <si>
    <t>forthcoming,technological</t>
  </si>
  <si>
    <t>saturday,anticipating</t>
  </si>
  <si>
    <t>Top Word Pairs in Tweet</t>
  </si>
  <si>
    <t>#transvisionmadrid,estamos  #transvisionmadrid,biostasis  first,response  biostasis,first  hablamos,#biostasis  #ciencia,gracias  gracias,apoyo  training,#youtube  directo,#youtube  cordeiro,natashavitamore</t>
  </si>
  <si>
    <t>first,response  biostasis,first  #bfr,training  #transvisionmadrid,biostasis  #future,#humanity  response,#bfr  host,next  12,13  next,#  madrid,host</t>
  </si>
  <si>
    <t>#transvisionmadrid,estamos  ramon,tamames  ieuropeo,javiercremades  cordeiro,ramon  directo,vía  paulspiegel,natashavitamore  vía,#youtube  estamos,comenzando  javiercremades,cordeiro  tamames,síguelo</t>
  </si>
  <si>
    <t>#bfr,training  biostasis,first  first,response  #transvisionmadrid,biostasis  response,#bfr  13,madrid  host,next  madrid,host  12,13  #,#future</t>
  </si>
  <si>
    <t>venue,looking  looking,serious  #transvisionmadrid,venue  reached,#transvisionmadrid  accelerating,adoption  presentation,#transvisionmadrid  changes,soon  #transvisionmadrid,saturday  forthcoming,technological  saturday,anticipating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</si>
  <si>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</si>
  <si>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</si>
  <si>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</si>
  <si>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</si>
  <si>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</si>
  <si>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</si>
  <si>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</si>
  <si>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</si>
  <si>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</si>
  <si>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</si>
  <si>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</si>
  <si>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</si>
  <si>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</si>
  <si>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</si>
  <si>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paulspiegel natashavitamore cordeiro ieuropeo dmdima_com lcomunicas adsdulantoscott rosanaribera elpoderdecurar humanityplus</t>
  </si>
  <si>
    <t>natashavitamore cordeiro paulspiegel aubreydegrey dw2 ieuropeo javiercremades niusdiario transvisionmad1 dmdima_com</t>
  </si>
  <si>
    <t>ieuropeo cordeiro natashavitamore paulspiegel javiercremades dmdima_com lcomunicas adsdulantoscott rosanaribera elpoderdecurar</t>
  </si>
  <si>
    <t>aubreydegrey paulspiegel javiercremades</t>
  </si>
  <si>
    <t>Top Tweeters in Entire Graph</t>
  </si>
  <si>
    <t>Top Tweeters in G1</t>
  </si>
  <si>
    <t>Top Tweeters in G2</t>
  </si>
  <si>
    <t>Top Tweeters in G3</t>
  </si>
  <si>
    <t>Top Tweeters in G4</t>
  </si>
  <si>
    <t>Top Tweeters in G5</t>
  </si>
  <si>
    <t>Top Tweeters</t>
  </si>
  <si>
    <t>paoloigna1 iosu_blanco hashtagmarketi7 angelninoq rosanaribera daya1angel vinitra5 dmdima_com elpoderdecurar humanityplus</t>
  </si>
  <si>
    <t>frcretweets niusdiario chris_armstrong gul_insidious ikechukwuebere8 piroworldwide aubreydegrey transvisionmad1 thcbc_nft</t>
  </si>
  <si>
    <t>adsdulantoscott larkkarles ieuropeo javiercremades paulspiegel natashavitamore</t>
  </si>
  <si>
    <t>augustofenollar cordeiro carlesvillapla1 martin_heyam elultimosapiens</t>
  </si>
  <si>
    <t>peterxing dw2 kgomotsegoram steelearcher</t>
  </si>
  <si>
    <t>Top URLs in Tweet by Count</t>
  </si>
  <si>
    <t>http://transvisionmadrid.com https://www.youtube.com/watch?v=3JK84n-jsMU https://okdiario.com/salud/madrid-acogera-cumbre-internacional-sobre-criopreservacion-pacientes-futura-reanimacion-9945365 https://youtu.be/erkbGlWtX3Q https://www.youtube.com/watch?v=xb0JCOgMsXc https://www.europapress.es/sociedad/noticia-madrid-acoge-fin-semana-cumbre-internacional-criopreservacion-humana-20221111121558.html https://www.linkedin.com/feed/update/urn:li:share:6997498384492191745 https://youtu.be/xb0JCOgMsXc https://www.linkedin.com/feed/update/urn:li:share:6997135896437231617 https://www.cuatro.com/horizonte/20221110/ambulancias-futuro-criopreservar-cuerpos-asi-son_18_07948877.html</t>
  </si>
  <si>
    <t>https://www.youtube.com/watch?v=3JK84n-jsMU https://www.youtube.com/c/AlianzaFuturista/streams https://www.youtube.com/watch?v=xb0JCOgMsXc&amp;feature=youtu.be https://youtube.com/c/AlianzaFuturista/streams https://www.linkedin.com/feed/update/urn:li:share:6997477447952674817</t>
  </si>
  <si>
    <t>http://transvisionmadrid.com https://www.youtube.com/watch?v=erkbGlWtX3Q https://www.youtube.com/watch?v=3JK84n-jsMU https://www.youtube.com/watch?v=xb0JCOgMsXc https://www.youtube.com/watch?v=xb0JCOgMsXc&amp;feature=youtu.be https://www.eldebate.com/salud-y-bienestar/salud/20221114/ramon-risco-criopreservacion-viable-humanos_72431.html#utm_source=rrss-comp&amp;utm_medium=wh&amp;utm_campaign=fixed-btn https://www.levante-emv.com/tendencias21/2022/11/12/cumbre-cientifica-inmortalidad-madrid-78418464.html https://www.youtube.com/c/AlianzaFuturista/streams https://www.abc.es/sociedad/cuatro-espanoles-reposan-congelados-espera-resucitados-20221109220843-nt.html https://www.niusdiario.es/ciencia-y-tecnologia/ciencia/20221111/precio-criogenizarse-5000-euros-20-anos_18_07953883.html</t>
  </si>
  <si>
    <t>https://www.youtube.com/watch?v=xb0JCOgMsXc&amp;feature=youtu.be https://www.linkedin.com/feed/update/urn:li:share:6997145306941296640 https://www.youtube.com/watch?v=xb0JCOgMsXc https://www.europapress.es/sociedad/noticia-madrid-acoge-fin-semana-cumbre-internacional-criopreservacion-humana-20221111121558.html</t>
  </si>
  <si>
    <t>https://www.locomunicas.es/cumbre-internacional/</t>
  </si>
  <si>
    <t>https://www.youtube.com/watch?v=xb0JCOgMsXc&amp;feature=youtu.be https://www.youtube.com/c/AlianzaFuturista/streams https://www.youtube.com/watch?v=xb0JCOgMsXc</t>
  </si>
  <si>
    <t>https://youtu.be/erkbGlWtX3Q https://www.youtube.com/watch?v=xb0JCOgMsXc https://www.youtube.com/watch?v=xb0JCOgMsXc&amp;feature=youtu.be https://twitter.com/kgomotsegoRam/status/1591376302753607680 https://youtube.com/c/AlianzaFuturista/streams https://www.linkedin.com/feed/update/urn:li:share:6997477447952674817 https://www.youtube.com/watch?v=3JK84n-jsMU https://www.linkedin.com/feed/update/urn:li:ugcPost:6997204440164241408 https://youtu.be/xb0JCOgMsXc https://www.linkedin.com/feed/update/urn:li:share:6997135896437231617</t>
  </si>
  <si>
    <t>https://www.youtube.com/watch?v=erkbGlWtX3Q&amp;feature=youtu.be https://www.youtube.com/watch?v=xb0JCOgMsXc&amp;feature=youtu.be</t>
  </si>
  <si>
    <t>https://youtube.com/c/AlianzaFuturista/streams https://www.linkedin.com/feed/update/urn:li:share:6997477447952674817 https://www.transvisionmadrid.com/en/2022.html http://transvisionmadrid.com</t>
  </si>
  <si>
    <t>http://transvisionmadrid.com https://www.youtube.com/watch?v=xb0JCOgMsXc&amp;feature=youtu.be</t>
  </si>
  <si>
    <t>https://www.youtube.com/watch?v=3JK84n-jsMU http://transvisionmadrid.com</t>
  </si>
  <si>
    <t>Top URLs in Tweet by Salience</t>
  </si>
  <si>
    <t>http://transvisionmadrid.com https://www.youtube.com/watch?v=3JK84n-jsMU https://www.youtube.com/watch?v=xb0JCOgMsXc https://okdiario.com/salud/madrid-acogera-cumbre-internacional-sobre-criopreservacion-pacientes-futura-reanimacion-9945365 https://youtu.be/erkbGlWtX3Q https://www.europapress.es/sociedad/noticia-madrid-acoge-fin-semana-cumbre-internacional-criopreservacion-humana-20221111121558.html https://www.levante-emv.com/tendencias21/2022/11/12/cumbre-cientifica-inmortalidad-madrid-78418464.html https://youtu.be/xb0JCOgMsXc https://www.cuatro.com/horizonte/20221110/ambulancias-futuro-criopreservar-cuerpos-asi-son_18_07948877.html https://www.eldebate.com/salud-y-bienestar/salud/20221114/ramon-risco-criopreservacion-viable-humanos_72431.html#utm_source=rrss-comp&amp;utm_medium=wh&amp;utm_campaign=fixed-btn</t>
  </si>
  <si>
    <t>https://www.youtube.com/c/AlianzaFuturista/streams https://youtube.com/c/AlianzaFuturista/streams https://www.youtube.com/watch?v=xb0JCOgMsXc&amp;feature=youtu.be https://www.youtube.com/watch?v=3JK84n-jsMU https://www.linkedin.com/feed/update/urn:li:share:6997477447952674817</t>
  </si>
  <si>
    <t>http://transvisionmadrid.com https://www.youtube.com/watch?v=erkbGlWtX3Q https://www.youtube.com/watch?v=xb0JCOgMsXc https://www.youtube.com/watch?v=3JK84n-jsMU https://www.levante-emv.com/tendencias21/2022/11/12/cumbre-cientifica-inmortalidad-madrid-78418464.html https://www.eldebate.com/salud-y-bienestar/salud/20221114/ramon-risco-criopreservacion-viable-humanos_72431.html#utm_source=rrss-comp&amp;utm_medium=wh&amp;utm_campaign=fixed-btn https://www.youtube.com/watch?v=xb0JCOgMsXc&amp;feature=youtu.be https://www.abc.es/sociedad/cuatro-espanoles-reposan-congelados-espera-resucitados-20221109220843-nt.html https://www.youtube.com/c/AlianzaFuturista/streams https://youtu.be/xb0JCOgMsXc</t>
  </si>
  <si>
    <t>https://www.youtube.com/watch?v=xb0JCOgMsXc https://www.youtube.com/watch?v=xb0JCOgMsXc&amp;feature=youtu.be https://www.linkedin.com/feed/update/urn:li:share:6997145306941296640 https://www.europapress.es/sociedad/noticia-madrid-acoge-fin-semana-cumbre-internacional-criopreservacion-humana-20221111121558.html</t>
  </si>
  <si>
    <t>https://www.youtube.com/watch?v=xb0JCOgMsXc https://www.youtube.com/watch?v=xb0JCOgMsXc&amp;feature=youtu.be https://youtu.be/erkbGlWtX3Q https://twitter.com/kgomotsegoRam/status/1591376302753607680 https://youtube.com/c/AlianzaFuturista/streams https://www.youtube.com/watch?v=3JK84n-jsMU https://youtu.be/xb0JCOgMsXc https://www.linkedin.com/feed/update/urn:li:ugcPost:6997204440164241408 https://www.linkedin.com/feed/update/urn:li:share:6997477447952674817 https://www.youtube.com/watch?v=erkbGlWtX3Q&amp;feature=youtu.be</t>
  </si>
  <si>
    <t>https://www.youtube.com/watch?v=xb0JCOgMsXc&amp;feature=youtu.be https://www.youtube.com/watch?v=erkbGlWtX3Q&amp;feature=youtu.be</t>
  </si>
  <si>
    <t>https://youtube.com/c/AlianzaFuturista/streams https://www.transvisionmadrid.com/en/2022.html http://transvisionmadrid.com https://www.linkedin.com/feed/update/urn:li:share:6997477447952674817</t>
  </si>
  <si>
    <t>https://www.youtube.com/watch?v=xb0JCOgMsXc&amp;feature=youtu.be http://transvisionmadrid.com</t>
  </si>
  <si>
    <t>Top Domains in Tweet by Count</t>
  </si>
  <si>
    <t>transvisionmadrid.com linkedin.com youtube.com youtu.be eldebate.com okdiario.com europapress.es cuatro.com epe.es institutoeuropeo.es</t>
  </si>
  <si>
    <t>youtube.com transvisionmadrid.com youtu.be eldebate.com linkedin.com levante-emv.com abc.es niusdiario.es twitter.com locomunicas.es</t>
  </si>
  <si>
    <t>youtube.com linkedin.com europapress.es</t>
  </si>
  <si>
    <t>youtube.com youtu.be linkedin.com twitter.com</t>
  </si>
  <si>
    <t>transvisionmadrid.com youtube.com linkedin.com</t>
  </si>
  <si>
    <t>transvisionmadrid.com youtube.com</t>
  </si>
  <si>
    <t>youtube.com transvisionmadrid.com</t>
  </si>
  <si>
    <t>Top Domains in Tweet by Salience</t>
  </si>
  <si>
    <t>transvisionmadrid.com linkedin.com youtube.com youtu.be europapress.es eldebate.com okdiario.com abc.es cuatro.com levante-emv.com</t>
  </si>
  <si>
    <t>youtube.com transvisionmadrid.com abc.es linkedin.com levante-emv.com youtu.be eldebate.com twitter.com locomunicas.es niusdiario.es</t>
  </si>
  <si>
    <t>linkedin.com europapress.es youtube.com</t>
  </si>
  <si>
    <t>linkedin.com youtu.be youtube.com twitter.com</t>
  </si>
  <si>
    <t>linkedin.com youtube.com transvisionmadrid.com</t>
  </si>
  <si>
    <t>Top Hashtags in Tweet by Count</t>
  </si>
  <si>
    <t>transvisionmadrid bfr future humanity _xD835__xDDE7__xD835__xDDFF__xD835__xDDEE__xD835__xDDFB__xD835__xDE00__xD835__xDDE9__xD835__xDDF6__xD835__xDE00__xD835__xDDF6__xD835__xDDFC__xD835__xDDFB_ futuro streaming youtube lamuertedelamuerte tecnologia</t>
  </si>
  <si>
    <t>transvisionmadrid youtube bfr spain longevity biostasis streaming</t>
  </si>
  <si>
    <t>transvisionmadrid bfr youtube _xD835__xDDE7__xD835__xDDFF__xD835__xDDEE__xD835__xDDFB__xD835__xDE00__xD835__xDDE9__xD835__xDDF6__xD835__xDE00__xD835__xDDF6__xD835__xDDFC__xD835__xDDFB_ future humanity streaming biostasis madrid futuro</t>
  </si>
  <si>
    <t>transvisionmadrid madrid biostasis bfr futuro ciencia</t>
  </si>
  <si>
    <t>transvisionmadrid youtube bfr biostasis futuro ciencia spain madrid</t>
  </si>
  <si>
    <t>transvisionmadrid youtube streaming bfr biostasis spain longevity madrid futuro ciencia</t>
  </si>
  <si>
    <t>transvisionmadrid youtube biostasis bfr futuro ciencia</t>
  </si>
  <si>
    <t>transvisionmadrid bfr _xD835__xDDE7__xD835__xDDFF__xD835__xDDEE__xD835__xDDFB__xD835__xDE00__xD835__xDDE9__xD835__xDDF6__xD835__xDE00__xD835__xDDF6__xD835__xDDFC__xD835__xDDFB_ future humanity biostasis futuro ciencia</t>
  </si>
  <si>
    <t>transvisionmadrid longevity biostasis streaming bfr _xD835__xDDE7__xD835__xDDFF__xD835__xDDEE__xD835__xDDFB__xD835__xDE00__xD835__xDDE9__xD835__xDDF6__xD835__xDE00__xD835__xDDF6__xD835__xDDFC__xD835__xDDFB_ future humanity</t>
  </si>
  <si>
    <t>Top Hashtags in Tweet by Salience</t>
  </si>
  <si>
    <t>humanity future _xD835__xDDE7__xD835__xDDFF__xD835__xDDEE__xD835__xDDFB__xD835__xDE00__xD835__xDDE9__xD835__xDDF6__xD835__xDE00__xD835__xDDF6__xD835__xDDFC__xD835__xDDFB_ bfr futuro youtube streaming tecnologia madrid lamuertedelamuerte</t>
  </si>
  <si>
    <t>futuro transvisionmadrid tecnologia criopreservación transvision ciencia</t>
  </si>
  <si>
    <t>bfr spain youtube longevity biostasis streaming transvisionmadrid</t>
  </si>
  <si>
    <t>bfr youtube _xD835__xDDE7__xD835__xDDFF__xD835__xDDEE__xD835__xDDFB__xD835__xDE00__xD835__xDDE9__xD835__xDDF6__xD835__xDE00__xD835__xDDF6__xD835__xDDFC__xD835__xDDFB_ humanity future streaming biostasis madrid futuro ciencia</t>
  </si>
  <si>
    <t>futuro bfr biostasis ciencia madrid transvisionmadrid</t>
  </si>
  <si>
    <t>longevidad bfr madrid transvisionmadrid biostasis transvision criopreservación futurefastforward</t>
  </si>
  <si>
    <t>bfr futuro madrid biostasis ciencia spain youtube transvisionmadrid</t>
  </si>
  <si>
    <t>streaming youtube bfr biostasis futuro madrid longevity ciencia spain transvisionmadrid</t>
  </si>
  <si>
    <t>futuro bfr biostasis youtube ciencia transvisionmadrid</t>
  </si>
  <si>
    <t>bfr humanity future youtube spain _xD835__xDDE7__xD835__xDDFF__xD835__xDDEE__xD835__xDDFB__xD835__xDE00__xD835__xDDE9__xD835__xDDF6__xD835__xDE00__xD835__xDDF6__xD835__xDDFC__xD835__xDDFB_ transvisionmadrid</t>
  </si>
  <si>
    <t>bfr humanity transvisionmadrid future _xD835__xDDE7__xD835__xDDFF__xD835__xDDEE__xD835__xDDFB__xD835__xDE00__xD835__xDDE9__xD835__xDDF6__xD835__xDE00__xD835__xDDF6__xD835__xDDFC__xD835__xDDFB_</t>
  </si>
  <si>
    <t>longevity transvisionmadrid biostasis streaming</t>
  </si>
  <si>
    <t>futuro humanity biostasis future ciencia _xD835__xDDE7__xD835__xDDFF__xD835__xDDEE__xD835__xDDFB__xD835__xDE00__xD835__xDDE9__xD835__xDDF6__xD835__xDE00__xD835__xDDF6__xD835__xDDFC__xD835__xDDFB_ bfr transvisionmadrid</t>
  </si>
  <si>
    <t>bfr transvisionmadrid youtube spain</t>
  </si>
  <si>
    <t>bfr humanity longevity future biostasis streaming _xD835__xDDE7__xD835__xDDFF__xD835__xDDEE__xD835__xDDFB__xD835__xDE00__xD835__xDDE9__xD835__xDDF6__xD835__xDE00__xD835__xDDF6__xD835__xDDFC__xD835__xDDFB_ transvisionmadrid</t>
  </si>
  <si>
    <t>inmortalidad lamuertedelamuerte madrid transvisionmadrid</t>
  </si>
  <si>
    <t>Top Words in Tweet by Count</t>
  </si>
  <si>
    <t>humana una semana #madrid este criopreservación fin acoge sobre internacional</t>
  </si>
  <si>
    <t>la de biostasis #bfr training madrid first response 13 next</t>
  </si>
  <si>
    <t>reached serious venue looking</t>
  </si>
  <si>
    <t>biostasis changes anticipating attitudes patient looking technological visiting serious soon</t>
  </si>
  <si>
    <t>de la años ser #ciencia compañías #tecnologia #criopreservación en #transvision</t>
  </si>
  <si>
    <t>estamos tamames vía ramon ya en paulspiegel directo el natashavitamore</t>
  </si>
  <si>
    <t>#youtube netherlands united first switzerland smaller organized events training #spain</t>
  </si>
  <si>
    <t>la de training biostasis first #bfr en response madrid #youtube</t>
  </si>
  <si>
    <t>la sobre de #madrid estamos en semana inmortalidad científicos técnicas</t>
  </si>
  <si>
    <t>along netherlands ambulance biostasis dummy visiting patient</t>
  </si>
  <si>
    <t>la pacientes cumbre #bfr #biostasis que permitirá #longevidad este enfoque</t>
  </si>
  <si>
    <t>en la #youtube estamos de el ieuropeo directo natashavitamore #bfr</t>
  </si>
  <si>
    <t>en #youtube directo estamos la biostasis de natashavitamore first paulspiegel</t>
  </si>
  <si>
    <t>por natashavitamore ujtdzkw3ao enlace ieuropeo https #youtube gracias evento dw2</t>
  </si>
  <si>
    <t>bfr training #streaming biostasis response first #youtube</t>
  </si>
  <si>
    <t>first training biostasis changes #bfr united madrid 12 soon #</t>
  </si>
  <si>
    <t>response ramón biostasis november 13 #humanity host next # risco</t>
  </si>
  <si>
    <t>last talking #longevity #streaming day now #biostasis aubreydegrey</t>
  </si>
  <si>
    <t>#bfr ieuropeo training dmdima_com dw2 #futuro natashavitamore response november biostasis</t>
  </si>
  <si>
    <t>videos similar #spain #bfr switzerland #youtube events training organized netherlands</t>
  </si>
  <si>
    <t>talking #longevity #streaming #biostasis</t>
  </si>
  <si>
    <t>training talking response november #bfr biostasis #biostasis host 13 #</t>
  </si>
  <si>
    <t>la de sobre tiempo científica con ser mucho en debate</t>
  </si>
  <si>
    <t>reached serious kgomotsegoram welcome venue looking</t>
  </si>
  <si>
    <t>Top Words in Tweet by Salience</t>
  </si>
  <si>
    <t>la de en biostasis sobre training next host #humanity #future</t>
  </si>
  <si>
    <t>changes anticipating attitudes patient looking technological visiting serious soon accelerating</t>
  </si>
  <si>
    <t>united first switzerland smaller organized events training #spain #bfr kingdom</t>
  </si>
  <si>
    <t>la de en sobre response #bfr directo madrid first training</t>
  </si>
  <si>
    <t>la estamos en sobre de semana inmortalidad científicos técnicas frío</t>
  </si>
  <si>
    <t>la de sobre en estamos el ieuropeo directo natashavitamore #bfr</t>
  </si>
  <si>
    <t>la en directo estamos de sobre biostasis natashavitamore first paulspiegel</t>
  </si>
  <si>
    <t>natashavitamore ujtdzkw3ao enlace ieuropeo https #youtube gracias evento dw2 t</t>
  </si>
  <si>
    <t>changes first training biostasis #bfr united madrid 12 soon #</t>
  </si>
  <si>
    <t>ieuropeo training dmdima_com dw2 #futuro natashavitamore response november biostasis #biostasis</t>
  </si>
  <si>
    <t>Top Word Pairs in Tweet by Count</t>
  </si>
  <si>
    <t>#transvisionmadrid,sobre  criopreservación,humana  acoge,este  internacional,#transvisionmadrid  #madrid,acoge  una,cumbre  de,semana  semana,una  fin,de  sobre,criopreservación</t>
  </si>
  <si>
    <t>biostasis,first  first,response  #transvisionmadrid,biostasis  #bfr,training  host,next  response,#bfr  13,madrid  madrid,host  12,13  next,#</t>
  </si>
  <si>
    <t>reached,#transvisionmadrid  looking,serious  venue,looking  #transvisionmadrid,venue</t>
  </si>
  <si>
    <t>saturday,anticipating  patient,visiting  forthcoming,technological  accelerating,adoption  public,attitudes  reached,#transvisionmadrid  wide,changes  biostasis,forthcoming  anticipating,accelerating  #transvisionmadrid,saturday</t>
  </si>
  <si>
    <t>españoles,reposan  viven,un  'resucitados',de  4,españoles  la,#ciencia  de,ser  ser,'resucitados'  extraordinario,crecimiento  crecimiento,estos  mientras,retan</t>
  </si>
  <si>
    <t>el,ieuropeo  ya,comenzando  #transvisionmadrid,estamos  ieuropeo,javiercremades  cordeiro,ramon  javiercremades,cordeiro  estamos,ya  síguelo,en  ramon,tamames  paulspiegel,natashavitamore</t>
  </si>
  <si>
    <t>events,germany  germany,netherlands  first,#bfr  organized,#spain  united,kingdom  netherlands,switzerland  smaller,similar  #spain,smaller  #transvisionmadrid,first  #bfr,training</t>
  </si>
  <si>
    <t>biostasis,first  first,response  #bfr,training  #transvisionmadrid,biostasis  12,13  next,#  #,#future  host,next  response,#bfr  13,madrid</t>
  </si>
  <si>
    <t>sobre,la  de,la  humanityplus,cordeiro  y,biostasis  cumbre,internacional  aubreydegrey,paulspiegel  una,cumbre  por,el  fin,de  paulspiegel,angelninoq</t>
  </si>
  <si>
    <t>along,dummy  dummy,patient  visiting,#transvisionmadrid  biostasis,ambulance  patient,visiting  netherlands,along  ambulance,netherlands</t>
  </si>
  <si>
    <t>#transvision,#transvisionmadrid  para,su  permitirá,la  que,permitirá  la,cumbre  su,futura  futura,reanimación  internacional,transvisionmad1  finde,la  la,#biostasis</t>
  </si>
  <si>
    <t>#transvisionmadrid,estamos  en,directo  sobre,la  hablamos,#biostasis  frío,para  #ciencia,gracias  germany,netherlands  #transvisionmadrid,first  por,el  ramon,tamames</t>
  </si>
  <si>
    <t>en,directo  #transvisionmadrid,estamos  ramon,tamames  training,#youtube  estamos,ya  https,t  #youtube,#streaming  sobre,la  ya,comenzando  bfr,training</t>
  </si>
  <si>
    <t>humanityplus,cordeiro  #youtube,https  aubreydegrey,paulspiegel  por,el  paulspiegel,angelninoq  el,apoyo  co,ujtdzkw3ao  #biostasis,#bfr  apoyo,dmdima_com  directo,por</t>
  </si>
  <si>
    <t>training,#youtube  #transvisionmadrid,biostasis  biostasis,first  response,bfr  first,response  bfr,training  #youtube,#streaming</t>
  </si>
  <si>
    <t>#bfr,training  events,germany  response,#bfr  accelerating,adoption  #future,#humanity  presentation,#transvisionmadrid  germany,netherlands  changes,soon  venue,looking  #transvisionmadrid,saturday</t>
  </si>
  <si>
    <t>madrid,host  #future,#humanity  training,ramón  #,#future  12,13  risco,november  first,response  november,12  host,next  #transvisionmadrid,biostasis</t>
  </si>
  <si>
    <t>#longevity,#biostasis  last,day  #transvisionmadrid,#streaming  #biostasis,last  now,aubreydegrey  day,#transvisionmadrid  talking,#longevity  aubreydegrey,talking</t>
  </si>
  <si>
    <t>response,#bfr  #biostasis,#bfr  paulspiegel,angelninoq  apoyo,dmdima_com  #future,#humanity  12,13  host,next  13,madrid  el,apoyo  next,#</t>
  </si>
  <si>
    <t>kingdom,videos  #transvisionmadrid,first  events,germany  germany,netherlands  netherlands,switzerland  smaller,similar  united,kingdom  organized,#spain  training,organized  first,#bfr</t>
  </si>
  <si>
    <t>#biostasis,#transvisionmadrid  #longevity,#biostasis  #transvisionmadrid,#streaming  talking,#longevity</t>
  </si>
  <si>
    <t>ben,best  #transvisionmadrid,biostasis  #future,#humanity  response,#bfr  #,#future  biostasis,first  host,next  12,13  training,ben  madrid,host</t>
  </si>
  <si>
    <t>sobre,la  extremo,para  tiempo,después  técnicas,de  científica,sobre  frío,extremo  vida,con  mucho,tiempo  la,#inmortalidad  de,la</t>
  </si>
  <si>
    <t>reached,#transvisionmadrid  looking,serious  venue,looking  welcome,#transvisionmadrid  #transvisionmadrid,venue  #transvisionmadrid,kgomotsegoram</t>
  </si>
  <si>
    <t>Top Word Pairs in Tweet by Salience</t>
  </si>
  <si>
    <t>host,next  response,#bfr  13,madrid  madrid,host  12,13  next,#  #,#future  #future,#humanity  #transvisionmadrid,biostasis  #bfr,training</t>
  </si>
  <si>
    <t>sobre,la  biostasis,first  first,response  en,directo  #bfr,training  #transvisionmadrid,biostasis  12,13  next,#  #,#future  host,next</t>
  </si>
  <si>
    <t>sobre,la  #transvisionmadrid,estamos  en,directo  hablamos,#biostasis  frío,para  #ciencia,gracias  germany,netherlands  #transvisionmadrid,first  por,el  ramon,tamames</t>
  </si>
  <si>
    <t>en,directo  sobre,la  #transvisionmadrid,estamos  ramon,tamames  training,#youtube  estamos,ya  https,t  #youtube,#streaming  ya,comenzando  bfr,training</t>
  </si>
  <si>
    <t>Word</t>
  </si>
  <si>
    <t>Sentiment List#1</t>
  </si>
  <si>
    <t>Sentiment List#2</t>
  </si>
  <si>
    <t>Sentiment List#3</t>
  </si>
  <si>
    <t>Words in Sentiment List#1</t>
  </si>
  <si>
    <t>Words in Sentiment List#2</t>
  </si>
  <si>
    <t>Words in Sentiment List#3</t>
  </si>
  <si>
    <t>Non-categorized Words</t>
  </si>
  <si>
    <t>Total Words</t>
  </si>
  <si>
    <t>#humanity</t>
  </si>
  <si>
    <t>#future</t>
  </si>
  <si>
    <t>12</t>
  </si>
  <si>
    <t>november</t>
  </si>
  <si>
    <t>sobre</t>
  </si>
  <si>
    <t>#streaming</t>
  </si>
  <si>
    <t>#biostasis</t>
  </si>
  <si>
    <t>cumbre</t>
  </si>
  <si>
    <t>#madrid</t>
  </si>
  <si>
    <t>netherlands</t>
  </si>
  <si>
    <t>#futuro</t>
  </si>
  <si>
    <t>#ciencia</t>
  </si>
  <si>
    <t>criopreservación</t>
  </si>
  <si>
    <t>t</t>
  </si>
  <si>
    <t>https</t>
  </si>
  <si>
    <t>co</t>
  </si>
  <si>
    <t>organized</t>
  </si>
  <si>
    <t>vida</t>
  </si>
  <si>
    <t>switzerland</t>
  </si>
  <si>
    <t>germany</t>
  </si>
  <si>
    <t>smaller</t>
  </si>
  <si>
    <t>hablamos</t>
  </si>
  <si>
    <t>similar</t>
  </si>
  <si>
    <t>events</t>
  </si>
  <si>
    <t>humana</t>
  </si>
  <si>
    <t>reanimación</t>
  </si>
  <si>
    <t>#longevity</t>
  </si>
  <si>
    <t>united</t>
  </si>
  <si>
    <t>kingdom</t>
  </si>
  <si>
    <t>tamames</t>
  </si>
  <si>
    <t>#spain</t>
  </si>
  <si>
    <t>comenzando</t>
  </si>
  <si>
    <t>talking</t>
  </si>
  <si>
    <t>suspensión</t>
  </si>
  <si>
    <t>#tecnologia</t>
  </si>
  <si>
    <t>técnicas</t>
  </si>
  <si>
    <t>frío</t>
  </si>
  <si>
    <t>gracias</t>
  </si>
  <si>
    <t>#criopreservación</t>
  </si>
  <si>
    <t>#transvision</t>
  </si>
  <si>
    <t>#lamuertedelamuerte</t>
  </si>
  <si>
    <t>internacional</t>
  </si>
  <si>
    <t>welcome</t>
  </si>
  <si>
    <t>videos</t>
  </si>
  <si>
    <t>inmortalidad</t>
  </si>
  <si>
    <t>acoge</t>
  </si>
  <si>
    <t>vía</t>
  </si>
  <si>
    <t>hablando</t>
  </si>
  <si>
    <t>años</t>
  </si>
  <si>
    <t>síguelo</t>
  </si>
  <si>
    <t>risco</t>
  </si>
  <si>
    <t>apoyo</t>
  </si>
  <si>
    <t>ramón</t>
  </si>
  <si>
    <t>dummy</t>
  </si>
  <si>
    <t>espera</t>
  </si>
  <si>
    <t>more</t>
  </si>
  <si>
    <t>congelados</t>
  </si>
  <si>
    <t>4</t>
  </si>
  <si>
    <t>natasha</t>
  </si>
  <si>
    <t>along</t>
  </si>
  <si>
    <t>futura</t>
  </si>
  <si>
    <t>retan</t>
  </si>
  <si>
    <t>extraordinario</t>
  </si>
  <si>
    <t>congregados</t>
  </si>
  <si>
    <t>reposan</t>
  </si>
  <si>
    <t>españoles</t>
  </si>
  <si>
    <t>visiting</t>
  </si>
  <si>
    <t>evento</t>
  </si>
  <si>
    <t>ambulance</t>
  </si>
  <si>
    <t>pacientes</t>
  </si>
  <si>
    <t>varios</t>
  </si>
  <si>
    <t>vita</t>
  </si>
  <si>
    <t>'resucitados'</t>
  </si>
  <si>
    <t>posterior</t>
  </si>
  <si>
    <t>viven</t>
  </si>
  <si>
    <t>esto</t>
  </si>
  <si>
    <t>estos</t>
  </si>
  <si>
    <t>fin</t>
  </si>
  <si>
    <t>crecimiento</t>
  </si>
  <si>
    <t>compañías</t>
  </si>
  <si>
    <t>semana</t>
  </si>
  <si>
    <t>debatimos</t>
  </si>
  <si>
    <t>patient</t>
  </si>
  <si>
    <t>mientras</t>
  </si>
  <si>
    <t>científicos</t>
  </si>
  <si>
    <t>mucho</t>
  </si>
  <si>
    <t>debate</t>
  </si>
  <si>
    <t>extremo</t>
  </si>
  <si>
    <t>ponentes</t>
  </si>
  <si>
    <t>internacionales</t>
  </si>
  <si>
    <t>nuevo</t>
  </si>
  <si>
    <t>síguenos</t>
  </si>
  <si>
    <t>ahora</t>
  </si>
  <si>
    <t>asistentes</t>
  </si>
  <si>
    <t>les</t>
  </si>
  <si>
    <t>tiempo</t>
  </si>
  <si>
    <t>científica</t>
  </si>
  <si>
    <t>pedro</t>
  </si>
  <si>
    <t>después</t>
  </si>
  <si>
    <t>reanimada</t>
  </si>
  <si>
    <t>david</t>
  </si>
  <si>
    <t>enlace</t>
  </si>
  <si>
    <t>bienvenida</t>
  </si>
  <si>
    <t>1st</t>
  </si>
  <si>
    <t>last</t>
  </si>
  <si>
    <t>cause</t>
  </si>
  <si>
    <t>jacob</t>
  </si>
  <si>
    <t>pgzdpuupid</t>
  </si>
  <si>
    <t>presentation</t>
  </si>
  <si>
    <t>español</t>
  </si>
  <si>
    <t>wide</t>
  </si>
  <si>
    <t>soon</t>
  </si>
  <si>
    <t>forthcoming</t>
  </si>
  <si>
    <t>now</t>
  </si>
  <si>
    <t>nov</t>
  </si>
  <si>
    <t>dr</t>
  </si>
  <si>
    <t>technological</t>
  </si>
  <si>
    <t>primera</t>
  </si>
  <si>
    <t>gusanos</t>
  </si>
  <si>
    <t>accelerating</t>
  </si>
  <si>
    <t>saturday</t>
  </si>
  <si>
    <t>viable</t>
  </si>
  <si>
    <t>acompañado</t>
  </si>
  <si>
    <t>devuelto</t>
  </si>
  <si>
    <t>muchas</t>
  </si>
  <si>
    <t>científico</t>
  </si>
  <si>
    <t>wood</t>
  </si>
  <si>
    <t>guillen</t>
  </si>
  <si>
    <t>acogerá</t>
  </si>
  <si>
    <t>day</t>
  </si>
  <si>
    <t>siguelo</t>
  </si>
  <si>
    <t>humanos</t>
  </si>
  <si>
    <t>adoption</t>
  </si>
  <si>
    <t>public</t>
  </si>
  <si>
    <t>da</t>
  </si>
  <si>
    <t>ha</t>
  </si>
  <si>
    <t>phd</t>
  </si>
  <si>
    <t>set</t>
  </si>
  <si>
    <t>décadas</t>
  </si>
  <si>
    <t>compartir</t>
  </si>
  <si>
    <t>diario</t>
  </si>
  <si>
    <t>zi5jcjrsiz</t>
  </si>
  <si>
    <t>#inmortalidad</t>
  </si>
  <si>
    <t>permitirá</t>
  </si>
  <si>
    <t>5</t>
  </si>
  <si>
    <t>3swdssqi8g</t>
  </si>
  <si>
    <t>ambulancias</t>
  </si>
  <si>
    <t>jordi</t>
  </si>
  <si>
    <t>hoeskstra</t>
  </si>
  <si>
    <t>aschwin</t>
  </si>
  <si>
    <t>kendziorra</t>
  </si>
  <si>
    <t>ujtdzkw3ao</t>
  </si>
  <si>
    <t>#criogenización</t>
  </si>
  <si>
    <t>gran</t>
  </si>
  <si>
    <t>basic</t>
  </si>
  <si>
    <t>expertos</t>
  </si>
  <si>
    <t>enfoque</t>
  </si>
  <si>
    <t>paul</t>
  </si>
  <si>
    <t>today</t>
  </si>
  <si>
    <t>aubrey</t>
  </si>
  <si>
    <t>ben</t>
  </si>
  <si>
    <t>spiegel</t>
  </si>
  <si>
    <t>#longevidad</t>
  </si>
  <si>
    <t>sandalinas</t>
  </si>
  <si>
    <t>euros</t>
  </si>
  <si>
    <t>emil</t>
  </si>
  <si>
    <t>during</t>
  </si>
  <si>
    <t>levante</t>
  </si>
  <si>
    <t>dos</t>
  </si>
  <si>
    <t>herrero</t>
  </si>
  <si>
    <t>finde</t>
  </si>
  <si>
    <t>entierro</t>
  </si>
  <si>
    <t>grey</t>
  </si>
  <si>
    <t>alternativa</t>
  </si>
  <si>
    <t>fernando</t>
  </si>
  <si>
    <t>000</t>
  </si>
  <si>
    <t>best</t>
  </si>
  <si>
    <t>wolf</t>
  </si>
  <si>
    <t>costará</t>
  </si>
  <si>
    <t>incineración</t>
  </si>
  <si>
    <t>acebes</t>
  </si>
  <si>
    <t>#futurefastforward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</si>
  <si>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</si>
  <si>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</si>
  <si>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</si>
  <si>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</si>
  <si>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</si>
  <si>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</si>
  <si>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</si>
  <si>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</si>
  <si>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</si>
  <si>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</si>
  <si>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</si>
  <si>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</si>
  <si>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</si>
  <si>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</si>
  <si>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</si>
  <si>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</si>
  <si>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</si>
  <si>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</si>
  <si>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</si>
  <si>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</si>
  <si>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</si>
  <si>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</si>
  <si>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</si>
  <si>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</si>
  <si>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</si>
  <si>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</si>
  <si>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</si>
  <si>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</si>
  <si>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</si>
  <si>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</si>
  <si>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</si>
  <si>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</si>
  <si>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Number of Edge Types</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</si>
  <si>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</si>
  <si>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</si>
  <si>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</si>
  <si>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</si>
  <si>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</si>
  <si>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</si>
  <si>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Cuenta de Tweet Date (UTC)</t>
  </si>
  <si>
    <t>Etiquetas de fila</t>
  </si>
  <si>
    <t>Total general</t>
  </si>
  <si>
    <t>2022</t>
  </si>
  <si>
    <t>Nov</t>
  </si>
  <si>
    <t>10-Nov</t>
  </si>
  <si>
    <t>9 AM</t>
  </si>
  <si>
    <t>10 AM</t>
  </si>
  <si>
    <t>3 PM</t>
  </si>
  <si>
    <t>4 PM</t>
  </si>
  <si>
    <t>10 PM</t>
  </si>
  <si>
    <t>11-Nov</t>
  </si>
  <si>
    <t>1 PM</t>
  </si>
  <si>
    <t>8 PM</t>
  </si>
  <si>
    <t>9 PM</t>
  </si>
  <si>
    <t>12-Nov</t>
  </si>
  <si>
    <t>12 AM</t>
  </si>
  <si>
    <t>4 AM</t>
  </si>
  <si>
    <t>8 AM</t>
  </si>
  <si>
    <t>11 AM</t>
  </si>
  <si>
    <t>12 PM</t>
  </si>
  <si>
    <t>2 PM</t>
  </si>
  <si>
    <t>11 PM</t>
  </si>
  <si>
    <t>13-Nov</t>
  </si>
  <si>
    <t>6 AM</t>
  </si>
  <si>
    <t>7 AM</t>
  </si>
  <si>
    <t>6 PM</t>
  </si>
  <si>
    <t>14-Nov</t>
  </si>
  <si>
    <t>7 PM</t>
  </si>
  <si>
    <t>15-Nov</t>
  </si>
  <si>
    <t>16-Nov</t>
  </si>
  <si>
    <t>17-Nov</t>
  </si>
  <si>
    <t>5 AM</t>
  </si>
  <si>
    <t>18-Nov</t>
  </si>
  <si>
    <t>Green</t>
  </si>
  <si>
    <t>7, 125, 0</t>
  </si>
  <si>
    <t>13, 121, 0</t>
  </si>
  <si>
    <t>20, 118, 0</t>
  </si>
  <si>
    <t>157, 49, 0</t>
  </si>
  <si>
    <t>26, 115, 0</t>
  </si>
  <si>
    <t>Red</t>
  </si>
  <si>
    <t>G1: #transvisionmadrid #youtube estamos biostasis directo #bfr natashavitamore first paulspiegel bfr</t>
  </si>
  <si>
    <t>G2: #transvisionmadrid training biostasis first #bfr response madrid next # host</t>
  </si>
  <si>
    <t>G3: #transvisionmadrid #youtube estamos natashavitamore ieuropeo cordeiro directo paulspiegel ramon desde</t>
  </si>
  <si>
    <t>G4: #transvisionmadrid biostasis #bfr training madrid first response 13 next host</t>
  </si>
  <si>
    <t>G5: #transvisionmadrid looking biostasis changes serious venue reached anticipating training attitudes</t>
  </si>
  <si>
    <t>Edge Weight▓1▓35▓0▓True▓Green▓Red▓▓Edge Weight▓1▓5▓0▓3▓10▓False▓Edge Weight▓1▓35▓0▓32▓6▓False▓▓0▓0▓0▓True▓Black▓Black▓▓Followers▓39▓31461▓0▓162▓1000▓False▓▓0▓0▓0▓0▓0▓False▓▓0▓0▓0▓0▓0▓False▓▓0▓0▓0▓0▓0▓False</t>
  </si>
  <si>
    <t>Subgraph</t>
  </si>
  <si>
    <t>GraphSource░TwitterSearch▓GraphTerm░#TransVisionMadrid▓ImportDescription░The graph represents a network of 36 Twitter users whose recent tweets contained "#TransVisionMadrid", or who were replied to or mentioned in those tweets, taken from a data set limited to a maximum of 18,000 tweets.  The network was obtained from Twitter on Saturday, 19 November 2022 at 05:46 UTC.
The tweets in the network were tweeted over the 8-day, 6-hour, 13-minute period from Thursday, 10 November 2022 at 09:56 UTC to Friday, 18 November 2022 at 16:09 UTC.
There is an edge for each "replies-to" relationship in a tweet, an edge for each "mentions" relationship in a tweet, and a self-loop edge for each tweet that is not a "replies-to" or "mentions".▓ImportSuggestedTitle░#TransVisionMadrid Twitter NodeXL SNA Map and Report for Saturday, 19 November 2022 at 05:46 UTC▓ImportSuggestedFileNameNoExtension░2022-11-19 05-46-11 NodeXL Twitter Search #TransVisionMadrid▓GroupingDescription░The graph's vertices were grouped by cluster using the Clauset-Newman-Moore cluster algorithm.▓LayoutAlgorithm░The graph was laid out using the Harel-Koren Fast Multiscale layout algorithm.▓GraphDirectedness░The graph is directed.</t>
  </si>
  <si>
    <t>TwitterSearch</t>
  </si>
  <si>
    <t>#TransVisionMadrid</t>
  </si>
  <si>
    <t>The graph represents a network of 36 Twitter users whose recent tweets contained "#TransVisionMadrid", or who were replied to or mentioned in those tweets, taken from a data set limited to a maximum of 18,000 tweets.  The network was obtained from Twitter on Saturday, 19 November 2022 at 05:46 UTC.
The tweets in the network were tweeted over the 8-day, 6-hour, 13-minute period from Thursday, 10 November 2022 at 09:56 UTC to Friday, 18 November 2022 at 16:09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</si>
  <si>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</si>
  <si>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https://nodexlgraphgallery.org/Pages/Graph.aspx?graphID=284714</t>
  </si>
  <si>
    <t>https://nodexlgraphgallery.org/Images/Image.ashx?graphID=284714&amp;type=f</t>
  </si>
  <si>
    <t>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t>
  </si>
  <si>
    <t>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</si>
</sst>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0" fontId="0" fillId="3" borderId="1" xfId="27" applyNumberFormat="1" applyAlignment="1">
      <alignment/>
    </xf>
    <xf numFmtId="0" fontId="0" fillId="0" borderId="0" xfId="0" applyFill="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49" fontId="0" fillId="0" borderId="0" xfId="0" applyNumberFormat="1" applyFill="1" applyAlignment="1">
      <alignment/>
    </xf>
    <xf numFmtId="0" fontId="10" fillId="3" borderId="1" xfId="28" applyNumberFormat="1" applyFill="1" applyBorder="1" applyAlignment="1">
      <alignment/>
    </xf>
    <xf numFmtId="0" fontId="0" fillId="3" borderId="1" xfId="23" applyNumberFormat="1" applyFont="1"/>
    <xf numFmtId="0" fontId="0" fillId="2" borderId="1" xfId="20" applyNumberFormat="1" applyFont="1"/>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applyNumberFormat="1"/>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6"/>
      <tableStyleElement type="headerRow" dxfId="425"/>
    </tableStyle>
    <tableStyle name="NodeXL Table" pivot="0" count="1">
      <tableStyleElement type="headerRow" dxfId="4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637045"/>
        <c:axId val="8080222"/>
      </c:barChart>
      <c:catAx>
        <c:axId val="456370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080222"/>
        <c:crosses val="autoZero"/>
        <c:auto val="1"/>
        <c:lblOffset val="100"/>
        <c:noMultiLvlLbl val="0"/>
      </c:catAx>
      <c:valAx>
        <c:axId val="808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370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#TransVisionMadrid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Series'!$A$26:$A$91</c:f>
              <c:strCache>
                <c:ptCount val="54"/>
                <c:pt idx="0">
                  <c:v>9 AM
10-Nov
Nov
2022</c:v>
                </c:pt>
                <c:pt idx="1">
                  <c:v>10 AM</c:v>
                </c:pt>
                <c:pt idx="2">
                  <c:v>3 PM</c:v>
                </c:pt>
                <c:pt idx="3">
                  <c:v>4 PM</c:v>
                </c:pt>
                <c:pt idx="4">
                  <c:v>10 PM</c:v>
                </c:pt>
                <c:pt idx="5">
                  <c:v>9 AM
11-Nov</c:v>
                </c:pt>
                <c:pt idx="6">
                  <c:v>10 AM</c:v>
                </c:pt>
                <c:pt idx="7">
                  <c:v>1 PM</c:v>
                </c:pt>
                <c:pt idx="8">
                  <c:v>3 PM</c:v>
                </c:pt>
                <c:pt idx="9">
                  <c:v>4 PM</c:v>
                </c:pt>
                <c:pt idx="10">
                  <c:v>8 PM</c:v>
                </c:pt>
                <c:pt idx="11">
                  <c:v>9 PM</c:v>
                </c:pt>
                <c:pt idx="12">
                  <c:v>10 PM</c:v>
                </c:pt>
                <c:pt idx="13">
                  <c:v>12 AM
12-Nov</c:v>
                </c:pt>
                <c:pt idx="14">
                  <c:v>4 AM</c:v>
                </c:pt>
                <c:pt idx="15">
                  <c:v>8 AM</c:v>
                </c:pt>
                <c:pt idx="16">
                  <c:v>9 AM</c:v>
                </c:pt>
                <c:pt idx="17">
                  <c:v>10 AM</c:v>
                </c:pt>
                <c:pt idx="18">
                  <c:v>11 AM</c:v>
                </c:pt>
                <c:pt idx="19">
                  <c:v>12 PM</c:v>
                </c:pt>
                <c:pt idx="20">
                  <c:v>1 PM</c:v>
                </c:pt>
                <c:pt idx="21">
                  <c:v>2 PM</c:v>
                </c:pt>
                <c:pt idx="22">
                  <c:v>3 PM</c:v>
                </c:pt>
                <c:pt idx="23">
                  <c:v>4 PM</c:v>
                </c:pt>
                <c:pt idx="24">
                  <c:v>8 PM</c:v>
                </c:pt>
                <c:pt idx="25">
                  <c:v>9 PM</c:v>
                </c:pt>
                <c:pt idx="26">
                  <c:v>10 PM</c:v>
                </c:pt>
                <c:pt idx="27">
                  <c:v>11 PM</c:v>
                </c:pt>
                <c:pt idx="28">
                  <c:v>4 AM
13-Nov</c:v>
                </c:pt>
                <c:pt idx="29">
                  <c:v>6 AM</c:v>
                </c:pt>
                <c:pt idx="30">
                  <c:v>7 AM</c:v>
                </c:pt>
                <c:pt idx="31">
                  <c:v>8 AM</c:v>
                </c:pt>
                <c:pt idx="32">
                  <c:v>9 AM</c:v>
                </c:pt>
                <c:pt idx="33">
                  <c:v>10 AM</c:v>
                </c:pt>
                <c:pt idx="34">
                  <c:v>11 AM</c:v>
                </c:pt>
                <c:pt idx="35">
                  <c:v>3 PM</c:v>
                </c:pt>
                <c:pt idx="36">
                  <c:v>6 PM</c:v>
                </c:pt>
                <c:pt idx="37">
                  <c:v>8 PM</c:v>
                </c:pt>
                <c:pt idx="38">
                  <c:v>9 PM</c:v>
                </c:pt>
                <c:pt idx="39">
                  <c:v>10 PM</c:v>
                </c:pt>
                <c:pt idx="40">
                  <c:v>7 AM
14-Nov</c:v>
                </c:pt>
                <c:pt idx="41">
                  <c:v>8 AM</c:v>
                </c:pt>
                <c:pt idx="42">
                  <c:v>9 AM</c:v>
                </c:pt>
                <c:pt idx="43">
                  <c:v>12 PM</c:v>
                </c:pt>
                <c:pt idx="44">
                  <c:v>4 PM</c:v>
                </c:pt>
                <c:pt idx="45">
                  <c:v>7 PM</c:v>
                </c:pt>
                <c:pt idx="46">
                  <c:v>10 PM</c:v>
                </c:pt>
                <c:pt idx="47">
                  <c:v>12 PM
15-Nov</c:v>
                </c:pt>
                <c:pt idx="48">
                  <c:v>4 PM</c:v>
                </c:pt>
                <c:pt idx="49">
                  <c:v>6 PM
16-Nov</c:v>
                </c:pt>
                <c:pt idx="50">
                  <c:v>5 AM
17-Nov</c:v>
                </c:pt>
                <c:pt idx="51">
                  <c:v>9 AM
18-Nov</c:v>
                </c:pt>
                <c:pt idx="52">
                  <c:v>12 PM</c:v>
                </c:pt>
                <c:pt idx="53">
                  <c:v>4 PM</c:v>
                </c:pt>
              </c:strCache>
            </c:strRef>
          </c:cat>
          <c:val>
            <c:numRef>
              <c:f>'Time Series'!$B$26:$B$91</c:f>
              <c:numCache>
                <c:formatCode>General</c:formatCode>
                <c:ptCount val="54"/>
                <c:pt idx="0">
                  <c:v>1</c:v>
                </c:pt>
                <c:pt idx="1">
                  <c:v>1</c:v>
                </c:pt>
                <c:pt idx="2">
                  <c:v>1</c:v>
                </c:pt>
                <c:pt idx="3">
                  <c:v>2</c:v>
                </c:pt>
                <c:pt idx="4">
                  <c:v>1</c:v>
                </c:pt>
                <c:pt idx="5">
                  <c:v>1</c:v>
                </c:pt>
                <c:pt idx="6">
                  <c:v>3</c:v>
                </c:pt>
                <c:pt idx="7">
                  <c:v>1</c:v>
                </c:pt>
                <c:pt idx="8">
                  <c:v>1</c:v>
                </c:pt>
                <c:pt idx="9">
                  <c:v>1</c:v>
                </c:pt>
                <c:pt idx="10">
                  <c:v>1</c:v>
                </c:pt>
                <c:pt idx="11">
                  <c:v>1</c:v>
                </c:pt>
                <c:pt idx="12">
                  <c:v>1</c:v>
                </c:pt>
                <c:pt idx="13">
                  <c:v>1</c:v>
                </c:pt>
                <c:pt idx="14">
                  <c:v>1</c:v>
                </c:pt>
                <c:pt idx="15">
                  <c:v>1</c:v>
                </c:pt>
                <c:pt idx="16">
                  <c:v>11</c:v>
                </c:pt>
                <c:pt idx="17">
                  <c:v>13</c:v>
                </c:pt>
                <c:pt idx="18">
                  <c:v>4</c:v>
                </c:pt>
                <c:pt idx="19">
                  <c:v>4</c:v>
                </c:pt>
                <c:pt idx="20">
                  <c:v>7</c:v>
                </c:pt>
                <c:pt idx="21">
                  <c:v>14</c:v>
                </c:pt>
                <c:pt idx="22">
                  <c:v>4</c:v>
                </c:pt>
                <c:pt idx="23">
                  <c:v>1</c:v>
                </c:pt>
                <c:pt idx="24">
                  <c:v>1</c:v>
                </c:pt>
                <c:pt idx="25">
                  <c:v>1</c:v>
                </c:pt>
                <c:pt idx="26">
                  <c:v>1</c:v>
                </c:pt>
                <c:pt idx="27">
                  <c:v>1</c:v>
                </c:pt>
                <c:pt idx="28">
                  <c:v>1</c:v>
                </c:pt>
                <c:pt idx="29">
                  <c:v>1</c:v>
                </c:pt>
                <c:pt idx="30">
                  <c:v>5</c:v>
                </c:pt>
                <c:pt idx="31">
                  <c:v>4</c:v>
                </c:pt>
                <c:pt idx="32">
                  <c:v>1</c:v>
                </c:pt>
                <c:pt idx="33">
                  <c:v>6</c:v>
                </c:pt>
                <c:pt idx="34">
                  <c:v>1</c:v>
                </c:pt>
                <c:pt idx="35">
                  <c:v>5</c:v>
                </c:pt>
                <c:pt idx="36">
                  <c:v>1</c:v>
                </c:pt>
                <c:pt idx="37">
                  <c:v>1</c:v>
                </c:pt>
                <c:pt idx="38">
                  <c:v>2</c:v>
                </c:pt>
                <c:pt idx="39">
                  <c:v>3</c:v>
                </c:pt>
                <c:pt idx="40">
                  <c:v>1</c:v>
                </c:pt>
                <c:pt idx="41">
                  <c:v>4</c:v>
                </c:pt>
                <c:pt idx="42">
                  <c:v>7</c:v>
                </c:pt>
                <c:pt idx="43">
                  <c:v>1</c:v>
                </c:pt>
                <c:pt idx="44">
                  <c:v>1</c:v>
                </c:pt>
                <c:pt idx="45">
                  <c:v>2</c:v>
                </c:pt>
                <c:pt idx="46">
                  <c:v>1</c:v>
                </c:pt>
                <c:pt idx="47">
                  <c:v>1</c:v>
                </c:pt>
                <c:pt idx="48">
                  <c:v>1</c:v>
                </c:pt>
                <c:pt idx="49">
                  <c:v>1</c:v>
                </c:pt>
                <c:pt idx="50">
                  <c:v>2</c:v>
                </c:pt>
                <c:pt idx="51">
                  <c:v>1</c:v>
                </c:pt>
                <c:pt idx="52">
                  <c:v>1</c:v>
                </c:pt>
                <c:pt idx="53">
                  <c:v>1</c:v>
                </c:pt>
              </c:numCache>
            </c:numRef>
          </c:val>
        </c:ser>
        <c:axId val="16103327"/>
        <c:axId val="10712216"/>
      </c:barChart>
      <c:catAx>
        <c:axId val="16103327"/>
        <c:scaling>
          <c:orientation val="minMax"/>
        </c:scaling>
        <c:axPos val="b"/>
        <c:delete val="0"/>
        <c:numFmt formatCode="General" sourceLinked="1"/>
        <c:majorTickMark val="out"/>
        <c:minorTickMark val="none"/>
        <c:tickLblPos val="nextTo"/>
        <c:crossAx val="10712216"/>
        <c:crosses val="autoZero"/>
        <c:auto val="1"/>
        <c:lblOffset val="100"/>
        <c:noMultiLvlLbl val="0"/>
      </c:catAx>
      <c:valAx>
        <c:axId val="10712216"/>
        <c:scaling>
          <c:orientation val="minMax"/>
        </c:scaling>
        <c:axPos val="l"/>
        <c:majorGridlines/>
        <c:delete val="0"/>
        <c:numFmt formatCode="General" sourceLinked="1"/>
        <c:majorTickMark val="out"/>
        <c:minorTickMark val="none"/>
        <c:tickLblPos val="nextTo"/>
        <c:crossAx val="161033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13135"/>
        <c:axId val="50518216"/>
      </c:barChart>
      <c:catAx>
        <c:axId val="56131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518216"/>
        <c:crosses val="autoZero"/>
        <c:auto val="1"/>
        <c:lblOffset val="100"/>
        <c:noMultiLvlLbl val="0"/>
      </c:catAx>
      <c:valAx>
        <c:axId val="50518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313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010761"/>
        <c:axId val="65443666"/>
      </c:barChart>
      <c:catAx>
        <c:axId val="520107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443666"/>
        <c:crosses val="autoZero"/>
        <c:auto val="1"/>
        <c:lblOffset val="100"/>
        <c:noMultiLvlLbl val="0"/>
      </c:catAx>
      <c:valAx>
        <c:axId val="65443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107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122083"/>
        <c:axId val="66445564"/>
      </c:barChart>
      <c:catAx>
        <c:axId val="521220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445564"/>
        <c:crosses val="autoZero"/>
        <c:auto val="1"/>
        <c:lblOffset val="100"/>
        <c:noMultiLvlLbl val="0"/>
      </c:catAx>
      <c:valAx>
        <c:axId val="66445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220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139165"/>
        <c:axId val="13381574"/>
      </c:barChart>
      <c:catAx>
        <c:axId val="611391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381574"/>
        <c:crosses val="autoZero"/>
        <c:auto val="1"/>
        <c:lblOffset val="100"/>
        <c:noMultiLvlLbl val="0"/>
      </c:catAx>
      <c:valAx>
        <c:axId val="13381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391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325303"/>
        <c:axId val="10165680"/>
      </c:barChart>
      <c:catAx>
        <c:axId val="533253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165680"/>
        <c:crosses val="autoZero"/>
        <c:auto val="1"/>
        <c:lblOffset val="100"/>
        <c:noMultiLvlLbl val="0"/>
      </c:catAx>
      <c:valAx>
        <c:axId val="10165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2530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382257"/>
        <c:axId val="18113722"/>
      </c:barChart>
      <c:catAx>
        <c:axId val="243822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113722"/>
        <c:crosses val="autoZero"/>
        <c:auto val="1"/>
        <c:lblOffset val="100"/>
        <c:noMultiLvlLbl val="0"/>
      </c:catAx>
      <c:valAx>
        <c:axId val="18113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822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805771"/>
        <c:axId val="57925348"/>
      </c:barChart>
      <c:catAx>
        <c:axId val="288057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925348"/>
        <c:crosses val="autoZero"/>
        <c:auto val="1"/>
        <c:lblOffset val="100"/>
        <c:noMultiLvlLbl val="0"/>
      </c:catAx>
      <c:valAx>
        <c:axId val="57925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057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566085"/>
        <c:axId val="61441582"/>
      </c:barChart>
      <c:catAx>
        <c:axId val="51566085"/>
        <c:scaling>
          <c:orientation val="minMax"/>
        </c:scaling>
        <c:axPos val="b"/>
        <c:delete val="1"/>
        <c:majorTickMark val="out"/>
        <c:minorTickMark val="none"/>
        <c:tickLblPos val="none"/>
        <c:crossAx val="61441582"/>
        <c:crosses val="autoZero"/>
        <c:auto val="1"/>
        <c:lblOffset val="100"/>
        <c:noMultiLvlLbl val="0"/>
      </c:catAx>
      <c:valAx>
        <c:axId val="61441582"/>
        <c:scaling>
          <c:orientation val="minMax"/>
        </c:scaling>
        <c:axPos val="l"/>
        <c:delete val="1"/>
        <c:majorTickMark val="out"/>
        <c:minorTickMark val="none"/>
        <c:tickLblPos val="none"/>
        <c:crossAx val="515660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augustofenoll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cordeir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steelearch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w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martin_heya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larkkarl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javiercremad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ieurope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natashavitamo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paulspiege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transvisionmad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paoloigna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angelninoq"/>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aubreydegre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humanityplu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lpoderdecura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rosanariber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adsdulantoscot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lcomunica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dmdima_com"/>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hashtagmarketi7"/>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iosu_blanc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vinitra5"/>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daya1ange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gul_insidiou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peterxin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piroworldwid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chris_armstrong"/>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jordisandalina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ikechukwuebere8"/>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elultimosapien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frcretweet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carlesvillapla1"/>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thcbc_nft"/>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kgomotsegoram"/>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niusdiari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7" refreshedBy="User" refreshedVersion="8">
  <cacheSource type="worksheet">
    <worksheetSource ref="A2:BN1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Relationship">
      <sharedItems containsMixedTypes="0" count="4">
        <s v="Retweet"/>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1">
        <s v="madrid transvisionmadrid"/>
        <s v="transvisionmadrid"/>
        <s v="transvisionmadrid transvision criopreservación ciencia futuro tecnologia"/>
        <s v="transvisionmadrid youtube"/>
        <s v="transvisionmadrid biostasis bfr futuro ciencia"/>
        <s v="transvisionmadrid madrid"/>
        <s v="transvisionmadrid youtube streaming"/>
        <s v="transvisionmadrid bfr _xD835__xDDE7__xD835__xDDFF__xD835__xDDEE__xD835__xDDFB__xD835__xDE00__xD835__xDDE9__xD835__xDDF6__xD835__xDE00__xD835__xDDF6__xD835__xDDFC__xD835__xDDFB_ future humanity"/>
        <s v="transvisionmadrid bfr spain youtube"/>
        <s v="longevity biostasis transvisionmadrid streaming"/>
        <s v="transvisionmadrid inmortalidad madrid lamuertedelamuerte"/>
        <s v="madrid biostasis criopreservación transvision transvisionmadrid longevidad futurefastforward bfr"/>
        <s v="transvisionmadrid madrid youtube"/>
        <s v="transvisionmadrid criogenización"/>
        <s v="transvisionmadrid bfr futuro ciencia tecnologia"/>
        <s v="transvisionmadrid lamuertedelamuerte"/>
        <s v="transvisionmadrid bfr transvision humanity future"/>
        <s v="transvisionmadrid streaming"/>
        <s v="transvisionmadrid bfr futuro tecnologia"/>
        <s v="criopreservación transvisionmadrid lamuertedelamuerte"/>
        <s v="transvisionmadrid futuro lamuertedelamuert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7">
        <d v="2022-11-12T09:11:21.000"/>
        <d v="2022-11-12T09:17:08.000"/>
        <d v="2022-11-12T09:35:31.000"/>
        <d v="2022-11-12T10:24:01.000"/>
        <d v="2022-11-12T13:36:08.000"/>
        <d v="2022-11-12T13:36:20.000"/>
        <d v="2022-11-12T13:36:23.000"/>
        <d v="2022-11-12T13:40:07.000"/>
        <d v="2022-11-12T14:15:22.000"/>
        <d v="2022-11-12T14:40:33.000"/>
        <d v="2022-11-12T23:29:15.000"/>
        <d v="2022-11-13T07:32:19.000"/>
        <d v="2022-11-12T00:56:44.000"/>
        <d v="2022-11-12T11:22:08.000"/>
        <d v="2022-11-12T11:51:54.000"/>
        <d v="2022-11-13T08:39:03.000"/>
        <d v="2022-11-13T10:05:25.000"/>
        <d v="2022-11-13T15:07:41.000"/>
        <d v="2022-11-12T15:58:55.000"/>
        <d v="2022-11-13T15:51:57.000"/>
        <d v="2022-11-13T18:24:50.000"/>
        <d v="2022-11-13T22:31:41.000"/>
        <d v="2022-11-14T09:24:52.000"/>
        <d v="2022-11-13T21:59:14.000"/>
        <d v="2022-11-14T16:21:25.000"/>
        <d v="2022-11-16T18:19:19.000"/>
        <d v="2022-11-12T13:30:22.000"/>
        <d v="2022-11-12T12:36:19.000"/>
        <d v="2022-11-12T12:37:43.000"/>
        <d v="2022-11-14T19:21:32.000"/>
        <d v="2022-11-12T22:34:00.000"/>
        <d v="2022-11-12T11:10:43.000"/>
        <d v="2022-11-12T10:23:36.000"/>
        <d v="2022-11-13T15:09:18.000"/>
        <d v="2022-11-14T08:19:23.000"/>
        <d v="2022-11-14T08:20:07.000"/>
        <d v="2022-11-14T08:21:57.000"/>
        <d v="2022-11-14T08:22:14.000"/>
        <d v="2022-11-12T10:48:30.000"/>
        <d v="2022-11-12T10:06:07.000"/>
        <d v="2022-11-11T10:51:06.000"/>
        <d v="2022-11-12T09:42:51.000"/>
        <d v="2022-11-12T11:09:43.000"/>
        <d v="2022-11-13T15:37:08.000"/>
        <d v="2022-11-12T10:58:37.000"/>
        <d v="2022-11-14T07:57:58.000"/>
        <d v="2022-11-12T14:03:57.000"/>
        <d v="2022-11-12T14:32:56.000"/>
        <d v="2022-11-12T12:40:50.000"/>
        <d v="2022-11-12T14:00:34.000"/>
        <d v="2022-11-12T14:00:45.000"/>
        <d v="2022-11-12T14:01:21.000"/>
        <d v="2022-11-12T14:32:35.000"/>
        <d v="2022-11-14T09:24:51.000"/>
        <d v="2022-11-14T09:24:56.000"/>
        <d v="2022-11-14T09:25:05.000"/>
        <d v="2022-11-14T09:25:09.000"/>
        <d v="2022-11-14T12:31:39.000"/>
        <d v="2022-11-12T14:32:49.000"/>
        <d v="2022-11-12T09:46:25.000"/>
        <d v="2022-11-12T09:48:58.000"/>
        <d v="2022-11-12T14:50:36.000"/>
        <d v="2022-11-13T07:43:18.000"/>
        <d v="2022-11-10T16:40:27.000"/>
        <d v="2022-11-12T08:43:54.000"/>
        <d v="2022-11-12T15:54:28.000"/>
        <d v="2022-11-12T10:02:42.000"/>
        <d v="2022-11-12T10:03:03.000"/>
        <d v="2022-11-12T14:42:12.000"/>
        <d v="2022-11-13T08:41:18.000"/>
        <d v="2022-11-10T09:56:21.000"/>
        <d v="2022-11-10T15:16:21.000"/>
        <d v="2022-11-11T09:56:21.000"/>
        <d v="2022-11-11T15:17:06.000"/>
        <d v="2022-11-11T20:04:19.000"/>
        <d v="2022-11-12T09:43:14.000"/>
        <d v="2022-11-12T09:56:20.000"/>
        <d v="2022-11-12T10:27:28.000"/>
        <d v="2022-11-12T10:27:32.000"/>
        <d v="2022-11-12T10:36:57.000"/>
        <d v="2022-11-12T12:06:17.000"/>
        <d v="2022-11-12T13:58:32.000"/>
        <d v="2022-11-12T14:46:33.000"/>
        <d v="2022-11-12T15:16:15.000"/>
        <d v="2022-11-12T15:43:34.000"/>
        <d v="2022-11-12T20:04:16.000"/>
        <d v="2022-11-13T07:06:15.000"/>
        <d v="2022-11-13T07:13:35.000"/>
        <d v="2022-11-13T08:42:45.000"/>
        <d v="2022-11-13T09:56:18.000"/>
        <d v="2022-11-13T10:03:31.000"/>
        <d v="2022-11-13T11:07:51.000"/>
        <d v="2022-11-13T15:16:16.000"/>
        <d v="2022-11-13T20:04:15.000"/>
        <d v="2022-11-14T09:43:14.000"/>
        <d v="2022-11-14T19:06:15.000"/>
        <d v="2022-11-15T12:06:18.000"/>
        <d v="2022-11-17T05:18:31.000"/>
        <d v="2022-11-17T05:18:36.000"/>
        <d v="2022-11-18T12:06:25.000"/>
        <d v="2022-11-12T10:00:13.000"/>
        <d v="2022-11-13T10:00:37.000"/>
        <d v="2022-11-10T10:35:20.000"/>
        <d v="2022-11-10T16:57:23.000"/>
        <d v="2022-11-10T22:26:19.000"/>
        <d v="2022-11-11T10:35:43.000"/>
        <d v="2022-11-11T10:51:24.000"/>
        <d v="2022-11-11T13:21:36.000"/>
        <d v="2022-11-11T16:57:29.000"/>
        <d v="2022-11-11T21:11:19.000"/>
        <d v="2022-11-11T22:26:19.000"/>
        <d v="2022-11-12T04:32:27.000"/>
        <d v="2022-11-12T09:09:18.000"/>
        <d v="2022-11-12T09:23:20.000"/>
        <d v="2022-11-12T09:48:05.000"/>
        <d v="2022-11-12T10:26:55.000"/>
        <d v="2022-11-12T10:37:37.000"/>
        <d v="2022-11-12T13:56:18.000"/>
        <d v="2022-11-12T14:16:10.000"/>
        <d v="2022-11-12T14:26:23.000"/>
        <d v="2022-11-12T16:57:15.000"/>
        <d v="2022-11-12T21:11:16.000"/>
        <d v="2022-11-13T04:32:15.000"/>
        <d v="2022-11-13T06:05:37.000"/>
        <d v="2022-11-13T07:44:59.000"/>
        <d v="2022-11-13T08:37:25.000"/>
        <d v="2022-11-13T10:35:20.000"/>
        <d v="2022-11-13T10:51:02.000"/>
        <d v="2022-11-13T10:59:47.000"/>
        <d v="2022-11-13T21:11:17.000"/>
        <d v="2022-11-13T22:09:14.000"/>
        <d v="2022-11-13T22:26:15.000"/>
        <d v="2022-11-14T09:09:30.000"/>
        <d v="2022-11-14T22:09:16.000"/>
        <d v="2022-11-15T16:09:16.000"/>
        <d v="2022-11-18T09:23:26.000"/>
        <d v="2022-11-18T16:09:31.000"/>
      </sharedItems>
      <fieldGroup par="68" base="25">
        <rangePr groupBy="hours" autoEnd="1" autoStart="1" startDate="2022-11-10T09:56:21.000" endDate="2022-11-18T16:09:31.000"/>
        <groupItems count="26">
          <s v="&lt;10/11/22"/>
          <s v="12 AM"/>
          <s v="1 AM"/>
          <s v="2 AM"/>
          <s v="3 AM"/>
          <s v="4 AM"/>
          <s v="5 AM"/>
          <s v="6 AM"/>
          <s v="7 AM"/>
          <s v="8 AM"/>
          <s v="9 AM"/>
          <s v="10 AM"/>
          <s v="11 AM"/>
          <s v="12 PM"/>
          <s v="1 PM"/>
          <s v="2 PM"/>
          <s v="3 PM"/>
          <s v="4 PM"/>
          <s v="5 PM"/>
          <s v="6 PM"/>
          <s v="7 PM"/>
          <s v="8 PM"/>
          <s v="9 PM"/>
          <s v="10 PM"/>
          <s v="11 PM"/>
          <s v="&gt;18/11/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5">
        <rangePr groupBy="days" autoEnd="1" autoStart="1" startDate="2022-11-10T09:56:21.000" endDate="2022-11-18T16:09:31.000"/>
        <groupItems count="368">
          <s v="&lt;10/11/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8/11/22"/>
        </groupItems>
      </fieldGroup>
    </cacheField>
    <cacheField name="Meses" databaseField="0">
      <sharedItems containsMixedTypes="0" count="0"/>
      <fieldGroup base="25">
        <rangePr groupBy="months" autoEnd="1" autoStart="1" startDate="2022-11-10T09:56:21.000" endDate="2022-11-18T16:09:31.000"/>
        <groupItems count="14">
          <s v="&lt;10/11/22"/>
          <s v="Jan"/>
          <s v="Feb"/>
          <s v="Mar"/>
          <s v="Apr"/>
          <s v="May"/>
          <s v="Jun"/>
          <s v="Jul"/>
          <s v="Aug"/>
          <s v="Sep"/>
          <s v="Oct"/>
          <s v="Nov"/>
          <s v="Dec"/>
          <s v="&gt;18/11/22"/>
        </groupItems>
      </fieldGroup>
    </cacheField>
    <cacheField name="Años" databaseField="0">
      <sharedItems containsMixedTypes="0" count="0"/>
      <fieldGroup base="25">
        <rangePr groupBy="years" autoEnd="1" autoStart="1" startDate="2022-11-10T09:56:21.000" endDate="2022-11-18T16:09:31.000"/>
        <groupItems count="3">
          <s v="&lt;10/11/22"/>
          <s v="2022"/>
          <s v="&gt;18/11/22"/>
        </groupItems>
      </fieldGroup>
    </cacheField>
  </cacheFields>
  <extLst>
    <ext xmlns:x14="http://schemas.microsoft.com/office/spreadsheetml/2009/9/main" uri="{725AE2AE-9491-48be-B2B4-4EB974FC3084}">
      <x14:pivotCacheDefinition pivotCacheId="249712889"/>
    </ext>
  </extLst>
</pivotCacheDefinition>
</file>

<file path=xl/pivotCache/pivotCacheRecords1.xml><?xml version="1.0" encoding="utf-8"?>
<pivotCacheRecords xmlns="http://schemas.openxmlformats.org/spreadsheetml/2006/main" xmlns:r="http://schemas.openxmlformats.org/officeDocument/2006/relationships" count="137">
  <r>
    <s v="augustofenollar"/>
    <s v="cordeiro"/>
    <m/>
    <m/>
    <m/>
    <m/>
    <m/>
    <m/>
    <m/>
    <m/>
    <s v="No"/>
    <n v="3"/>
    <m/>
    <m/>
    <n v="1"/>
    <s v="4"/>
    <s v="4"/>
    <x v="0"/>
    <d v="2022-11-12T09:11:21.000"/>
    <s v="#Madrid acoge este fin de semana una cumbre internacional #TransVisionMadrid sobre criopreservación humana _x000a_➡️ https://t.co/zoiGygsrV8 https://t.co/NOSca7VLnP"/>
    <s v="https://www.europapress.es/sociedad/noticia-madrid-acoge-fin-semana-cumbre-internacional-criopreservacion-humana-20221111121558.html"/>
    <s v="europapress.es"/>
    <x v="0"/>
    <s v="https://pbs.twimg.com/media/FhWjLDyWQAAHiUO.jpg"/>
    <s v="https://pbs.twimg.com/media/FhWjLDyWQAAHiUO.jpg"/>
    <x v="0"/>
    <d v="2022-11-12T00:00:00.000"/>
    <s v="09:11:21"/>
    <s v="https://twitter.com/augustofenollar/status/1591357972751736833"/>
    <m/>
    <m/>
    <s v="1591357972751736833"/>
    <m/>
    <b v="0"/>
    <n v="0"/>
    <s v=""/>
    <b v="0"/>
    <s v="es"/>
    <m/>
    <s v=""/>
    <b v="0"/>
    <n v="1"/>
    <s v="1591357458936745985"/>
    <s v="Twitter for Android"/>
    <b v="0"/>
    <s v="1591357458936745985"/>
    <s v="Tweet"/>
    <n v="0"/>
    <n v="0"/>
    <m/>
    <m/>
    <m/>
    <m/>
    <m/>
    <m/>
    <m/>
    <m/>
    <n v="0"/>
    <n v="0"/>
    <n v="0"/>
    <n v="0"/>
    <n v="0"/>
    <n v="0"/>
    <n v="10"/>
    <n v="76.92307692307692"/>
    <n v="13"/>
  </r>
  <r>
    <s v="steelearcher"/>
    <s v="dw2"/>
    <m/>
    <m/>
    <m/>
    <m/>
    <m/>
    <m/>
    <m/>
    <m/>
    <s v="No"/>
    <n v="4"/>
    <m/>
    <m/>
    <n v="1"/>
    <s v="5"/>
    <s v="5"/>
    <x v="0"/>
    <d v="2022-11-12T09:17:08.000"/>
    <s v="Reached the #TransVisionMadrid venue. Looking serious... https://t.co/yJLSNTKup5"/>
    <m/>
    <m/>
    <x v="1"/>
    <s v="https://pbs.twimg.com/media/FhWdWZuXwAAO13Y.jpg"/>
    <s v="https://pbs.twimg.com/media/FhWdWZuXwAAO13Y.jpg"/>
    <x v="1"/>
    <d v="2022-11-12T00:00:00.000"/>
    <s v="09:17:08"/>
    <s v="https://twitter.com/steelearcher/status/1591359429030858752"/>
    <m/>
    <m/>
    <s v="1591359429030858752"/>
    <m/>
    <b v="0"/>
    <n v="0"/>
    <s v=""/>
    <b v="0"/>
    <s v="en"/>
    <m/>
    <s v=""/>
    <b v="0"/>
    <n v="6"/>
    <s v="1591351063663480833"/>
    <s v="Twitter Web App"/>
    <b v="0"/>
    <s v="1591351063663480833"/>
    <s v="Tweet"/>
    <n v="0"/>
    <n v="0"/>
    <m/>
    <m/>
    <m/>
    <m/>
    <m/>
    <m/>
    <m/>
    <m/>
    <n v="0"/>
    <n v="0"/>
    <n v="0"/>
    <n v="0"/>
    <n v="0"/>
    <n v="0"/>
    <n v="5"/>
    <n v="83.33333333333333"/>
    <n v="6"/>
  </r>
  <r>
    <s v="martin_heyam"/>
    <s v="cordeiro"/>
    <m/>
    <m/>
    <m/>
    <m/>
    <m/>
    <m/>
    <m/>
    <m/>
    <s v="No"/>
    <n v="5"/>
    <m/>
    <m/>
    <n v="1"/>
    <s v="4"/>
    <s v="4"/>
    <x v="0"/>
    <d v="2022-11-12T09:35:31.000"/>
    <s v="#TransVisionMadrid 4 españoles reposan congelados a la espera de ser 'resucitados' De esto hablamos en #TransVision Madrid_x000a_Las compañías de #criopreservación viven un extraordinario crecimiento estos años mientras retan a la #ciencia #Futuro #Tecnologia_x000a_https://t.co/mMEbjZ46ox"/>
    <s v="https://www.abc.es/sociedad/cuatro-espanoles-reposan-congelados-espera-resucitados-20221109220843-nt.html"/>
    <s v="abc.es"/>
    <x v="2"/>
    <m/>
    <s v="https://pbs.twimg.com/profile_images/1257305529614909447/tpcVvGbz_normal.jpg"/>
    <x v="2"/>
    <d v="2022-11-12T00:00:00.000"/>
    <s v="09:35:31"/>
    <s v="https://twitter.com/martin_heyam/status/1591364056849391616"/>
    <m/>
    <m/>
    <s v="1591364056849391616"/>
    <m/>
    <b v="0"/>
    <n v="0"/>
    <s v=""/>
    <b v="0"/>
    <s v="es"/>
    <m/>
    <s v=""/>
    <b v="0"/>
    <n v="2"/>
    <s v="1591360990305828864"/>
    <s v="Twitter for iPhone"/>
    <b v="0"/>
    <s v="1591360990305828864"/>
    <s v="Tweet"/>
    <n v="0"/>
    <n v="0"/>
    <m/>
    <m/>
    <m/>
    <m/>
    <m/>
    <m/>
    <m/>
    <m/>
    <n v="0"/>
    <n v="0"/>
    <n v="0"/>
    <n v="0"/>
    <n v="0"/>
    <n v="0"/>
    <n v="23"/>
    <n v="67.6470588235294"/>
    <n v="34"/>
  </r>
  <r>
    <s v="larkkarles"/>
    <s v="cordeiro"/>
    <m/>
    <m/>
    <m/>
    <m/>
    <m/>
    <m/>
    <m/>
    <m/>
    <s v="No"/>
    <n v="6"/>
    <m/>
    <m/>
    <n v="1"/>
    <s v="3"/>
    <s v="4"/>
    <x v="1"/>
    <d v="2022-11-12T10:24:01.000"/>
    <s v="#TransVisionMadrid  Estamos ya comenzando  @paulspiegel @NatashaVitaMore desde el @IEuropeo_x000a_ @JavierCremades  @cordeiro  Ramon Tamames _x000a_⭐️Síguelo en directo vía #Youtube  👇 https://t.co/wemw0Oj7U4 https://t.co/9bSC7IC5Qc"/>
    <s v="https://www.youtube.com/watch?v=xb0JCOgMsXc&amp;feature=youtu.be"/>
    <s v="youtube.com"/>
    <x v="3"/>
    <s v="https://pbs.twimg.com/media/FhWu7YzX0AEJMfI.png"/>
    <s v="https://pbs.twimg.com/media/FhWu7YzX0AEJMfI.png"/>
    <x v="3"/>
    <d v="2022-11-12T00:00:00.000"/>
    <s v="10:24:01"/>
    <s v="https://twitter.com/larkkarles/status/1591376258633728002"/>
    <m/>
    <m/>
    <s v="1591376258633728002"/>
    <m/>
    <b v="0"/>
    <n v="0"/>
    <s v=""/>
    <b v="0"/>
    <s v="es"/>
    <m/>
    <s v=""/>
    <b v="0"/>
    <n v="5"/>
    <s v="1591371754617946112"/>
    <s v="Twitter Web App"/>
    <b v="0"/>
    <s v="1591371754617946112"/>
    <s v="Tweet"/>
    <n v="0"/>
    <n v="0"/>
    <m/>
    <m/>
    <m/>
    <m/>
    <m/>
    <m/>
    <m/>
    <m/>
    <m/>
    <m/>
    <m/>
    <m/>
    <m/>
    <m/>
    <m/>
    <m/>
    <m/>
  </r>
  <r>
    <s v="paoloigna1"/>
    <s v="dw2"/>
    <m/>
    <m/>
    <m/>
    <m/>
    <m/>
    <m/>
    <m/>
    <m/>
    <s v="No"/>
    <n v="12"/>
    <m/>
    <m/>
    <n v="1"/>
    <s v="1"/>
    <s v="5"/>
    <x v="1"/>
    <d v="2022-11-12T13:36:08.000"/>
    <s v="#TransVisionMadrid Hablamos #Biostasis #BFR   #futuro #Ciencia Gracias por el apoyo @dmdima_com @LComunicas @AdsDulantoScott  @RosanaRibera @elpoderdecurar @IEuropeo @HumanityPlus @cordeiro @NatashaVitaMore @aubreydegrey @paulspiegel  @AngelNinoQ @dw2🔴_x000a_ https://t.co/1lfCUjGiVg https://t.co/2ksQ2QBHnh"/>
    <s v="https://www.youtube.com/watch?v=xb0JCOgMsXc&amp;feature=youtu.be"/>
    <s v="youtube.com"/>
    <x v="4"/>
    <s v="https://pbs.twimg.com/media/FhW7ZTpXkAAZ4Hh.jpg"/>
    <s v="https://pbs.twimg.com/media/FhW7ZTpXkAAZ4Hh.jpg"/>
    <x v="4"/>
    <d v="2022-11-12T00:00:00.000"/>
    <s v="13:36:08"/>
    <s v="https://twitter.com/paoloigna1/status/1591424607005052928"/>
    <m/>
    <m/>
    <s v="1591424607005052928"/>
    <m/>
    <b v="0"/>
    <n v="0"/>
    <s v=""/>
    <b v="0"/>
    <s v="es"/>
    <m/>
    <s v=""/>
    <b v="0"/>
    <n v="5"/>
    <s v="1591409554893725697"/>
    <s v="Twitter Web App"/>
    <b v="0"/>
    <s v="1591409554893725697"/>
    <s v="Tweet"/>
    <n v="0"/>
    <n v="0"/>
    <m/>
    <m/>
    <m/>
    <m/>
    <m/>
    <m/>
    <m/>
    <m/>
    <m/>
    <m/>
    <m/>
    <m/>
    <m/>
    <m/>
    <m/>
    <m/>
    <m/>
  </r>
  <r>
    <s v="paoloigna1"/>
    <s v="transvisionmad1"/>
    <m/>
    <m/>
    <m/>
    <m/>
    <m/>
    <m/>
    <m/>
    <m/>
    <s v="No"/>
    <n v="26"/>
    <m/>
    <m/>
    <n v="1"/>
    <s v="1"/>
    <s v="2"/>
    <x v="0"/>
    <d v="2022-11-12T13:36:20.000"/>
    <s v="#Madrid acoge este fin de semana una cumbre internacional #TransVisionMadrid sobre criopreservación humana _x000a_➡️ https://t.co/mYFCeMINnA https://t.co/XzITq0NHie"/>
    <s v="https://www.europapress.es/sociedad/noticia-madrid-acoge-fin-semana-cumbre-internacional-criopreservacion-humana-20221111121558.html"/>
    <s v="europapress.es"/>
    <x v="0"/>
    <s v="https://pbs.twimg.com/media/FhXLrnHXwAAfpE5.jpg"/>
    <s v="https://pbs.twimg.com/media/FhXLrnHXwAAfpE5.jpg"/>
    <x v="5"/>
    <d v="2022-11-12T00:00:00.000"/>
    <s v="13:36:20"/>
    <s v="https://twitter.com/paoloigna1/status/1591424658418831360"/>
    <m/>
    <m/>
    <s v="1591424658418831360"/>
    <m/>
    <b v="0"/>
    <n v="0"/>
    <s v=""/>
    <b v="0"/>
    <s v="es"/>
    <m/>
    <s v=""/>
    <b v="0"/>
    <n v="1"/>
    <s v="1591401998385029120"/>
    <s v="Twitter Web App"/>
    <b v="0"/>
    <s v="1591401998385029120"/>
    <s v="Tweet"/>
    <n v="0"/>
    <n v="0"/>
    <m/>
    <m/>
    <m/>
    <m/>
    <m/>
    <m/>
    <m/>
    <m/>
    <n v="0"/>
    <n v="0"/>
    <n v="0"/>
    <n v="0"/>
    <n v="0"/>
    <n v="0"/>
    <n v="10"/>
    <n v="76.92307692307692"/>
    <n v="13"/>
  </r>
  <r>
    <s v="paoloigna1"/>
    <s v="cordeiro"/>
    <m/>
    <m/>
    <m/>
    <m/>
    <m/>
    <m/>
    <m/>
    <m/>
    <s v="No"/>
    <n v="27"/>
    <m/>
    <m/>
    <n v="1"/>
    <s v="1"/>
    <s v="4"/>
    <x v="0"/>
    <d v="2022-11-12T13:36:23.000"/>
    <s v="#TransVisionMadrid  Estamos congregados en #Madrid  varios científicos hablando sobre la &quot;inmortalidad&quot; y  Biostasis BFR_x000a_🔹Debatimos sobre la suspensión de la vida con técnicas de frío para su reanimación posterior   _x000a_🔴 Estamos en…https://t.co/3sWDssQI8g https://t.co/DTjJF5ztVU"/>
    <s v="https://www.linkedin.com/feed/update/urn:li:share:6997145306941296640 https://www.youtube.com/watch?v=xb0JCOgMsXc"/>
    <s v="linkedin.com youtube.com"/>
    <x v="5"/>
    <m/>
    <s v="https://pbs.twimg.com/profile_images/1060178682403266561/Kuf9_hvx_normal.jpg"/>
    <x v="6"/>
    <d v="2022-11-12T00:00:00.000"/>
    <s v="13:36:23"/>
    <s v="https://twitter.com/paoloigna1/status/1591424670167097344"/>
    <m/>
    <m/>
    <s v="1591424670167097344"/>
    <m/>
    <b v="0"/>
    <n v="0"/>
    <s v=""/>
    <b v="0"/>
    <s v="es"/>
    <m/>
    <s v=""/>
    <b v="0"/>
    <n v="1"/>
    <s v="1591379681969725441"/>
    <s v="Twitter Web App"/>
    <b v="0"/>
    <s v="1591379681969725441"/>
    <s v="Tweet"/>
    <n v="0"/>
    <n v="0"/>
    <m/>
    <m/>
    <m/>
    <m/>
    <m/>
    <m/>
    <m/>
    <m/>
    <n v="0"/>
    <n v="0"/>
    <n v="0"/>
    <n v="0"/>
    <n v="0"/>
    <n v="0"/>
    <n v="24"/>
    <n v="68.57142857142857"/>
    <n v="35"/>
  </r>
  <r>
    <s v="iosu_blanco"/>
    <s v="dw2"/>
    <m/>
    <m/>
    <m/>
    <m/>
    <m/>
    <m/>
    <m/>
    <m/>
    <s v="No"/>
    <n v="28"/>
    <m/>
    <m/>
    <n v="1"/>
    <s v="1"/>
    <s v="5"/>
    <x v="1"/>
    <d v="2022-11-12T13:40:07.000"/>
    <s v="#TransVisionMadrid Hablamos #Biostasis #BFR   #futuro #Ciencia Gracias por el apoyo @dmdima_com @LComunicas @AdsDulantoScott  @RosanaRibera @elpoderdecurar @IEuropeo @HumanityPlus @cordeiro @NatashaVitaMore @aubreydegrey @paulspiegel  @AngelNinoQ @dw2🔴_x000a_ https://t.co/1lfCUjGiVg https://t.co/2ksQ2QBHnh"/>
    <s v="https://www.youtube.com/watch?v=xb0JCOgMsXc&amp;feature=youtu.be"/>
    <s v="youtube.com"/>
    <x v="4"/>
    <s v="https://pbs.twimg.com/media/FhW7ZTpXkAAZ4Hh.jpg"/>
    <s v="https://pbs.twimg.com/media/FhW7ZTpXkAAZ4Hh.jpg"/>
    <x v="7"/>
    <d v="2022-11-12T00:00:00.000"/>
    <s v="13:40:07"/>
    <s v="https://twitter.com/iosu_blanco/status/1591425610903068676"/>
    <m/>
    <m/>
    <s v="1591425610903068676"/>
    <m/>
    <b v="0"/>
    <n v="0"/>
    <s v=""/>
    <b v="0"/>
    <s v="es"/>
    <m/>
    <s v=""/>
    <b v="0"/>
    <n v="5"/>
    <s v="1591409554893725697"/>
    <s v="Twitter for Android"/>
    <b v="0"/>
    <s v="1591409554893725697"/>
    <s v="Tweet"/>
    <n v="0"/>
    <n v="0"/>
    <m/>
    <m/>
    <m/>
    <m/>
    <m/>
    <m/>
    <m/>
    <m/>
    <m/>
    <m/>
    <m/>
    <m/>
    <m/>
    <m/>
    <m/>
    <m/>
    <m/>
  </r>
  <r>
    <s v="iosu_blanco"/>
    <s v="hashtagmarketi7"/>
    <m/>
    <m/>
    <m/>
    <m/>
    <m/>
    <m/>
    <m/>
    <m/>
    <s v="No"/>
    <n v="42"/>
    <m/>
    <m/>
    <n v="2"/>
    <s v="1"/>
    <s v="1"/>
    <x v="0"/>
    <d v="2022-11-12T14:15:22.000"/>
    <s v="⭐️  Nuevo enlace ⭐️  al evento #TransVisionMadrid  _x000a__x000a_ 🔴    Estamos en directo  🔴   por #youtube  👇https://t.co/UjtDZKw3Ao"/>
    <s v="https://www.youtube.com/watch?v=erkbGlWtX3Q&amp;feature=youtu.be"/>
    <s v="youtube.com"/>
    <x v="3"/>
    <m/>
    <s v="https://pbs.twimg.com/profile_images/1575211829978071041/Dv1L40sv_normal.jpg"/>
    <x v="8"/>
    <d v="2022-11-12T00:00:00.000"/>
    <s v="14:15:22"/>
    <s v="https://twitter.com/iosu_blanco/status/1591434481411690496"/>
    <m/>
    <m/>
    <s v="1591434481411690496"/>
    <m/>
    <b v="0"/>
    <n v="0"/>
    <s v=""/>
    <b v="0"/>
    <s v="es"/>
    <m/>
    <s v=""/>
    <b v="0"/>
    <n v="1"/>
    <s v="1591430803812421633"/>
    <s v="Twitter for Android"/>
    <b v="0"/>
    <s v="1591430803812421633"/>
    <s v="Tweet"/>
    <n v="0"/>
    <n v="0"/>
    <m/>
    <m/>
    <m/>
    <m/>
    <m/>
    <m/>
    <m/>
    <m/>
    <n v="0"/>
    <n v="0"/>
    <n v="0"/>
    <n v="0"/>
    <n v="0"/>
    <n v="0"/>
    <n v="11"/>
    <n v="78.57142857142857"/>
    <n v="14"/>
  </r>
  <r>
    <s v="vinitra5"/>
    <s v="hashtagmarketi7"/>
    <m/>
    <m/>
    <m/>
    <m/>
    <m/>
    <m/>
    <m/>
    <m/>
    <s v="No"/>
    <n v="43"/>
    <m/>
    <m/>
    <n v="1"/>
    <s v="1"/>
    <s v="1"/>
    <x v="0"/>
    <d v="2022-11-12T14:40:33.000"/>
    <s v="#TransVisionMadrid Biostasis First Response (BFR) Training is on #youtube #streaming 🔴 https://t.co/MF3wZvqLSJ https://t.co/e3kPXOUSXl"/>
    <s v="https://youtu.be/erkbGlWtX3Q"/>
    <s v="youtu.be"/>
    <x v="6"/>
    <m/>
    <s v="https://pbs.twimg.com/profile_images/1593167753799643136/KYKFKsS__normal.jpg"/>
    <x v="9"/>
    <d v="2022-11-12T00:00:00.000"/>
    <s v="14:40:33"/>
    <s v="https://twitter.com/vinitra5/status/1591440819596460032"/>
    <m/>
    <m/>
    <s v="1591440819596460032"/>
    <m/>
    <b v="0"/>
    <n v="0"/>
    <s v=""/>
    <b v="0"/>
    <s v="en"/>
    <m/>
    <s v=""/>
    <b v="0"/>
    <n v="3"/>
    <s v="1591438815339900929"/>
    <s v="vintwitbot"/>
    <b v="0"/>
    <s v="1591438815339900929"/>
    <s v="Tweet"/>
    <n v="0"/>
    <n v="0"/>
    <m/>
    <m/>
    <m/>
    <m/>
    <m/>
    <m/>
    <m/>
    <m/>
    <n v="0"/>
    <n v="0"/>
    <n v="0"/>
    <n v="0"/>
    <n v="0"/>
    <n v="0"/>
    <n v="8"/>
    <n v="80"/>
    <n v="10"/>
  </r>
  <r>
    <s v="daya1angel"/>
    <s v="hashtagmarketi7"/>
    <m/>
    <m/>
    <m/>
    <m/>
    <m/>
    <m/>
    <m/>
    <m/>
    <s v="No"/>
    <n v="44"/>
    <m/>
    <m/>
    <n v="1"/>
    <s v="1"/>
    <s v="1"/>
    <x v="0"/>
    <d v="2022-11-12T23:29:15.000"/>
    <s v="#TransVisionMadrid Biostasis First Response (BFR) Training is on #youtube #streaming 🔴 https://t.co/MF3wZvqLSJ https://t.co/e3kPXOUSXl"/>
    <s v="https://youtu.be/erkbGlWtX3Q"/>
    <s v="youtu.be"/>
    <x v="6"/>
    <m/>
    <s v="https://pbs.twimg.com/profile_images/875829647790964737/mJLoGN7N_normal.jpg"/>
    <x v="10"/>
    <d v="2022-11-12T00:00:00.000"/>
    <s v="23:29:15"/>
    <s v="https://twitter.com/daya1angel/status/1591573871622295553"/>
    <m/>
    <m/>
    <s v="1591573871622295553"/>
    <m/>
    <b v="0"/>
    <n v="0"/>
    <s v=""/>
    <b v="0"/>
    <s v="en"/>
    <m/>
    <s v=""/>
    <b v="0"/>
    <n v="3"/>
    <s v="1591438815339900929"/>
    <s v="Twitter for Android"/>
    <b v="0"/>
    <s v="1591438815339900929"/>
    <s v="Tweet"/>
    <n v="0"/>
    <n v="0"/>
    <m/>
    <m/>
    <m/>
    <m/>
    <m/>
    <m/>
    <m/>
    <m/>
    <n v="0"/>
    <n v="0"/>
    <n v="0"/>
    <n v="0"/>
    <n v="0"/>
    <n v="0"/>
    <n v="8"/>
    <n v="80"/>
    <n v="10"/>
  </r>
  <r>
    <s v="gul_insidious"/>
    <s v="transvisionmad1"/>
    <m/>
    <m/>
    <m/>
    <m/>
    <m/>
    <m/>
    <m/>
    <m/>
    <s v="No"/>
    <n v="45"/>
    <m/>
    <m/>
    <n v="1"/>
    <s v="2"/>
    <s v="2"/>
    <x v="0"/>
    <d v="2022-11-13T07:32:19.000"/>
    <s v="#TransVisionMadrid 4 españoles reposan congelados a la espera de ser 'resucitados' De esto hablamos en #TransVision Madrid_x000a_Las compañías de #criopreservación viven un extraordinario crecimiento estos años mientras retan a la #ciencia #Futuro #Tecnologia_x000a_https://t.co/zVNK9rZaX2"/>
    <s v="https://www.abc.es/sociedad/cuatro-espanoles-reposan-congelados-espera-resucitados-20221109220843-nt.html"/>
    <s v="abc.es"/>
    <x v="2"/>
    <m/>
    <s v="https://pbs.twimg.com/profile_images/1557013058689671170/qRQLHJjl_normal.jpg"/>
    <x v="11"/>
    <d v="2022-11-13T00:00:00.000"/>
    <s v="07:32:19"/>
    <s v="https://twitter.com/gul_insidious/status/1591695440382418947"/>
    <m/>
    <m/>
    <s v="1591695440382418947"/>
    <m/>
    <b v="0"/>
    <n v="0"/>
    <s v=""/>
    <b v="0"/>
    <s v="es"/>
    <m/>
    <s v=""/>
    <b v="0"/>
    <n v="1"/>
    <s v="1591688878091640832"/>
    <s v="Twitter for iPad"/>
    <b v="0"/>
    <s v="1591688878091640832"/>
    <s v="Tweet"/>
    <n v="0"/>
    <n v="0"/>
    <m/>
    <m/>
    <m/>
    <m/>
    <m/>
    <m/>
    <m/>
    <m/>
    <n v="0"/>
    <n v="0"/>
    <n v="0"/>
    <n v="0"/>
    <n v="0"/>
    <n v="0"/>
    <n v="23"/>
    <n v="67.6470588235294"/>
    <n v="34"/>
  </r>
  <r>
    <s v="peterxing"/>
    <s v="transvisionmad1"/>
    <m/>
    <m/>
    <m/>
    <m/>
    <m/>
    <m/>
    <m/>
    <m/>
    <s v="No"/>
    <n v="46"/>
    <m/>
    <m/>
    <n v="1"/>
    <s v="5"/>
    <s v="2"/>
    <x v="0"/>
    <d v="2022-11-12T00:56:44.000"/>
    <s v="#TransVisionMadrid Biostasis First Response #BFR  Training with David Wood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pMVmb35WWq https://t.co/1ac4UXQYoj"/>
    <s v="http://transvisionmadrid.com"/>
    <s v="transvisionmadrid.com"/>
    <x v="7"/>
    <s v="https://pbs.twimg.com/media/FhTvgAiXgBAb2MX.jpg"/>
    <s v="https://pbs.twimg.com/media/FhTvgAiXgBAb2MX.jpg"/>
    <x v="12"/>
    <d v="2022-11-12T00:00:00.000"/>
    <s v="00:56:44"/>
    <s v="https://twitter.com/peterxing/status/1591233499889307648"/>
    <m/>
    <m/>
    <s v="1591233499889307648"/>
    <m/>
    <b v="0"/>
    <n v="0"/>
    <s v=""/>
    <b v="0"/>
    <s v="en"/>
    <m/>
    <s v=""/>
    <b v="0"/>
    <n v="1"/>
    <s v="1591159908736667648"/>
    <s v="Twitter for iPhone"/>
    <b v="0"/>
    <s v="1591159908736667648"/>
    <s v="Tweet"/>
    <n v="0"/>
    <n v="0"/>
    <m/>
    <m/>
    <m/>
    <m/>
    <m/>
    <m/>
    <m/>
    <m/>
    <n v="0"/>
    <n v="0"/>
    <n v="0"/>
    <n v="0"/>
    <n v="0"/>
    <n v="0"/>
    <n v="16"/>
    <n v="84.21052631578948"/>
    <n v="19"/>
  </r>
  <r>
    <s v="peterxing"/>
    <s v="dw2"/>
    <m/>
    <m/>
    <m/>
    <m/>
    <m/>
    <m/>
    <m/>
    <m/>
    <s v="No"/>
    <n v="47"/>
    <m/>
    <m/>
    <n v="2"/>
    <s v="5"/>
    <s v="5"/>
    <x v="0"/>
    <d v="2022-11-12T11:22:08.000"/>
    <s v="Reached the #TransVisionMadrid venue. Looking serious... https://t.co/yJLSNTKup5"/>
    <m/>
    <m/>
    <x v="1"/>
    <s v="https://pbs.twimg.com/media/FhWdWZuXwAAO13Y.jpg"/>
    <s v="https://pbs.twimg.com/media/FhWdWZuXwAAO13Y.jpg"/>
    <x v="13"/>
    <d v="2022-11-12T00:00:00.000"/>
    <s v="11:22:08"/>
    <s v="https://twitter.com/peterxing/status/1591390885899833345"/>
    <m/>
    <m/>
    <s v="1591390885899833345"/>
    <m/>
    <b v="0"/>
    <n v="0"/>
    <s v=""/>
    <b v="0"/>
    <s v="en"/>
    <m/>
    <s v=""/>
    <b v="0"/>
    <n v="6"/>
    <s v="1591351063663480833"/>
    <s v="Twitter for iPhone"/>
    <b v="0"/>
    <s v="1591351063663480833"/>
    <s v="Tweet"/>
    <n v="0"/>
    <n v="0"/>
    <m/>
    <m/>
    <m/>
    <m/>
    <m/>
    <m/>
    <m/>
    <m/>
    <n v="0"/>
    <n v="0"/>
    <n v="0"/>
    <n v="0"/>
    <n v="0"/>
    <n v="0"/>
    <n v="5"/>
    <n v="83.33333333333333"/>
    <n v="6"/>
  </r>
  <r>
    <s v="peterxing"/>
    <s v="dw2"/>
    <m/>
    <m/>
    <m/>
    <m/>
    <m/>
    <m/>
    <m/>
    <m/>
    <s v="No"/>
    <n v="48"/>
    <m/>
    <m/>
    <n v="2"/>
    <s v="5"/>
    <s v="5"/>
    <x v="0"/>
    <d v="2022-11-12T11:51:54.000"/>
    <s v="I'm all set for my presentation at #TransVisionMadrid on Saturday: &quot;Anticipating accelerating adoption of biostasis: Forthcoming technological changes that may soon cause wide changes in public attitudes&quot; https://t.co/l5HQuRfOeP https://t.co/ZDJdAW3sR5"/>
    <s v="https://www.transvisionmadrid.com/en/2022.html"/>
    <s v="transvisionmadrid.com"/>
    <x v="1"/>
    <s v="https://pbs.twimg.com/media/FhN2si8XwAIi1Du.jpg"/>
    <s v="https://pbs.twimg.com/media/FhN2si8XwAIi1Du.jpg"/>
    <x v="14"/>
    <d v="2022-11-12T00:00:00.000"/>
    <s v="11:51:54"/>
    <s v="https://twitter.com/peterxing/status/1591398376918380548"/>
    <m/>
    <m/>
    <s v="1591398376918380548"/>
    <m/>
    <b v="0"/>
    <n v="0"/>
    <s v=""/>
    <b v="0"/>
    <s v="en"/>
    <m/>
    <s v=""/>
    <b v="0"/>
    <n v="2"/>
    <s v="1590746215284473866"/>
    <s v="Twitter for iPhone"/>
    <b v="0"/>
    <s v="1590746215284473866"/>
    <s v="Tweet"/>
    <n v="0"/>
    <n v="0"/>
    <m/>
    <m/>
    <m/>
    <m/>
    <m/>
    <m/>
    <m/>
    <m/>
    <n v="0"/>
    <n v="0"/>
    <n v="0"/>
    <n v="0"/>
    <n v="0"/>
    <n v="0"/>
    <n v="17"/>
    <n v="62.96296296296296"/>
    <n v="27"/>
  </r>
  <r>
    <s v="peterxing"/>
    <s v="cordeiro"/>
    <m/>
    <m/>
    <m/>
    <m/>
    <m/>
    <m/>
    <m/>
    <m/>
    <s v="No"/>
    <n v="49"/>
    <m/>
    <m/>
    <n v="1"/>
    <s v="5"/>
    <s v="4"/>
    <x v="0"/>
    <d v="2022-11-13T08:39:03.000"/>
    <s v="#TransVisionMadrid  This will be the first #BFR  training to be organized in #Spain  after some smaller similar events in Germany, the Netherlands, Switzerland, and the United Kingdom. _x000a_🚨  ALL videos on #YouTube  https://t.co/yiheEheGsM https://t.co/gr75HgDT4C"/>
    <s v="https://youtube.com/c/AlianzaFuturista/streams https://www.linkedin.com/feed/update/urn:li:share:6997477447952674817"/>
    <s v="youtube.com linkedin.com"/>
    <x v="8"/>
    <m/>
    <s v="https://pbs.twimg.com/profile_images/1444816137166852102/McN2-LTK_normal.jpg"/>
    <x v="15"/>
    <d v="2022-11-13T00:00:00.000"/>
    <s v="08:39:03"/>
    <s v="https://twitter.com/peterxing/status/1591712232328826880"/>
    <m/>
    <m/>
    <s v="1591712232328826880"/>
    <m/>
    <b v="0"/>
    <n v="0"/>
    <s v=""/>
    <b v="0"/>
    <s v="en"/>
    <m/>
    <s v=""/>
    <b v="0"/>
    <n v="5"/>
    <s v="1591711822561828864"/>
    <s v="Twitter for iPhone"/>
    <b v="0"/>
    <s v="1591711822561828864"/>
    <s v="Tweet"/>
    <n v="0"/>
    <n v="0"/>
    <m/>
    <m/>
    <m/>
    <m/>
    <m/>
    <m/>
    <m/>
    <m/>
    <n v="0"/>
    <n v="0"/>
    <n v="0"/>
    <n v="0"/>
    <n v="0"/>
    <n v="0"/>
    <n v="16"/>
    <n v="51.61290322580645"/>
    <n v="31"/>
  </r>
  <r>
    <s v="piroworldwide"/>
    <s v="transvisionmad1"/>
    <m/>
    <m/>
    <m/>
    <m/>
    <m/>
    <m/>
    <m/>
    <m/>
    <s v="No"/>
    <n v="50"/>
    <m/>
    <m/>
    <n v="1"/>
    <s v="2"/>
    <s v="2"/>
    <x v="0"/>
    <d v="2022-11-13T10:05:25.000"/>
    <s v="#TransVisionMadrid  Biostasis First Response #BFR Training with Ramón Risco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nH2HzZ5xmM https://t.co/QyAkAoc4Ly"/>
    <s v="http://transvisionmadrid.com"/>
    <s v="transvisionmadrid.com"/>
    <x v="7"/>
    <s v="https://pbs.twimg.com/media/Fhb3hI6WAAIZ67S.jpg"/>
    <s v="https://pbs.twimg.com/media/Fhb3hI6WAAIZ67S.jpg"/>
    <x v="16"/>
    <d v="2022-11-13T00:00:00.000"/>
    <s v="10:05:25"/>
    <s v="https://twitter.com/piroworldwide/status/1591733967438614529"/>
    <m/>
    <m/>
    <s v="1591733967438614529"/>
    <m/>
    <b v="0"/>
    <n v="0"/>
    <s v=""/>
    <b v="0"/>
    <s v="en"/>
    <m/>
    <s v=""/>
    <b v="0"/>
    <n v="2"/>
    <s v="1591731671656796160"/>
    <s v="Twitter for iPhone"/>
    <b v="0"/>
    <s v="1591731671656796160"/>
    <s v="Tweet"/>
    <n v="0"/>
    <n v="0"/>
    <m/>
    <m/>
    <m/>
    <m/>
    <m/>
    <m/>
    <m/>
    <m/>
    <n v="0"/>
    <n v="0"/>
    <n v="0"/>
    <n v="0"/>
    <n v="0"/>
    <n v="0"/>
    <n v="16"/>
    <n v="84.21052631578948"/>
    <n v="19"/>
  </r>
  <r>
    <s v="chris_armstrong"/>
    <s v="aubreydegrey"/>
    <m/>
    <m/>
    <m/>
    <m/>
    <m/>
    <m/>
    <m/>
    <m/>
    <s v="No"/>
    <n v="51"/>
    <m/>
    <m/>
    <n v="1"/>
    <s v="2"/>
    <s v="2"/>
    <x v="1"/>
    <d v="2022-11-13T15:07:41.000"/>
    <s v="NOW  @aubreydegrey   is talking about #Longevity and #Biostasis  in last day of #TransVisionMadrid _x000a_#streaming  https://t.co/1HnjRoEwB9 https://t.co/tPQH4yuj2K"/>
    <s v="https://www.youtube.com/watch?v=3JK84n-jsMU"/>
    <s v="youtube.com"/>
    <x v="9"/>
    <s v="https://pbs.twimg.com/media/Fhb4i56WIAEBmHG.jpg"/>
    <s v="https://pbs.twimg.com/media/Fhb4i56WIAEBmHG.jpg"/>
    <x v="17"/>
    <d v="2022-11-13T00:00:00.000"/>
    <s v="15:07:41"/>
    <s v="https://twitter.com/chris_armstrong/status/1591810036141289472"/>
    <m/>
    <m/>
    <s v="1591810036141289472"/>
    <m/>
    <b v="0"/>
    <n v="0"/>
    <s v=""/>
    <b v="0"/>
    <s v="en"/>
    <m/>
    <s v=""/>
    <b v="0"/>
    <n v="1"/>
    <s v="1591733491460624384"/>
    <s v="Twitter for iPhone"/>
    <b v="0"/>
    <s v="1591733491460624384"/>
    <s v="Tweet"/>
    <n v="0"/>
    <n v="0"/>
    <m/>
    <m/>
    <m/>
    <m/>
    <m/>
    <m/>
    <m/>
    <m/>
    <m/>
    <m/>
    <m/>
    <m/>
    <m/>
    <m/>
    <m/>
    <m/>
    <m/>
  </r>
  <r>
    <s v="jordisandalinas"/>
    <s v="dw2"/>
    <m/>
    <m/>
    <m/>
    <m/>
    <m/>
    <m/>
    <m/>
    <m/>
    <s v="No"/>
    <n v="53"/>
    <m/>
    <m/>
    <n v="1"/>
    <s v="1"/>
    <s v="5"/>
    <x v="1"/>
    <d v="2022-11-12T15:58:55.000"/>
    <s v="#TransVisionMadrid Hablamos #Biostasis #BFR   #futuro #Ciencia Gracias por el apoyo @dmdima_com @LComunicas @AdsDulantoScott  @RosanaRibera @elpoderdecurar @IEuropeo @HumanityPlus @cordeiro @NatashaVitaMore @aubreydegrey @paulspiegel  @AngelNinoQ @dw2🔴_x000a_ https://t.co/1lfCUjGiVg https://t.co/2ksQ2QBHnh"/>
    <s v="https://www.youtube.com/watch?v=xb0JCOgMsXc&amp;feature=youtu.be"/>
    <s v="youtube.com"/>
    <x v="4"/>
    <s v="https://pbs.twimg.com/media/FhW7ZTpXkAAZ4Hh.jpg"/>
    <s v="https://pbs.twimg.com/media/FhW7ZTpXkAAZ4Hh.jpg"/>
    <x v="18"/>
    <d v="2022-11-12T00:00:00.000"/>
    <s v="15:58:55"/>
    <s v="https://twitter.com/jordisandalinas/status/1591460542652219395"/>
    <m/>
    <m/>
    <s v="1591460542652219395"/>
    <m/>
    <b v="0"/>
    <n v="0"/>
    <s v=""/>
    <b v="0"/>
    <s v="es"/>
    <m/>
    <s v=""/>
    <b v="0"/>
    <n v="5"/>
    <s v="1591409554893725697"/>
    <s v="Twitter for Android"/>
    <b v="0"/>
    <s v="1591409554893725697"/>
    <s v="Tweet"/>
    <n v="0"/>
    <n v="0"/>
    <m/>
    <m/>
    <m/>
    <m/>
    <m/>
    <m/>
    <m/>
    <m/>
    <m/>
    <m/>
    <m/>
    <m/>
    <m/>
    <m/>
    <m/>
    <m/>
    <m/>
  </r>
  <r>
    <s v="jordisandalinas"/>
    <s v="cordeiro"/>
    <m/>
    <m/>
    <m/>
    <m/>
    <m/>
    <m/>
    <m/>
    <m/>
    <s v="No"/>
    <n v="67"/>
    <m/>
    <m/>
    <n v="1"/>
    <s v="1"/>
    <s v="4"/>
    <x v="0"/>
    <d v="2022-11-13T15:51:57.000"/>
    <s v="#TransVisionMadrid Biostasis First Response #BFR  Training with Jordi Sandalinas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i6lEqdROe6 https://t.co/sfsbqYVBUD"/>
    <s v="http://transvisionmadrid.com"/>
    <s v="transvisionmadrid.com"/>
    <x v="7"/>
    <s v="https://pbs.twimg.com/media/FhatWb1WAAEOUxn.jpg"/>
    <s v="https://pbs.twimg.com/media/FhatWb1WAAEOUxn.jpg"/>
    <x v="19"/>
    <d v="2022-11-13T00:00:00.000"/>
    <s v="15:51:57"/>
    <s v="https://twitter.com/jordisandalinas/status/1591821175529046016"/>
    <m/>
    <m/>
    <s v="1591821175529046016"/>
    <m/>
    <b v="0"/>
    <n v="0"/>
    <s v=""/>
    <b v="0"/>
    <s v="en"/>
    <m/>
    <s v=""/>
    <b v="0"/>
    <n v="1"/>
    <s v="1591650123431419905"/>
    <s v="Twitter for Android"/>
    <b v="0"/>
    <s v="1591650123431419905"/>
    <s v="Tweet"/>
    <n v="0"/>
    <n v="0"/>
    <m/>
    <m/>
    <m/>
    <m/>
    <m/>
    <m/>
    <m/>
    <m/>
    <n v="0"/>
    <n v="0"/>
    <n v="0"/>
    <n v="0"/>
    <n v="0"/>
    <n v="0"/>
    <n v="16"/>
    <n v="84.21052631578948"/>
    <n v="19"/>
  </r>
  <r>
    <s v="ikechukwuebere8"/>
    <s v="transvisionmad1"/>
    <m/>
    <m/>
    <m/>
    <m/>
    <m/>
    <m/>
    <m/>
    <m/>
    <s v="No"/>
    <n v="68"/>
    <m/>
    <m/>
    <n v="1"/>
    <s v="2"/>
    <s v="2"/>
    <x v="0"/>
    <d v="2022-11-13T18:24:50.000"/>
    <s v="#TransVisionMadrid  Biostasis First Response #BFR Training with Ramón Risco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nH2HzZ5xmM https://t.co/QyAkAoc4Ly"/>
    <s v="http://transvisionmadrid.com"/>
    <s v="transvisionmadrid.com"/>
    <x v="7"/>
    <s v="https://pbs.twimg.com/media/Fhb3hI6WAAIZ67S.jpg"/>
    <s v="https://pbs.twimg.com/media/Fhb3hI6WAAIZ67S.jpg"/>
    <x v="20"/>
    <d v="2022-11-13T00:00:00.000"/>
    <s v="18:24:50"/>
    <s v="https://twitter.com/ikechukwuebere8/status/1591859648688230404"/>
    <m/>
    <m/>
    <s v="1591859648688230404"/>
    <m/>
    <b v="0"/>
    <n v="0"/>
    <s v=""/>
    <b v="0"/>
    <s v="en"/>
    <m/>
    <s v=""/>
    <b v="0"/>
    <n v="2"/>
    <s v="1591731671656796160"/>
    <s v="Twitter for Android"/>
    <b v="0"/>
    <s v="1591731671656796160"/>
    <s v="Tweet"/>
    <n v="0"/>
    <n v="0"/>
    <m/>
    <m/>
    <m/>
    <m/>
    <m/>
    <m/>
    <m/>
    <m/>
    <n v="0"/>
    <n v="0"/>
    <n v="0"/>
    <n v="0"/>
    <n v="0"/>
    <n v="0"/>
    <n v="16"/>
    <n v="84.21052631578948"/>
    <n v="19"/>
  </r>
  <r>
    <s v="elultimosapiens"/>
    <s v="cordeiro"/>
    <m/>
    <m/>
    <m/>
    <m/>
    <m/>
    <m/>
    <m/>
    <m/>
    <s v="No"/>
    <n v="69"/>
    <m/>
    <m/>
    <n v="1"/>
    <s v="4"/>
    <s v="4"/>
    <x v="0"/>
    <d v="2022-11-13T22:31:41.000"/>
    <s v="#TransVisionMadrid  This will be the first #BFR  training to be organized in #Spain  after some smaller similar events in Germany, the Netherlands, Switzerland, and the United Kingdom. _x000a_🚨  ALL videos on #YouTube  https://t.co/yiheEheGsM https://t.co/gr75HgDT4C"/>
    <s v="https://youtube.com/c/AlianzaFuturista/streams https://www.linkedin.com/feed/update/urn:li:share:6997477447952674817"/>
    <s v="youtube.com linkedin.com"/>
    <x v="8"/>
    <m/>
    <s v="https://pbs.twimg.com/profile_images/1519421802304397312/lrC8-Nd3_normal.jpg"/>
    <x v="21"/>
    <d v="2022-11-13T00:00:00.000"/>
    <s v="22:31:41"/>
    <s v="https://twitter.com/elultimosapiens/status/1591921771774898176"/>
    <m/>
    <m/>
    <s v="1591921771774898176"/>
    <m/>
    <b v="0"/>
    <n v="0"/>
    <s v=""/>
    <b v="0"/>
    <s v="en"/>
    <m/>
    <s v=""/>
    <b v="0"/>
    <n v="5"/>
    <s v="1591711822561828864"/>
    <s v="Twitter Web App"/>
    <b v="0"/>
    <s v="1591711822561828864"/>
    <s v="Tweet"/>
    <n v="0"/>
    <n v="0"/>
    <m/>
    <m/>
    <m/>
    <m/>
    <m/>
    <m/>
    <m/>
    <m/>
    <n v="0"/>
    <n v="0"/>
    <n v="0"/>
    <n v="0"/>
    <n v="0"/>
    <n v="0"/>
    <n v="16"/>
    <n v="51.61290322580645"/>
    <n v="31"/>
  </r>
  <r>
    <s v="frcretweets"/>
    <s v="transvisionmad1"/>
    <m/>
    <m/>
    <m/>
    <m/>
    <m/>
    <m/>
    <m/>
    <m/>
    <s v="No"/>
    <n v="70"/>
    <m/>
    <m/>
    <n v="1"/>
    <s v="2"/>
    <s v="2"/>
    <x v="0"/>
    <d v="2022-11-14T09:24:52.000"/>
    <s v="Talking about #Longevity and #Biostasis  in #TransVisionMadrid #streaming  _x000a_➡️ https://t.co/P0CBGJdTuZ https://t.co/eLbpevlyQ5"/>
    <s v="https://www.youtube.com/watch?v=3JK84n-jsMU"/>
    <s v="youtube.com"/>
    <x v="9"/>
    <s v="https://pbs.twimg.com/media/FhcHy7oXEAMenzQ.png"/>
    <s v="https://pbs.twimg.com/media/FhcHy7oXEAMenzQ.png"/>
    <x v="22"/>
    <d v="2022-11-14T00:00:00.000"/>
    <s v="09:24:52"/>
    <s v="https://twitter.com/frcretweets/status/1592086151388602369"/>
    <m/>
    <m/>
    <s v="1592086151388602369"/>
    <m/>
    <b v="0"/>
    <n v="0"/>
    <s v=""/>
    <b v="0"/>
    <s v="en"/>
    <m/>
    <s v=""/>
    <b v="0"/>
    <n v="5"/>
    <s v="1591749681398308865"/>
    <s v="FRCRetweets"/>
    <b v="0"/>
    <s v="1591749681398308865"/>
    <s v="Tweet"/>
    <n v="0"/>
    <n v="0"/>
    <m/>
    <m/>
    <m/>
    <m/>
    <m/>
    <m/>
    <m/>
    <m/>
    <n v="0"/>
    <n v="0"/>
    <n v="0"/>
    <n v="0"/>
    <n v="0"/>
    <n v="0"/>
    <n v="5"/>
    <n v="62.5"/>
    <n v="8"/>
  </r>
  <r>
    <s v="carlesvillapla1"/>
    <s v="cordeiro"/>
    <m/>
    <m/>
    <m/>
    <m/>
    <m/>
    <m/>
    <m/>
    <m/>
    <s v="No"/>
    <n v="71"/>
    <m/>
    <m/>
    <n v="1"/>
    <s v="4"/>
    <s v="4"/>
    <x v="0"/>
    <d v="2022-11-13T21:59:14.000"/>
    <s v="#TransVisionMadrid Biostasis First Response #BFR  Training with Ben Best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oybknXPBRh https://t.co/vVmJCeRg8I"/>
    <s v="http://transvisionmadrid.com"/>
    <s v="transvisionmadrid.com"/>
    <x v="7"/>
    <s v="https://pbs.twimg.com/media/FheSAwLXgAkq2lI.jpg"/>
    <s v="https://pbs.twimg.com/media/FheSAwLXgAkq2lI.jpg"/>
    <x v="23"/>
    <d v="2022-11-13T00:00:00.000"/>
    <s v="21:59:14"/>
    <s v="https://twitter.com/carlesvillapla1/status/1591913604252831747"/>
    <m/>
    <m/>
    <s v="1591913604252831747"/>
    <m/>
    <b v="0"/>
    <n v="0"/>
    <s v=""/>
    <b v="0"/>
    <s v="en"/>
    <m/>
    <s v=""/>
    <b v="0"/>
    <n v="1"/>
    <s v="1591901539219693568"/>
    <s v="Twitter for Android"/>
    <b v="0"/>
    <s v="1591901539219693568"/>
    <s v="Tweet"/>
    <n v="0"/>
    <n v="0"/>
    <m/>
    <m/>
    <m/>
    <m/>
    <m/>
    <m/>
    <m/>
    <m/>
    <n v="1"/>
    <n v="5.2631578947368425"/>
    <n v="0"/>
    <n v="0"/>
    <n v="0"/>
    <n v="0"/>
    <n v="15"/>
    <n v="78.94736842105263"/>
    <n v="19"/>
  </r>
  <r>
    <s v="carlesvillapla1"/>
    <s v="transvisionmad1"/>
    <m/>
    <m/>
    <m/>
    <m/>
    <m/>
    <m/>
    <m/>
    <m/>
    <s v="No"/>
    <n v="72"/>
    <m/>
    <m/>
    <n v="1"/>
    <s v="4"/>
    <s v="2"/>
    <x v="0"/>
    <d v="2022-11-14T16:21:25.000"/>
    <s v="Talking about #Longevity and #Biostasis  in #TransVisionMadrid #streaming  _x000a_➡️ https://t.co/P0CBGJdTuZ https://t.co/eLbpevlyQ5"/>
    <s v="https://www.youtube.com/watch?v=3JK84n-jsMU"/>
    <s v="youtube.com"/>
    <x v="9"/>
    <s v="https://pbs.twimg.com/media/FhcHy7oXEAMenzQ.png"/>
    <s v="https://pbs.twimg.com/media/FhcHy7oXEAMenzQ.png"/>
    <x v="24"/>
    <d v="2022-11-14T00:00:00.000"/>
    <s v="16:21:25"/>
    <s v="https://twitter.com/carlesvillapla1/status/1592190977673936899"/>
    <m/>
    <m/>
    <s v="1592190977673936899"/>
    <m/>
    <b v="0"/>
    <n v="0"/>
    <s v=""/>
    <b v="0"/>
    <s v="en"/>
    <m/>
    <s v=""/>
    <b v="0"/>
    <n v="5"/>
    <s v="1591749681398308865"/>
    <s v="Twitter for Android"/>
    <b v="0"/>
    <s v="1591749681398308865"/>
    <s v="Tweet"/>
    <n v="0"/>
    <n v="0"/>
    <m/>
    <m/>
    <m/>
    <m/>
    <m/>
    <m/>
    <m/>
    <m/>
    <n v="0"/>
    <n v="0"/>
    <n v="0"/>
    <n v="0"/>
    <n v="0"/>
    <n v="0"/>
    <n v="5"/>
    <n v="62.5"/>
    <n v="8"/>
  </r>
  <r>
    <s v="thcbc_nft"/>
    <s v="transvisionmad1"/>
    <m/>
    <m/>
    <m/>
    <m/>
    <m/>
    <m/>
    <m/>
    <m/>
    <s v="No"/>
    <n v="73"/>
    <m/>
    <m/>
    <n v="1"/>
    <s v="2"/>
    <s v="2"/>
    <x v="0"/>
    <d v="2022-11-16T18:19:19.000"/>
    <s v="#TransVisionMadrid  Cumbre científica sobre la #inmortalidad&quot; en #Madrid _x000a_👉 Debate sobre la suspensión de la vida con técnicas de frío extremo para ser reanimada mucho tiempo después #LaMuerteDeLaMuerte   https://t.co/vFBOgcr1Ng"/>
    <s v="https://www.levante-emv.com/tendencias21/2022/11/12/cumbre-cientifica-inmortalidad-madrid-78418464.html"/>
    <s v="levante-emv.com"/>
    <x v="10"/>
    <m/>
    <s v="https://pbs.twimg.com/profile_images/1580441662622507014/UdEZtt-t_normal.jpg"/>
    <x v="25"/>
    <d v="2022-11-16T00:00:00.000"/>
    <s v="18:19:19"/>
    <s v="https://twitter.com/thcbc_nft/status/1592945426847518720"/>
    <m/>
    <m/>
    <s v="1592945426847518720"/>
    <m/>
    <b v="0"/>
    <n v="0"/>
    <s v=""/>
    <b v="0"/>
    <s v="es"/>
    <m/>
    <s v=""/>
    <b v="0"/>
    <n v="2"/>
    <s v="1592232462209490944"/>
    <s v="Twitter for Android"/>
    <b v="0"/>
    <s v="1592232462209490944"/>
    <s v="Tweet"/>
    <n v="0"/>
    <n v="0"/>
    <m/>
    <m/>
    <m/>
    <m/>
    <m/>
    <m/>
    <m/>
    <m/>
    <n v="0"/>
    <n v="0"/>
    <n v="0"/>
    <n v="0"/>
    <n v="0"/>
    <n v="0"/>
    <n v="18"/>
    <n v="66.66666666666667"/>
    <n v="27"/>
  </r>
  <r>
    <s v="adsdulantoscott"/>
    <s v="angelninoq"/>
    <m/>
    <m/>
    <m/>
    <m/>
    <m/>
    <m/>
    <m/>
    <m/>
    <s v="No"/>
    <n v="74"/>
    <m/>
    <m/>
    <n v="1"/>
    <s v="3"/>
    <s v="1"/>
    <x v="1"/>
    <d v="2022-11-12T13:30:22.000"/>
    <s v="#TransVisionMadrid Hablamos #Biostasis #BFR   #futuro #Ciencia Gracias por el apoyo @dmdima_com @LComunicas @AdsDulantoScott  @RosanaRibera @elpoderdecurar @IEuropeo @HumanityPlus @cordeiro @NatashaVitaMore @aubreydegrey @paulspiegel  @AngelNinoQ @dw2🔴_x000a_ https://t.co/1lfCUjGiVg https://t.co/2ksQ2QBHnh"/>
    <s v="https://www.youtube.com/watch?v=xb0JCOgMsXc&amp;feature=youtu.be"/>
    <s v="youtube.com"/>
    <x v="4"/>
    <s v="https://pbs.twimg.com/media/FhW7ZTpXkAAZ4Hh.jpg"/>
    <s v="https://pbs.twimg.com/media/FhW7ZTpXkAAZ4Hh.jpg"/>
    <x v="26"/>
    <d v="2022-11-12T00:00:00.000"/>
    <s v="13:30:22"/>
    <s v="https://twitter.com/adsdulantoscott/status/1591423156446789635"/>
    <m/>
    <m/>
    <s v="1591423156446789635"/>
    <m/>
    <b v="0"/>
    <n v="0"/>
    <s v=""/>
    <b v="0"/>
    <s v="es"/>
    <m/>
    <s v=""/>
    <b v="0"/>
    <n v="5"/>
    <s v="1591409554893725697"/>
    <s v="Twitter for iPhone"/>
    <b v="0"/>
    <s v="1591409554893725697"/>
    <s v="Tweet"/>
    <n v="0"/>
    <n v="0"/>
    <m/>
    <m/>
    <m/>
    <m/>
    <m/>
    <m/>
    <m/>
    <m/>
    <m/>
    <m/>
    <m/>
    <m/>
    <m/>
    <m/>
    <m/>
    <m/>
    <m/>
  </r>
  <r>
    <s v="hashtagmarketi7"/>
    <s v="angelninoq"/>
    <m/>
    <m/>
    <m/>
    <m/>
    <m/>
    <m/>
    <m/>
    <m/>
    <s v="No"/>
    <n v="75"/>
    <m/>
    <m/>
    <n v="1"/>
    <s v="1"/>
    <s v="1"/>
    <x v="2"/>
    <d v="2022-11-12T12:36:19.000"/>
    <s v="#TransVisionMadrid Hablamos #Biostasis #BFR   #futuro #Ciencia Gracias por el apoyo @dmdima_com @LComunicas @AdsDulantoScott  @RosanaRibera @elpoderdecurar @IEuropeo @HumanityPlus @cordeiro @NatashaVitaMore @aubreydegrey @paulspiegel  @AngelNinoQ @dw2🔴_x000a_ https://t.co/1lfCUjGiVg https://t.co/2ksQ2QBHnh"/>
    <s v="https://www.youtube.com/watch?v=xb0JCOgMsXc&amp;feature=youtu.be"/>
    <s v="youtube.com"/>
    <x v="4"/>
    <s v="https://pbs.twimg.com/media/FhW7ZTpXkAAZ4Hh.jpg"/>
    <s v="https://pbs.twimg.com/media/FhW7ZTpXkAAZ4Hh.jpg"/>
    <x v="27"/>
    <d v="2022-11-12T00:00:00.000"/>
    <s v="12:36:19"/>
    <s v="https://twitter.com/hashtagmarketi7/status/1591409554893725697"/>
    <m/>
    <m/>
    <s v="1591409554893725697"/>
    <m/>
    <b v="0"/>
    <n v="6"/>
    <s v=""/>
    <b v="0"/>
    <s v="es"/>
    <m/>
    <s v=""/>
    <b v="0"/>
    <n v="5"/>
    <s v=""/>
    <s v="Twitter Web App"/>
    <b v="0"/>
    <s v="1591409554893725697"/>
    <s v="Tweet"/>
    <n v="0"/>
    <n v="0"/>
    <m/>
    <m/>
    <m/>
    <m/>
    <m/>
    <m/>
    <m/>
    <m/>
    <m/>
    <m/>
    <m/>
    <m/>
    <m/>
    <m/>
    <m/>
    <m/>
    <m/>
  </r>
  <r>
    <s v="transvisionmad1"/>
    <s v="angelninoq"/>
    <m/>
    <m/>
    <m/>
    <m/>
    <m/>
    <m/>
    <m/>
    <m/>
    <s v="No"/>
    <n v="76"/>
    <m/>
    <m/>
    <n v="1"/>
    <s v="2"/>
    <s v="1"/>
    <x v="1"/>
    <d v="2022-11-12T12:37:43.000"/>
    <s v="#TransVisionMadrid Hablamos #Biostasis #BFR   #futuro #Ciencia Gracias por el apoyo @dmdima_com @LComunicas @AdsDulantoScott  @RosanaRibera @elpoderdecurar @IEuropeo @HumanityPlus @cordeiro @NatashaVitaMore @aubreydegrey @paulspiegel  @AngelNinoQ @dw2🔴_x000a_ https://t.co/1lfCUjGiVg https://t.co/2ksQ2QBHnh"/>
    <s v="https://www.youtube.com/watch?v=xb0JCOgMsXc&amp;feature=youtu.be"/>
    <s v="youtube.com"/>
    <x v="4"/>
    <s v="https://pbs.twimg.com/media/FhW7ZTpXkAAZ4Hh.jpg"/>
    <s v="https://pbs.twimg.com/media/FhW7ZTpXkAAZ4Hh.jpg"/>
    <x v="28"/>
    <d v="2022-11-12T00:00:00.000"/>
    <s v="12:37:43"/>
    <s v="https://twitter.com/transvisionmad1/status/1591409908440002562"/>
    <m/>
    <m/>
    <s v="1591409908440002562"/>
    <m/>
    <b v="0"/>
    <n v="0"/>
    <s v=""/>
    <b v="0"/>
    <s v="es"/>
    <m/>
    <s v=""/>
    <b v="0"/>
    <n v="5"/>
    <s v="1591409554893725697"/>
    <s v="Twitter Web App"/>
    <b v="0"/>
    <s v="1591409554893725697"/>
    <s v="Tweet"/>
    <n v="0"/>
    <n v="0"/>
    <m/>
    <m/>
    <m/>
    <m/>
    <m/>
    <m/>
    <m/>
    <m/>
    <m/>
    <m/>
    <m/>
    <m/>
    <m/>
    <m/>
    <m/>
    <m/>
    <m/>
  </r>
  <r>
    <s v="humanityplus"/>
    <s v="dw2"/>
    <m/>
    <m/>
    <m/>
    <m/>
    <m/>
    <m/>
    <m/>
    <m/>
    <s v="No"/>
    <n v="79"/>
    <m/>
    <m/>
    <n v="1"/>
    <s v="1"/>
    <s v="5"/>
    <x v="0"/>
    <d v="2022-11-14T19:21:32.000"/>
    <s v="The biostasis ambulance from the Netherlands, along with a dummy patient, visiting #TransVisionMadrid https://t.co/nMLVd9TMM6"/>
    <m/>
    <m/>
    <x v="1"/>
    <s v="https://pbs.twimg.com/media/FhX_xegXoAIf7pk.jpg"/>
    <s v="https://pbs.twimg.com/media/FhX_xegXoAIf7pk.jpg"/>
    <x v="29"/>
    <d v="2022-11-14T00:00:00.000"/>
    <s v="19:21:32"/>
    <s v="https://twitter.com/humanityplus/status/1592236305534042112"/>
    <m/>
    <m/>
    <s v="1592236305534042112"/>
    <m/>
    <b v="0"/>
    <n v="0"/>
    <s v=""/>
    <b v="0"/>
    <s v="en"/>
    <m/>
    <s v=""/>
    <b v="0"/>
    <n v="4"/>
    <s v="1591459422395846658"/>
    <s v="Twitter Web App"/>
    <b v="0"/>
    <s v="1591459422395846658"/>
    <s v="Tweet"/>
    <n v="0"/>
    <n v="0"/>
    <m/>
    <m/>
    <m/>
    <m/>
    <m/>
    <m/>
    <m/>
    <m/>
    <n v="1"/>
    <n v="7.6923076923076925"/>
    <n v="0"/>
    <n v="0"/>
    <n v="0"/>
    <n v="0"/>
    <n v="7"/>
    <n v="53.84615384615385"/>
    <n v="13"/>
  </r>
  <r>
    <s v="javiercremades"/>
    <s v="ieuropeo"/>
    <m/>
    <m/>
    <m/>
    <m/>
    <m/>
    <m/>
    <m/>
    <m/>
    <s v="Yes"/>
    <n v="81"/>
    <m/>
    <m/>
    <n v="1"/>
    <s v="3"/>
    <s v="3"/>
    <x v="1"/>
    <d v="2022-11-12T22:34:00.000"/>
    <s v="#TransVisionMadrid  Estamos ya comenzando  @paulspiegel @NatashaVitaMore desde el @IEuropeo_x000a_ @JavierCremades  @cordeiro  Ramon Tamames _x000a_⭐️Síguelo en directo vía #Youtube  👇 https://t.co/wemw0Oj7U4 https://t.co/9bSC7IC5Qc"/>
    <s v="https://www.youtube.com/watch?v=xb0JCOgMsXc&amp;feature=youtu.be"/>
    <s v="youtube.com"/>
    <x v="3"/>
    <s v="https://pbs.twimg.com/media/FhWu7YzX0AEJMfI.png"/>
    <s v="https://pbs.twimg.com/media/FhWu7YzX0AEJMfI.png"/>
    <x v="30"/>
    <d v="2022-11-12T00:00:00.000"/>
    <s v="22:34:00"/>
    <s v="https://twitter.com/javiercremades/status/1591559965898330113"/>
    <m/>
    <m/>
    <s v="1591559965898330113"/>
    <m/>
    <b v="0"/>
    <n v="0"/>
    <s v=""/>
    <b v="0"/>
    <s v="es"/>
    <m/>
    <s v=""/>
    <b v="0"/>
    <n v="5"/>
    <s v="1591371754617946112"/>
    <s v="Twitter for iPhone"/>
    <b v="0"/>
    <s v="1591371754617946112"/>
    <s v="Tweet"/>
    <n v="0"/>
    <n v="0"/>
    <m/>
    <m/>
    <m/>
    <m/>
    <m/>
    <m/>
    <m/>
    <m/>
    <m/>
    <m/>
    <m/>
    <m/>
    <m/>
    <m/>
    <m/>
    <m/>
    <m/>
  </r>
  <r>
    <s v="adsdulantoscott"/>
    <s v="ieuropeo"/>
    <m/>
    <m/>
    <m/>
    <m/>
    <m/>
    <m/>
    <m/>
    <m/>
    <s v="No"/>
    <n v="82"/>
    <m/>
    <m/>
    <n v="2"/>
    <s v="3"/>
    <s v="3"/>
    <x v="1"/>
    <d v="2022-11-12T11:10:43.000"/>
    <s v="#TransVisionMadrid  Estamos ya comenzando  @paulspiegel @NatashaVitaMore desde el @IEuropeo_x000a_ @JavierCremades  @cordeiro  Ramon Tamames _x000a_⭐️Síguelo en directo vía #Youtube  👇 https://t.co/wemw0Oj7U4 https://t.co/9bSC7IC5Qc"/>
    <s v="https://www.youtube.com/watch?v=xb0JCOgMsXc&amp;feature=youtu.be"/>
    <s v="youtube.com"/>
    <x v="3"/>
    <s v="https://pbs.twimg.com/media/FhWu7YzX0AEJMfI.png"/>
    <s v="https://pbs.twimg.com/media/FhWu7YzX0AEJMfI.png"/>
    <x v="31"/>
    <d v="2022-11-12T00:00:00.000"/>
    <s v="11:10:43"/>
    <s v="https://twitter.com/adsdulantoscott/status/1591388011895623680"/>
    <m/>
    <m/>
    <s v="1591388011895623680"/>
    <m/>
    <b v="0"/>
    <n v="0"/>
    <s v=""/>
    <b v="0"/>
    <s v="es"/>
    <m/>
    <s v=""/>
    <b v="0"/>
    <n v="5"/>
    <s v="1591371754617946112"/>
    <s v="Twitter for iPhone"/>
    <b v="0"/>
    <s v="1591371754617946112"/>
    <s v="Tweet"/>
    <n v="0"/>
    <n v="0"/>
    <m/>
    <m/>
    <m/>
    <m/>
    <m/>
    <m/>
    <m/>
    <m/>
    <m/>
    <m/>
    <m/>
    <m/>
    <m/>
    <m/>
    <m/>
    <m/>
    <m/>
  </r>
  <r>
    <s v="ieuropeo"/>
    <s v="cordeiro"/>
    <m/>
    <m/>
    <m/>
    <m/>
    <m/>
    <m/>
    <m/>
    <m/>
    <s v="No"/>
    <n v="84"/>
    <m/>
    <m/>
    <n v="1"/>
    <s v="3"/>
    <s v="4"/>
    <x v="1"/>
    <d v="2022-11-12T10:23:36.000"/>
    <s v="#TransVisionMadrid  Estamos ya comenzando  @paulspiegel @NatashaVitaMore desde el @IEuropeo_x000a_ @JavierCremades  @cordeiro  Ramon Tamames _x000a_⭐️Síguelo en directo vía #Youtube  👇 https://t.co/wemw0Oj7U4 https://t.co/9bSC7IC5Qc"/>
    <s v="https://www.youtube.com/watch?v=xb0JCOgMsXc&amp;feature=youtu.be"/>
    <s v="youtube.com"/>
    <x v="3"/>
    <s v="https://pbs.twimg.com/media/FhWu7YzX0AEJMfI.png"/>
    <s v="https://pbs.twimg.com/media/FhWu7YzX0AEJMfI.png"/>
    <x v="32"/>
    <d v="2022-11-12T00:00:00.000"/>
    <s v="10:23:36"/>
    <s v="https://twitter.com/ieuropeo/status/1591376155583586306"/>
    <m/>
    <m/>
    <s v="1591376155583586306"/>
    <m/>
    <b v="0"/>
    <n v="0"/>
    <s v=""/>
    <b v="0"/>
    <s v="es"/>
    <m/>
    <s v=""/>
    <b v="0"/>
    <n v="5"/>
    <s v="1591371754617946112"/>
    <s v="Twitter Web App"/>
    <b v="0"/>
    <s v="1591371754617946112"/>
    <s v="Tweet"/>
    <n v="0"/>
    <n v="0"/>
    <m/>
    <m/>
    <m/>
    <m/>
    <m/>
    <m/>
    <m/>
    <m/>
    <m/>
    <m/>
    <m/>
    <m/>
    <m/>
    <m/>
    <m/>
    <m/>
    <m/>
  </r>
  <r>
    <s v="ieuropeo"/>
    <s v="transvisionmad1"/>
    <m/>
    <m/>
    <m/>
    <m/>
    <m/>
    <m/>
    <m/>
    <m/>
    <s v="Yes"/>
    <n v="89"/>
    <m/>
    <m/>
    <n v="3"/>
    <s v="3"/>
    <s v="2"/>
    <x v="0"/>
    <d v="2022-11-13T15:09:18.000"/>
    <s v="#TransVisionMadrid This will be the first #BFR  training to be organized in #Spain  after some smaller similar events in Germany, the Netherlands, Switzerland, and the United Kingdom. #YouTube ➡️https://t.co/PGZDpuUPID https://t.co/LI8KTvG38i"/>
    <s v="https://www.youtube.com/c/AlianzaFuturista/streams"/>
    <s v="youtube.com"/>
    <x v="8"/>
    <s v="https://pbs.twimg.com/media/FhbRBMWWYAACddn.jpg"/>
    <s v="https://pbs.twimg.com/media/FhbRBMWWYAACddn.jpg"/>
    <x v="33"/>
    <d v="2022-11-13T00:00:00.000"/>
    <s v="15:09:18"/>
    <s v="https://twitter.com/ieuropeo/status/1591810443919884290"/>
    <m/>
    <m/>
    <s v="1591810443919884290"/>
    <m/>
    <b v="0"/>
    <n v="0"/>
    <s v=""/>
    <b v="0"/>
    <s v="en"/>
    <m/>
    <s v=""/>
    <b v="0"/>
    <n v="2"/>
    <s v="1591690722214039552"/>
    <s v="Twitter Web App"/>
    <b v="0"/>
    <s v="1591690722214039552"/>
    <s v="Tweet"/>
    <n v="0"/>
    <n v="0"/>
    <m/>
    <m/>
    <m/>
    <m/>
    <m/>
    <m/>
    <m/>
    <m/>
    <n v="0"/>
    <n v="0"/>
    <n v="0"/>
    <n v="0"/>
    <n v="0"/>
    <n v="0"/>
    <n v="19"/>
    <n v="59.375"/>
    <n v="32"/>
  </r>
  <r>
    <s v="ieuropeo"/>
    <s v="dw2"/>
    <m/>
    <m/>
    <m/>
    <m/>
    <m/>
    <m/>
    <m/>
    <m/>
    <s v="No"/>
    <n v="90"/>
    <m/>
    <m/>
    <n v="2"/>
    <s v="3"/>
    <s v="5"/>
    <x v="0"/>
    <d v="2022-11-14T08:19:23.000"/>
    <s v="Reached the #TransVisionMadrid venue. Looking serious... https://t.co/yJLSNTKup5"/>
    <m/>
    <m/>
    <x v="1"/>
    <s v="https://pbs.twimg.com/media/FhWdWZuXwAAO13Y.jpg"/>
    <s v="https://pbs.twimg.com/media/FhWdWZuXwAAO13Y.jpg"/>
    <x v="34"/>
    <d v="2022-11-14T00:00:00.000"/>
    <s v="08:19:23"/>
    <s v="https://twitter.com/ieuropeo/status/1592069672983490560"/>
    <m/>
    <m/>
    <s v="1592069672983490560"/>
    <m/>
    <b v="0"/>
    <n v="0"/>
    <s v=""/>
    <b v="0"/>
    <s v="en"/>
    <m/>
    <s v=""/>
    <b v="0"/>
    <n v="6"/>
    <s v="1591351063663480833"/>
    <s v="Twitter Web App"/>
    <b v="0"/>
    <s v="1591351063663480833"/>
    <s v="Tweet"/>
    <n v="0"/>
    <n v="0"/>
    <m/>
    <m/>
    <m/>
    <m/>
    <m/>
    <m/>
    <m/>
    <m/>
    <n v="0"/>
    <n v="0"/>
    <n v="0"/>
    <n v="0"/>
    <n v="0"/>
    <n v="0"/>
    <n v="5"/>
    <n v="83.33333333333333"/>
    <n v="6"/>
  </r>
  <r>
    <s v="ieuropeo"/>
    <s v="dw2"/>
    <m/>
    <m/>
    <m/>
    <m/>
    <m/>
    <m/>
    <m/>
    <m/>
    <s v="No"/>
    <n v="91"/>
    <m/>
    <m/>
    <n v="2"/>
    <s v="3"/>
    <s v="5"/>
    <x v="0"/>
    <d v="2022-11-14T08:20:07.000"/>
    <s v="The biostasis ambulance from the Netherlands, along with a dummy patient, visiting #TransVisionMadrid https://t.co/nMLVd9TMM6"/>
    <m/>
    <m/>
    <x v="1"/>
    <s v="https://pbs.twimg.com/media/FhX_xegXoAIf7pk.jpg"/>
    <s v="https://pbs.twimg.com/media/FhX_xegXoAIf7pk.jpg"/>
    <x v="35"/>
    <d v="2022-11-14T00:00:00.000"/>
    <s v="08:20:07"/>
    <s v="https://twitter.com/ieuropeo/status/1592069855901274114"/>
    <m/>
    <m/>
    <s v="1592069855901274114"/>
    <m/>
    <b v="0"/>
    <n v="0"/>
    <s v=""/>
    <b v="0"/>
    <s v="en"/>
    <m/>
    <s v=""/>
    <b v="0"/>
    <n v="4"/>
    <s v="1591459422395846658"/>
    <s v="Twitter Web App"/>
    <b v="0"/>
    <s v="1591459422395846658"/>
    <s v="Tweet"/>
    <n v="0"/>
    <n v="0"/>
    <m/>
    <m/>
    <m/>
    <m/>
    <m/>
    <m/>
    <m/>
    <m/>
    <n v="1"/>
    <n v="7.6923076923076925"/>
    <n v="0"/>
    <n v="0"/>
    <n v="0"/>
    <n v="0"/>
    <n v="7"/>
    <n v="53.84615384615385"/>
    <n v="13"/>
  </r>
  <r>
    <s v="ieuropeo"/>
    <s v="cordeiro"/>
    <m/>
    <m/>
    <m/>
    <m/>
    <m/>
    <m/>
    <m/>
    <m/>
    <s v="No"/>
    <n v="92"/>
    <m/>
    <m/>
    <n v="1"/>
    <s v="3"/>
    <s v="4"/>
    <x v="0"/>
    <d v="2022-11-14T08:21:57.000"/>
    <s v="#TransVisionMadrid  This will be the first #BFR  training to be organized in #Spain  after some smaller similar events in Germany, the Netherlands, Switzerland, and the United Kingdom. _x000a_🚨  ALL videos on #YouTube  https://t.co/yiheEheGsM https://t.co/gr75HgDT4C"/>
    <s v="https://youtube.com/c/AlianzaFuturista/streams https://www.linkedin.com/feed/update/urn:li:share:6997477447952674817"/>
    <s v="youtube.com linkedin.com"/>
    <x v="8"/>
    <m/>
    <s v="https://pbs.twimg.com/profile_images/1583010428514344960/3R3Ud3F4_normal.png"/>
    <x v="36"/>
    <d v="2022-11-14T00:00:00.000"/>
    <s v="08:21:57"/>
    <s v="https://twitter.com/ieuropeo/status/1592070315278049280"/>
    <m/>
    <m/>
    <s v="1592070315278049280"/>
    <m/>
    <b v="0"/>
    <n v="0"/>
    <s v=""/>
    <b v="0"/>
    <s v="en"/>
    <m/>
    <s v=""/>
    <b v="0"/>
    <n v="5"/>
    <s v="1591711822561828864"/>
    <s v="Twitter Web App"/>
    <b v="0"/>
    <s v="1591711822561828864"/>
    <s v="Tweet"/>
    <n v="0"/>
    <n v="0"/>
    <m/>
    <m/>
    <m/>
    <m/>
    <m/>
    <m/>
    <m/>
    <m/>
    <n v="0"/>
    <n v="0"/>
    <n v="0"/>
    <n v="0"/>
    <n v="0"/>
    <n v="0"/>
    <n v="16"/>
    <n v="51.61290322580645"/>
    <n v="31"/>
  </r>
  <r>
    <s v="ieuropeo"/>
    <s v="transvisionmad1"/>
    <m/>
    <m/>
    <m/>
    <m/>
    <m/>
    <m/>
    <m/>
    <m/>
    <s v="Yes"/>
    <n v="93"/>
    <m/>
    <m/>
    <n v="3"/>
    <s v="3"/>
    <s v="2"/>
    <x v="0"/>
    <d v="2022-11-14T08:22:14.000"/>
    <s v="Talking about #Longevity and #Biostasis  in #TransVisionMadrid #streaming  _x000a_➡️ https://t.co/P0CBGJdTuZ https://t.co/eLbpevlyQ5"/>
    <s v="https://www.youtube.com/watch?v=3JK84n-jsMU"/>
    <s v="youtube.com"/>
    <x v="9"/>
    <s v="https://pbs.twimg.com/media/FhcHy7oXEAMenzQ.png"/>
    <s v="https://pbs.twimg.com/media/FhcHy7oXEAMenzQ.png"/>
    <x v="37"/>
    <d v="2022-11-14T00:00:00.000"/>
    <s v="08:22:14"/>
    <s v="https://twitter.com/ieuropeo/status/1592070389500284928"/>
    <m/>
    <m/>
    <s v="1592070389500284928"/>
    <m/>
    <b v="0"/>
    <n v="0"/>
    <s v=""/>
    <b v="0"/>
    <s v="en"/>
    <m/>
    <s v=""/>
    <b v="0"/>
    <n v="5"/>
    <s v="1591749681398308865"/>
    <s v="Twitter Web App"/>
    <b v="0"/>
    <s v="1591749681398308865"/>
    <s v="Tweet"/>
    <n v="0"/>
    <n v="0"/>
    <m/>
    <m/>
    <m/>
    <m/>
    <m/>
    <m/>
    <m/>
    <m/>
    <n v="0"/>
    <n v="0"/>
    <n v="0"/>
    <n v="0"/>
    <n v="0"/>
    <n v="0"/>
    <n v="5"/>
    <n v="62.5"/>
    <n v="8"/>
  </r>
  <r>
    <s v="hashtagmarketi7"/>
    <s v="ieuropeo"/>
    <m/>
    <m/>
    <m/>
    <m/>
    <m/>
    <m/>
    <m/>
    <m/>
    <s v="No"/>
    <n v="94"/>
    <m/>
    <m/>
    <n v="1"/>
    <s v="1"/>
    <s v="3"/>
    <x v="1"/>
    <d v="2022-11-12T10:48:30.000"/>
    <s v="#TransVisionMadrid  Estamos ya comenzando  @paulspiegel @NatashaVitaMore desde el @IEuropeo_x000a_ @JavierCremades  @cordeiro  Ramon Tamames _x000a_⭐️Síguelo en directo vía #Youtube  👇 https://t.co/wemw0Oj7U4 https://t.co/9bSC7IC5Qc"/>
    <s v="https://www.youtube.com/watch?v=xb0JCOgMsXc&amp;feature=youtu.be"/>
    <s v="youtube.com"/>
    <x v="3"/>
    <s v="https://pbs.twimg.com/media/FhWu7YzX0AEJMfI.png"/>
    <s v="https://pbs.twimg.com/media/FhWu7YzX0AEJMfI.png"/>
    <x v="38"/>
    <d v="2022-11-12T00:00:00.000"/>
    <s v="10:48:30"/>
    <s v="https://twitter.com/hashtagmarketi7/status/1591382423438344198"/>
    <m/>
    <m/>
    <s v="1591382423438344198"/>
    <m/>
    <b v="0"/>
    <n v="0"/>
    <s v=""/>
    <b v="0"/>
    <s v="es"/>
    <m/>
    <s v=""/>
    <b v="0"/>
    <n v="5"/>
    <s v="1591371754617946112"/>
    <s v="Twitter Web App"/>
    <b v="0"/>
    <s v="1591371754617946112"/>
    <s v="Tweet"/>
    <n v="0"/>
    <n v="0"/>
    <m/>
    <m/>
    <m/>
    <m/>
    <m/>
    <m/>
    <m/>
    <m/>
    <m/>
    <m/>
    <m/>
    <m/>
    <m/>
    <m/>
    <m/>
    <m/>
    <m/>
  </r>
  <r>
    <s v="transvisionmad1"/>
    <s v="ieuropeo"/>
    <m/>
    <m/>
    <m/>
    <m/>
    <m/>
    <m/>
    <m/>
    <m/>
    <s v="Yes"/>
    <n v="96"/>
    <m/>
    <m/>
    <n v="1"/>
    <s v="2"/>
    <s v="3"/>
    <x v="2"/>
    <d v="2022-11-12T10:06:07.000"/>
    <s v="#TransVisionMadrid  Estamos ya comenzando  @paulspiegel @NatashaVitaMore desde el @IEuropeo_x000a_ @JavierCremades  @cordeiro  Ramon Tamames _x000a_⭐️Síguelo en directo vía #Youtube  👇 https://t.co/wemw0Oj7U4 https://t.co/9bSC7IC5Qc"/>
    <s v="https://www.youtube.com/watch?v=xb0JCOgMsXc&amp;feature=youtu.be"/>
    <s v="youtube.com"/>
    <x v="3"/>
    <s v="https://pbs.twimg.com/media/FhWu7YzX0AEJMfI.png"/>
    <s v="https://pbs.twimg.com/media/FhWu7YzX0AEJMfI.png"/>
    <x v="39"/>
    <d v="2022-11-12T00:00:00.000"/>
    <s v="10:06:07"/>
    <s v="https://twitter.com/transvisionmad1/status/1591371754617946112"/>
    <m/>
    <m/>
    <s v="1591371754617946112"/>
    <m/>
    <b v="0"/>
    <n v="3"/>
    <s v=""/>
    <b v="0"/>
    <s v="es"/>
    <m/>
    <s v=""/>
    <b v="0"/>
    <n v="5"/>
    <s v=""/>
    <s v="Twitter Web App"/>
    <b v="0"/>
    <s v="1591371754617946112"/>
    <s v="Tweet"/>
    <n v="0"/>
    <n v="0"/>
    <m/>
    <m/>
    <m/>
    <m/>
    <m/>
    <m/>
    <m/>
    <m/>
    <m/>
    <m/>
    <m/>
    <m/>
    <m/>
    <m/>
    <m/>
    <m/>
    <m/>
  </r>
  <r>
    <s v="rosanaribera"/>
    <s v="transvisionmad1"/>
    <m/>
    <m/>
    <m/>
    <m/>
    <m/>
    <m/>
    <m/>
    <m/>
    <s v="Yes"/>
    <n v="101"/>
    <m/>
    <m/>
    <n v="1"/>
    <s v="1"/>
    <s v="2"/>
    <x v="2"/>
    <d v="2022-11-11T10:51:06.000"/>
    <s v="#Madrid acoge este finde la Cumbre internacional @transvisionmad1 con un enfoque en la #biostasis humana, que permitirá la #criopreservación de pacientes para su futura reanimación_x000a_#TransVision #TransVisionMadrid  #longevidad #FutureFastForward #BFR _x000a_https://t.co/aRh5E4XB4o"/>
    <s v="https://www.locomunicas.es/cumbre-internacional/"/>
    <s v="locomunicas.es"/>
    <x v="11"/>
    <m/>
    <s v="https://pbs.twimg.com/profile_images/1054503139993440256/anuZLkr5_normal.jpg"/>
    <x v="40"/>
    <d v="2022-11-11T00:00:00.000"/>
    <s v="10:51:06"/>
    <s v="https://twitter.com/rosanaribera/status/1591020687967531010"/>
    <m/>
    <m/>
    <s v="1591020687967531010"/>
    <m/>
    <b v="0"/>
    <n v="2"/>
    <s v=""/>
    <b v="0"/>
    <s v="es"/>
    <m/>
    <s v=""/>
    <b v="0"/>
    <n v="2"/>
    <s v=""/>
    <s v="Twitter for Android"/>
    <b v="0"/>
    <s v="1591020687967531010"/>
    <s v="Tweet"/>
    <n v="0"/>
    <n v="0"/>
    <m/>
    <m/>
    <m/>
    <m/>
    <m/>
    <m/>
    <m/>
    <m/>
    <n v="0"/>
    <n v="0"/>
    <n v="0"/>
    <n v="0"/>
    <n v="0"/>
    <n v="0"/>
    <n v="19"/>
    <n v="63.333333333333336"/>
    <n v="30"/>
  </r>
  <r>
    <s v="transvisionmad1"/>
    <s v="rosanaribera"/>
    <m/>
    <m/>
    <m/>
    <m/>
    <m/>
    <m/>
    <m/>
    <m/>
    <s v="Yes"/>
    <n v="104"/>
    <m/>
    <m/>
    <n v="1"/>
    <s v="2"/>
    <s v="1"/>
    <x v="0"/>
    <d v="2022-11-12T09:42:51.000"/>
    <s v="#Madrid acoge este finde la Cumbre internacional @transvisionmad1 con un enfoque en la #biostasis humana, que permitirá la #criopreservación de pacientes para su futura reanimación_x000a_#TransVision #TransVisionMadrid  #longevidad #FutureFastForward #BFR _x000a_https://t.co/aRh5E4XB4o"/>
    <s v="https://www.locomunicas.es/cumbre-internacional/"/>
    <s v="locomunicas.es"/>
    <x v="11"/>
    <m/>
    <s v="https://pbs.twimg.com/profile_images/1416462775400927235/DSrY8TK-_normal.jpg"/>
    <x v="41"/>
    <d v="2022-11-12T00:00:00.000"/>
    <s v="09:42:51"/>
    <s v="https://twitter.com/transvisionmad1/status/1591365902465105920"/>
    <m/>
    <m/>
    <s v="1591365902465105920"/>
    <m/>
    <b v="0"/>
    <n v="0"/>
    <s v=""/>
    <b v="0"/>
    <s v="es"/>
    <m/>
    <s v=""/>
    <b v="0"/>
    <n v="2"/>
    <s v="1591020687967531010"/>
    <s v="Twitter Web App"/>
    <b v="0"/>
    <s v="1591020687967531010"/>
    <s v="Tweet"/>
    <n v="0"/>
    <n v="0"/>
    <m/>
    <m/>
    <m/>
    <m/>
    <m/>
    <m/>
    <m/>
    <m/>
    <n v="0"/>
    <n v="0"/>
    <n v="0"/>
    <n v="0"/>
    <n v="0"/>
    <n v="0"/>
    <n v="19"/>
    <n v="63.333333333333336"/>
    <n v="30"/>
  </r>
  <r>
    <s v="adsdulantoscott"/>
    <s v="transvisionmad1"/>
    <m/>
    <m/>
    <m/>
    <m/>
    <m/>
    <m/>
    <m/>
    <m/>
    <s v="Yes"/>
    <n v="106"/>
    <m/>
    <m/>
    <n v="3"/>
    <s v="3"/>
    <s v="2"/>
    <x v="0"/>
    <d v="2022-11-12T11:09:43.000"/>
    <s v="#TransVisionMadrid  Estamos congregados en #Madrid  varios científicos hablando sobre la &quot;inmortalidad&quot; y  Biostasis BFR_x000a_🔹Debatimos sobre la suspensión de la vida con técnicas de frío para su reanimación posterior   _x000a_🔴 Estamos en directo #YouTube  🔴 _x000a_➡️ https://t.co/Zi5JcjrsiZ https://t.co/LQGXped5yx"/>
    <s v="https://www.youtube.com/watch?v=xb0JCOgMsXc"/>
    <s v="youtube.com"/>
    <x v="12"/>
    <s v="https://pbs.twimg.com/media/FhW1XNFXgAACXVj.jpg"/>
    <s v="https://pbs.twimg.com/media/FhW1XNFXgAACXVj.jpg"/>
    <x v="42"/>
    <d v="2022-11-12T00:00:00.000"/>
    <s v="11:09:43"/>
    <s v="https://twitter.com/adsdulantoscott/status/1591387760287690754"/>
    <m/>
    <m/>
    <s v="1591387760287690754"/>
    <m/>
    <b v="0"/>
    <n v="0"/>
    <s v=""/>
    <b v="0"/>
    <s v="es"/>
    <m/>
    <s v=""/>
    <b v="0"/>
    <n v="2"/>
    <s v="1591379517054267392"/>
    <s v="Twitter for iPhone"/>
    <b v="0"/>
    <s v="1591379517054267392"/>
    <s v="Tweet"/>
    <n v="0"/>
    <n v="0"/>
    <m/>
    <m/>
    <m/>
    <m/>
    <m/>
    <m/>
    <m/>
    <m/>
    <n v="0"/>
    <n v="0"/>
    <n v="0"/>
    <n v="0"/>
    <n v="0"/>
    <n v="0"/>
    <n v="22"/>
    <n v="66.66666666666667"/>
    <n v="33"/>
  </r>
  <r>
    <s v="adsdulantoscott"/>
    <s v="transvisionmad1"/>
    <m/>
    <m/>
    <m/>
    <m/>
    <m/>
    <m/>
    <m/>
    <m/>
    <s v="Yes"/>
    <n v="120"/>
    <m/>
    <m/>
    <n v="3"/>
    <s v="3"/>
    <s v="2"/>
    <x v="0"/>
    <d v="2022-11-13T15:37:08.000"/>
    <s v="#TransVisionMadrid This will be the first #BFR  training to be organized in #Spain  after some smaller similar events in Germany, the Netherlands, Switzerland, and the United Kingdom. #YouTube ➡️https://t.co/PGZDpuUPID https://t.co/LI8KTvG38i"/>
    <s v="https://www.youtube.com/c/AlianzaFuturista/streams"/>
    <s v="youtube.com"/>
    <x v="8"/>
    <s v="https://pbs.twimg.com/media/FhbRBMWWYAACddn.jpg"/>
    <s v="https://pbs.twimg.com/media/FhbRBMWWYAACddn.jpg"/>
    <x v="43"/>
    <d v="2022-11-13T00:00:00.000"/>
    <s v="15:37:08"/>
    <s v="https://twitter.com/adsdulantoscott/status/1591817446129897474"/>
    <m/>
    <m/>
    <s v="1591817446129897474"/>
    <m/>
    <b v="0"/>
    <n v="0"/>
    <s v=""/>
    <b v="0"/>
    <s v="en"/>
    <m/>
    <s v=""/>
    <b v="0"/>
    <n v="2"/>
    <s v="1591690722214039552"/>
    <s v="Twitter for iPhone"/>
    <b v="0"/>
    <s v="1591690722214039552"/>
    <s v="Tweet"/>
    <n v="0"/>
    <n v="0"/>
    <m/>
    <m/>
    <m/>
    <m/>
    <m/>
    <m/>
    <m/>
    <m/>
    <n v="0"/>
    <n v="0"/>
    <n v="0"/>
    <n v="0"/>
    <n v="0"/>
    <n v="0"/>
    <n v="19"/>
    <n v="59.375"/>
    <n v="32"/>
  </r>
  <r>
    <s v="kgomotsegoram"/>
    <s v="dw2"/>
    <m/>
    <m/>
    <m/>
    <m/>
    <m/>
    <m/>
    <m/>
    <m/>
    <s v="No"/>
    <n v="127"/>
    <m/>
    <m/>
    <n v="1"/>
    <s v="5"/>
    <s v="5"/>
    <x v="0"/>
    <d v="2022-11-12T10:58:37.000"/>
    <s v="Reached the #TransVisionMadrid venue. Looking serious... https://t.co/yJLSNTKup5"/>
    <m/>
    <m/>
    <x v="1"/>
    <s v="https://pbs.twimg.com/media/FhWdWZuXwAAO13Y.jpg"/>
    <s v="https://pbs.twimg.com/media/FhWdWZuXwAAO13Y.jpg"/>
    <x v="44"/>
    <d v="2022-11-12T00:00:00.000"/>
    <s v="10:58:37"/>
    <s v="https://twitter.com/kgomotsegoram/status/1591384969460723712"/>
    <m/>
    <m/>
    <s v="1591384969460723712"/>
    <m/>
    <b v="0"/>
    <n v="0"/>
    <s v=""/>
    <b v="0"/>
    <s v="en"/>
    <m/>
    <s v=""/>
    <b v="0"/>
    <n v="6"/>
    <s v="1591351063663480833"/>
    <s v="Twitter for iPhone"/>
    <b v="0"/>
    <s v="1591351063663480833"/>
    <s v="Tweet"/>
    <n v="0"/>
    <n v="0"/>
    <m/>
    <m/>
    <m/>
    <m/>
    <m/>
    <m/>
    <m/>
    <m/>
    <n v="0"/>
    <n v="0"/>
    <n v="0"/>
    <n v="0"/>
    <n v="0"/>
    <n v="0"/>
    <n v="5"/>
    <n v="83.33333333333333"/>
    <n v="6"/>
  </r>
  <r>
    <s v="kgomotsegoram"/>
    <s v="hashtagmarketi7"/>
    <m/>
    <m/>
    <m/>
    <m/>
    <m/>
    <m/>
    <m/>
    <m/>
    <s v="Yes"/>
    <n v="128"/>
    <m/>
    <m/>
    <n v="1"/>
    <s v="5"/>
    <s v="1"/>
    <x v="0"/>
    <d v="2022-11-14T07:57:58.000"/>
    <s v="Welcome to #TransVisionmadrid  @kgomotsegoRam https://t.co/R23hV8M9Su https://t.co/Ix9BOSysiv"/>
    <s v="https://twitter.com/kgomotsegoRam/status/1591376302753607680"/>
    <s v="twitter.com"/>
    <x v="1"/>
    <s v="https://pbs.twimg.com/media/FhXmbl-XkAUqSzZ.jpg"/>
    <s v="https://pbs.twimg.com/media/FhXmbl-XkAUqSzZ.jpg"/>
    <x v="45"/>
    <d v="2022-11-14T00:00:00.000"/>
    <s v="07:57:58"/>
    <s v="https://twitter.com/kgomotsegoram/status/1592064281201332226"/>
    <m/>
    <m/>
    <s v="1592064281201332226"/>
    <m/>
    <b v="0"/>
    <n v="0"/>
    <s v=""/>
    <b v="1"/>
    <s v="en"/>
    <m/>
    <s v="1591376302753607680"/>
    <b v="0"/>
    <n v="2"/>
    <s v="1591431609135550464"/>
    <s v="Twitter for Android"/>
    <b v="0"/>
    <s v="1591431609135550464"/>
    <s v="Tweet"/>
    <n v="0"/>
    <n v="0"/>
    <m/>
    <m/>
    <m/>
    <m/>
    <m/>
    <m/>
    <m/>
    <m/>
    <n v="1"/>
    <n v="25"/>
    <n v="0"/>
    <n v="0"/>
    <n v="0"/>
    <n v="0"/>
    <n v="2"/>
    <n v="50"/>
    <n v="4"/>
  </r>
  <r>
    <s v="hashtagmarketi7"/>
    <s v="kgomotsegoram"/>
    <m/>
    <m/>
    <m/>
    <m/>
    <m/>
    <m/>
    <m/>
    <m/>
    <s v="Yes"/>
    <n v="129"/>
    <m/>
    <m/>
    <n v="1"/>
    <s v="1"/>
    <s v="5"/>
    <x v="2"/>
    <d v="2022-11-12T14:03:57.000"/>
    <s v="Welcome to #TransVisionmadrid  @kgomotsegoRam https://t.co/R23hV8M9Su https://t.co/Ix9BOSysiv"/>
    <s v="https://twitter.com/kgomotsegoRam/status/1591376302753607680"/>
    <s v="twitter.com"/>
    <x v="1"/>
    <s v="https://pbs.twimg.com/media/FhXmbl-XkAUqSzZ.jpg"/>
    <s v="https://pbs.twimg.com/media/FhXmbl-XkAUqSzZ.jpg"/>
    <x v="46"/>
    <d v="2022-11-12T00:00:00.000"/>
    <s v="14:03:57"/>
    <s v="https://twitter.com/hashtagmarketi7/status/1591431609135550464"/>
    <m/>
    <m/>
    <s v="1591431609135550464"/>
    <m/>
    <b v="0"/>
    <n v="2"/>
    <s v=""/>
    <b v="1"/>
    <s v="en"/>
    <m/>
    <s v="1591376302753607680"/>
    <b v="0"/>
    <n v="2"/>
    <s v=""/>
    <s v="Twitter Web App"/>
    <b v="0"/>
    <s v="1591431609135550464"/>
    <s v="Tweet"/>
    <n v="0"/>
    <n v="0"/>
    <m/>
    <m/>
    <m/>
    <m/>
    <m/>
    <m/>
    <m/>
    <m/>
    <n v="1"/>
    <n v="25"/>
    <n v="0"/>
    <n v="0"/>
    <n v="0"/>
    <n v="0"/>
    <n v="2"/>
    <n v="50"/>
    <n v="4"/>
  </r>
  <r>
    <s v="transvisionmad1"/>
    <s v="kgomotsegoram"/>
    <m/>
    <m/>
    <m/>
    <m/>
    <m/>
    <m/>
    <m/>
    <m/>
    <s v="No"/>
    <n v="130"/>
    <m/>
    <m/>
    <n v="1"/>
    <s v="2"/>
    <s v="5"/>
    <x v="1"/>
    <d v="2022-11-12T14:32:56.000"/>
    <s v="Welcome to #TransVisionmadrid  @kgomotsegoRam https://t.co/R23hV8M9Su https://t.co/Ix9BOSysiv"/>
    <s v="https://twitter.com/kgomotsegoRam/status/1591376302753607680"/>
    <s v="twitter.com"/>
    <x v="1"/>
    <s v="https://pbs.twimg.com/media/FhXmbl-XkAUqSzZ.jpg"/>
    <s v="https://pbs.twimg.com/media/FhXmbl-XkAUqSzZ.jpg"/>
    <x v="47"/>
    <d v="2022-11-12T00:00:00.000"/>
    <s v="14:32:56"/>
    <s v="https://twitter.com/transvisionmad1/status/1591438903516561414"/>
    <m/>
    <m/>
    <s v="1591438903516561414"/>
    <m/>
    <b v="0"/>
    <n v="0"/>
    <s v=""/>
    <b v="1"/>
    <s v="en"/>
    <m/>
    <s v="1591376302753607680"/>
    <b v="0"/>
    <n v="2"/>
    <s v="1591431609135550464"/>
    <s v="Twitter Web App"/>
    <b v="0"/>
    <s v="1591431609135550464"/>
    <s v="Tweet"/>
    <n v="0"/>
    <n v="0"/>
    <m/>
    <m/>
    <m/>
    <m/>
    <m/>
    <m/>
    <m/>
    <m/>
    <n v="1"/>
    <n v="25"/>
    <n v="0"/>
    <n v="0"/>
    <n v="0"/>
    <n v="0"/>
    <n v="2"/>
    <n v="50"/>
    <n v="4"/>
  </r>
  <r>
    <s v="hashtagmarketi7"/>
    <s v="natashavitamore"/>
    <m/>
    <m/>
    <m/>
    <m/>
    <m/>
    <m/>
    <m/>
    <m/>
    <s v="No"/>
    <n v="141"/>
    <m/>
    <m/>
    <n v="2"/>
    <s v="1"/>
    <s v="3"/>
    <x v="1"/>
    <d v="2022-11-12T12:40:50.000"/>
    <s v="⭐️ Estamos ahora en directo #TransVisionMadrid ⭐️_x000a_@cordeiro les da la bienvenida a los asistentes acompañado de @NatashaVitaMore  _x000a_✅ Síguenos en directo 👇https://t.co/Zi5JcjrsiZ"/>
    <s v="https://www.youtube.com/watch?v=xb0JCOgMsXc"/>
    <s v="youtube.com"/>
    <x v="1"/>
    <m/>
    <s v="https://pbs.twimg.com/profile_images/1487756429276684289/Kqq9xAOb_normal.png"/>
    <x v="48"/>
    <d v="2022-11-12T00:00:00.000"/>
    <s v="12:40:50"/>
    <s v="https://twitter.com/hashtagmarketi7/status/1591410690664931328"/>
    <m/>
    <m/>
    <s v="1591410690664931328"/>
    <m/>
    <b v="0"/>
    <n v="0"/>
    <s v=""/>
    <b v="0"/>
    <s v="es"/>
    <m/>
    <s v=""/>
    <b v="0"/>
    <n v="1"/>
    <s v="1591366796648808449"/>
    <s v="Twitter Web App"/>
    <b v="0"/>
    <s v="1591366796648808449"/>
    <s v="Tweet"/>
    <n v="0"/>
    <n v="0"/>
    <m/>
    <m/>
    <m/>
    <m/>
    <m/>
    <m/>
    <m/>
    <m/>
    <m/>
    <m/>
    <m/>
    <m/>
    <m/>
    <m/>
    <m/>
    <m/>
    <m/>
  </r>
  <r>
    <s v="hashtagmarketi7"/>
    <s v="transvisionmad1"/>
    <m/>
    <m/>
    <m/>
    <m/>
    <m/>
    <m/>
    <m/>
    <m/>
    <s v="Yes"/>
    <n v="144"/>
    <m/>
    <m/>
    <n v="4"/>
    <s v="1"/>
    <s v="2"/>
    <x v="0"/>
    <d v="2022-11-12T14:00:34.000"/>
    <s v="#TransVisionMadrid  Estamos congregados en #Madrid  varios científicos hablando sobre la &quot;inmortalidad&quot; y  Biostasis BFR_x000a_🔹Debatimos sobre la suspensión de la vida con técnicas de frío para su reanimación posterior   _x000a_🔴 Estamos en directo #YouTube  🔴 _x000a_➡️ https://t.co/Zi5JcjrsiZ https://t.co/LQGXped5yx"/>
    <s v="https://www.youtube.com/watch?v=xb0JCOgMsXc"/>
    <s v="youtube.com"/>
    <x v="12"/>
    <s v="https://pbs.twimg.com/media/FhW1XNFXgAACXVj.jpg"/>
    <s v="https://pbs.twimg.com/media/FhW1XNFXgAACXVj.jpg"/>
    <x v="49"/>
    <d v="2022-11-12T00:00:00.000"/>
    <s v="14:00:34"/>
    <s v="https://twitter.com/hashtagmarketi7/status/1591430757985271812"/>
    <m/>
    <m/>
    <s v="1591430757985271812"/>
    <m/>
    <b v="0"/>
    <n v="0"/>
    <s v=""/>
    <b v="0"/>
    <s v="es"/>
    <m/>
    <s v=""/>
    <b v="0"/>
    <n v="2"/>
    <s v="1591379517054267392"/>
    <s v="Twitter Web App"/>
    <b v="0"/>
    <s v="1591379517054267392"/>
    <s v="Tweet"/>
    <n v="0"/>
    <n v="0"/>
    <m/>
    <m/>
    <m/>
    <m/>
    <m/>
    <m/>
    <m/>
    <m/>
    <n v="0"/>
    <n v="0"/>
    <n v="0"/>
    <n v="0"/>
    <n v="0"/>
    <n v="0"/>
    <n v="22"/>
    <n v="66.66666666666667"/>
    <n v="33"/>
  </r>
  <r>
    <s v="hashtagmarketi7"/>
    <s v="hashtagmarketi7"/>
    <m/>
    <m/>
    <m/>
    <m/>
    <m/>
    <m/>
    <m/>
    <m/>
    <s v="No"/>
    <n v="145"/>
    <m/>
    <m/>
    <n v="2"/>
    <s v="1"/>
    <s v="1"/>
    <x v="3"/>
    <d v="2022-11-12T14:00:45.000"/>
    <s v="⭐️  Nuevo enlace ⭐️  al evento #TransVisionMadrid  _x000a__x000a_ 🔴    Estamos en directo  🔴   por #youtube  👇https://t.co/UjtDZKw3Ao"/>
    <s v="https://www.youtube.com/watch?v=erkbGlWtX3Q&amp;feature=youtu.be"/>
    <s v="youtube.com"/>
    <x v="3"/>
    <m/>
    <s v="https://pbs.twimg.com/profile_images/1487756429276684289/Kqq9xAOb_normal.png"/>
    <x v="50"/>
    <d v="2022-11-12T00:00:00.000"/>
    <s v="14:00:45"/>
    <s v="https://twitter.com/hashtagmarketi7/status/1591430803812421633"/>
    <m/>
    <m/>
    <s v="1591430803812421633"/>
    <m/>
    <b v="0"/>
    <n v="3"/>
    <s v=""/>
    <b v="0"/>
    <s v="es"/>
    <m/>
    <s v=""/>
    <b v="0"/>
    <n v="1"/>
    <s v=""/>
    <s v="Twitter Web App"/>
    <b v="0"/>
    <s v="1591430803812421633"/>
    <s v="Tweet"/>
    <n v="0"/>
    <n v="0"/>
    <m/>
    <m/>
    <m/>
    <m/>
    <m/>
    <m/>
    <m/>
    <m/>
    <n v="0"/>
    <n v="0"/>
    <n v="0"/>
    <n v="0"/>
    <n v="0"/>
    <n v="0"/>
    <n v="11"/>
    <n v="78.57142857142857"/>
    <n v="14"/>
  </r>
  <r>
    <s v="hashtagmarketi7"/>
    <s v="javiercremades"/>
    <m/>
    <m/>
    <m/>
    <m/>
    <m/>
    <m/>
    <m/>
    <m/>
    <s v="No"/>
    <n v="146"/>
    <m/>
    <m/>
    <n v="2"/>
    <s v="1"/>
    <s v="3"/>
    <x v="1"/>
    <d v="2022-11-12T14:01:21.000"/>
    <s v="#TransVisionMadrid  Estamos ya comenzando  @paulspiegel  Dr. Natasha Vita-More, PhD - 1st   Pedro Guillen   @JavierCremades  Ramon Tamames _x000a_Siguelo en directo via #Youtube  https://t.co/yw5mNVc06p https://t.co/hdu0qHo0Pc"/>
    <s v="https://youtu.be/xb0JCOgMsXc https://www.linkedin.com/feed/update/urn:li:share:6997135896437231617"/>
    <s v="youtu.be linkedin.com"/>
    <x v="3"/>
    <m/>
    <s v="https://pbs.twimg.com/profile_images/1487756429276684289/Kqq9xAOb_normal.png"/>
    <x v="51"/>
    <d v="2022-11-12T00:00:00.000"/>
    <s v="14:01:21"/>
    <s v="https://twitter.com/hashtagmarketi7/status/1591430953813311490"/>
    <m/>
    <m/>
    <s v="1591430953813311490"/>
    <m/>
    <b v="0"/>
    <n v="0"/>
    <s v=""/>
    <b v="0"/>
    <s v="es"/>
    <m/>
    <s v=""/>
    <b v="0"/>
    <n v="2"/>
    <s v="1591370271352623105"/>
    <s v="Twitter Web App"/>
    <b v="0"/>
    <s v="1591370271352623105"/>
    <s v="Tweet"/>
    <n v="0"/>
    <n v="0"/>
    <m/>
    <m/>
    <m/>
    <m/>
    <m/>
    <m/>
    <m/>
    <m/>
    <m/>
    <m/>
    <m/>
    <m/>
    <m/>
    <m/>
    <m/>
    <m/>
    <m/>
  </r>
  <r>
    <s v="hashtagmarketi7"/>
    <s v="hashtagmarketi7"/>
    <m/>
    <m/>
    <m/>
    <m/>
    <m/>
    <m/>
    <m/>
    <m/>
    <s v="No"/>
    <n v="149"/>
    <m/>
    <m/>
    <n v="2"/>
    <s v="1"/>
    <s v="1"/>
    <x v="3"/>
    <d v="2022-11-12T14:32:35.000"/>
    <s v="#TransVisionMadrid Biostasis First Response (BFR) Training is on #youtube #streaming 🔴 https://t.co/MF3wZvqLSJ https://t.co/e3kPXOUSXl"/>
    <s v="https://youtu.be/erkbGlWtX3Q https://www.linkedin.com/feed/update/urn:li:ugcPost:6997204440164241408"/>
    <s v="youtu.be linkedin.com"/>
    <x v="6"/>
    <m/>
    <s v="https://pbs.twimg.com/profile_images/1487756429276684289/Kqq9xAOb_normal.png"/>
    <x v="52"/>
    <d v="2022-11-12T00:00:00.000"/>
    <s v="14:32:35"/>
    <s v="https://twitter.com/hashtagmarketi7/status/1591438815339900929"/>
    <m/>
    <m/>
    <s v="1591438815339900929"/>
    <m/>
    <b v="0"/>
    <n v="3"/>
    <s v=""/>
    <b v="0"/>
    <s v="en"/>
    <m/>
    <s v=""/>
    <b v="0"/>
    <n v="3"/>
    <s v=""/>
    <s v="LinkedIn"/>
    <b v="0"/>
    <s v="1591438815339900929"/>
    <s v="Tweet"/>
    <n v="0"/>
    <n v="0"/>
    <m/>
    <m/>
    <m/>
    <m/>
    <m/>
    <m/>
    <m/>
    <m/>
    <n v="0"/>
    <n v="0"/>
    <n v="0"/>
    <n v="0"/>
    <n v="0"/>
    <n v="0"/>
    <n v="8"/>
    <n v="80"/>
    <n v="10"/>
  </r>
  <r>
    <s v="hashtagmarketi7"/>
    <s v="transvisionmad1"/>
    <m/>
    <m/>
    <m/>
    <m/>
    <m/>
    <m/>
    <m/>
    <m/>
    <s v="Yes"/>
    <n v="150"/>
    <m/>
    <m/>
    <n v="4"/>
    <s v="1"/>
    <s v="2"/>
    <x v="0"/>
    <d v="2022-11-14T09:24:51.000"/>
    <s v="Talking about #Longevity and #Biostasis  in #TransVisionMadrid #streaming  _x000a_➡️ https://t.co/P0CBGJdTuZ https://t.co/eLbpevlyQ5"/>
    <s v="https://www.youtube.com/watch?v=3JK84n-jsMU"/>
    <s v="youtube.com"/>
    <x v="9"/>
    <s v="https://pbs.twimg.com/media/FhcHy7oXEAMenzQ.png"/>
    <s v="https://pbs.twimg.com/media/FhcHy7oXEAMenzQ.png"/>
    <x v="53"/>
    <d v="2022-11-14T00:00:00.000"/>
    <s v="09:24:51"/>
    <s v="https://twitter.com/hashtagmarketi7/status/1592086147353698306"/>
    <m/>
    <m/>
    <s v="1592086147353698306"/>
    <m/>
    <b v="0"/>
    <n v="0"/>
    <s v=""/>
    <b v="0"/>
    <s v="en"/>
    <m/>
    <s v=""/>
    <b v="0"/>
    <n v="5"/>
    <s v="1591749681398308865"/>
    <s v="Twitter Web App"/>
    <b v="0"/>
    <s v="1591749681398308865"/>
    <s v="Tweet"/>
    <n v="0"/>
    <n v="0"/>
    <m/>
    <m/>
    <m/>
    <m/>
    <m/>
    <m/>
    <m/>
    <m/>
    <n v="0"/>
    <n v="0"/>
    <n v="0"/>
    <n v="0"/>
    <n v="0"/>
    <n v="0"/>
    <n v="5"/>
    <n v="62.5"/>
    <n v="8"/>
  </r>
  <r>
    <s v="hashtagmarketi7"/>
    <s v="cordeiro"/>
    <m/>
    <m/>
    <m/>
    <m/>
    <m/>
    <m/>
    <m/>
    <m/>
    <s v="No"/>
    <n v="151"/>
    <m/>
    <m/>
    <n v="3"/>
    <s v="1"/>
    <s v="4"/>
    <x v="0"/>
    <d v="2022-11-14T09:24:56.000"/>
    <s v="#TransVisionMadrid  This will be the first #BFR  training to be organized in #Spain  after some smaller similar events in Germany, the Netherlands, Switzerland, and the United Kingdom. _x000a_🚨  ALL videos on #YouTube  https://t.co/yiheEheGsM https://t.co/gr75HgDT4C"/>
    <s v="https://youtube.com/c/AlianzaFuturista/streams https://www.linkedin.com/feed/update/urn:li:share:6997477447952674817"/>
    <s v="youtube.com linkedin.com"/>
    <x v="8"/>
    <m/>
    <s v="https://pbs.twimg.com/profile_images/1487756429276684289/Kqq9xAOb_normal.png"/>
    <x v="54"/>
    <d v="2022-11-14T00:00:00.000"/>
    <s v="09:24:56"/>
    <s v="https://twitter.com/hashtagmarketi7/status/1592086165540474880"/>
    <m/>
    <m/>
    <s v="1592086165540474880"/>
    <m/>
    <b v="0"/>
    <n v="0"/>
    <s v=""/>
    <b v="0"/>
    <s v="en"/>
    <m/>
    <s v=""/>
    <b v="0"/>
    <n v="5"/>
    <s v="1591711822561828864"/>
    <s v="Twitter Web App"/>
    <b v="0"/>
    <s v="1591711822561828864"/>
    <s v="Tweet"/>
    <n v="0"/>
    <n v="0"/>
    <m/>
    <m/>
    <m/>
    <m/>
    <m/>
    <m/>
    <m/>
    <m/>
    <n v="0"/>
    <n v="0"/>
    <n v="0"/>
    <n v="0"/>
    <n v="0"/>
    <n v="0"/>
    <n v="16"/>
    <n v="51.61290322580645"/>
    <n v="31"/>
  </r>
  <r>
    <s v="hashtagmarketi7"/>
    <s v="dw2"/>
    <m/>
    <m/>
    <m/>
    <m/>
    <m/>
    <m/>
    <m/>
    <m/>
    <s v="No"/>
    <n v="152"/>
    <m/>
    <m/>
    <n v="2"/>
    <s v="1"/>
    <s v="5"/>
    <x v="0"/>
    <d v="2022-11-14T09:25:05.000"/>
    <s v="The biostasis ambulance from the Netherlands, along with a dummy patient, visiting #TransVisionMadrid https://t.co/nMLVd9TMM6"/>
    <m/>
    <m/>
    <x v="1"/>
    <s v="https://pbs.twimg.com/media/FhX_xegXoAIf7pk.jpg"/>
    <s v="https://pbs.twimg.com/media/FhX_xegXoAIf7pk.jpg"/>
    <x v="55"/>
    <d v="2022-11-14T00:00:00.000"/>
    <s v="09:25:05"/>
    <s v="https://twitter.com/hashtagmarketi7/status/1592086203792523264"/>
    <m/>
    <m/>
    <s v="1592086203792523264"/>
    <m/>
    <b v="0"/>
    <n v="0"/>
    <s v=""/>
    <b v="0"/>
    <s v="en"/>
    <m/>
    <s v=""/>
    <b v="0"/>
    <n v="4"/>
    <s v="1591459422395846658"/>
    <s v="Twitter Web App"/>
    <b v="0"/>
    <s v="1591459422395846658"/>
    <s v="Tweet"/>
    <n v="0"/>
    <n v="0"/>
    <m/>
    <m/>
    <m/>
    <m/>
    <m/>
    <m/>
    <m/>
    <m/>
    <n v="1"/>
    <n v="7.6923076923076925"/>
    <n v="0"/>
    <n v="0"/>
    <n v="0"/>
    <n v="0"/>
    <n v="7"/>
    <n v="53.84615384615385"/>
    <n v="13"/>
  </r>
  <r>
    <s v="hashtagmarketi7"/>
    <s v="dw2"/>
    <m/>
    <m/>
    <m/>
    <m/>
    <m/>
    <m/>
    <m/>
    <m/>
    <s v="No"/>
    <n v="153"/>
    <m/>
    <m/>
    <n v="2"/>
    <s v="1"/>
    <s v="5"/>
    <x v="0"/>
    <d v="2022-11-14T09:25:09.000"/>
    <s v="Reached the #TransVisionMadrid venue. Looking serious... https://t.co/yJLSNTKup5"/>
    <m/>
    <m/>
    <x v="1"/>
    <s v="https://pbs.twimg.com/media/FhWdWZuXwAAO13Y.jpg"/>
    <s v="https://pbs.twimg.com/media/FhWdWZuXwAAO13Y.jpg"/>
    <x v="56"/>
    <d v="2022-11-14T00:00:00.000"/>
    <s v="09:25:09"/>
    <s v="https://twitter.com/hashtagmarketi7/status/1592086220389376000"/>
    <m/>
    <m/>
    <s v="1592086220389376000"/>
    <m/>
    <b v="0"/>
    <n v="0"/>
    <s v=""/>
    <b v="0"/>
    <s v="en"/>
    <m/>
    <s v=""/>
    <b v="0"/>
    <n v="6"/>
    <s v="1591351063663480833"/>
    <s v="Twitter Web App"/>
    <b v="0"/>
    <s v="1591351063663480833"/>
    <s v="Tweet"/>
    <n v="0"/>
    <n v="0"/>
    <m/>
    <m/>
    <m/>
    <m/>
    <m/>
    <m/>
    <m/>
    <m/>
    <n v="0"/>
    <n v="0"/>
    <n v="0"/>
    <n v="0"/>
    <n v="0"/>
    <n v="0"/>
    <n v="5"/>
    <n v="83.33333333333333"/>
    <n v="6"/>
  </r>
  <r>
    <s v="hashtagmarketi7"/>
    <s v="cordeiro"/>
    <m/>
    <m/>
    <m/>
    <m/>
    <m/>
    <m/>
    <m/>
    <m/>
    <s v="No"/>
    <n v="154"/>
    <m/>
    <m/>
    <n v="3"/>
    <s v="1"/>
    <s v="4"/>
    <x v="0"/>
    <d v="2022-11-14T12:31:39.000"/>
    <s v="#TransVisionMadrid Biostasis First Response (BFR) Training is on #youtube   #streaming  🔴   https://t.co/NLjfrcdj3z https://t.co/gstxjWMK5i"/>
    <s v="https://youtu.be/erkbGlWtX3Q"/>
    <s v="youtu.be"/>
    <x v="6"/>
    <m/>
    <s v="https://pbs.twimg.com/profile_images/1487756429276684289/Kqq9xAOb_normal.png"/>
    <x v="57"/>
    <d v="2022-11-14T00:00:00.000"/>
    <s v="12:31:39"/>
    <s v="https://twitter.com/hashtagmarketi7/status/1592133155351592960"/>
    <m/>
    <m/>
    <s v="1592133155351592960"/>
    <m/>
    <b v="0"/>
    <n v="0"/>
    <s v=""/>
    <b v="0"/>
    <s v="en"/>
    <m/>
    <s v=""/>
    <b v="0"/>
    <n v="1"/>
    <s v="1591437256136466433"/>
    <s v="Twitter for Android"/>
    <b v="0"/>
    <s v="1591437256136466433"/>
    <s v="Tweet"/>
    <n v="0"/>
    <n v="0"/>
    <m/>
    <m/>
    <m/>
    <m/>
    <m/>
    <m/>
    <m/>
    <m/>
    <n v="0"/>
    <n v="0"/>
    <n v="0"/>
    <n v="0"/>
    <n v="0"/>
    <n v="0"/>
    <n v="8"/>
    <n v="80"/>
    <n v="10"/>
  </r>
  <r>
    <s v="transvisionmad1"/>
    <s v="hashtagmarketi7"/>
    <m/>
    <m/>
    <m/>
    <m/>
    <m/>
    <m/>
    <m/>
    <m/>
    <s v="Yes"/>
    <n v="156"/>
    <m/>
    <m/>
    <n v="3"/>
    <s v="2"/>
    <s v="1"/>
    <x v="0"/>
    <d v="2022-11-12T14:32:49.000"/>
    <s v="#TransVisionMadrid Biostasis First Response (BFR) Training is on #youtube #streaming 🔴 https://t.co/MF3wZvqLSJ https://t.co/e3kPXOUSXl"/>
    <s v="https://youtu.be/erkbGlWtX3Q"/>
    <s v="youtu.be"/>
    <x v="6"/>
    <m/>
    <s v="https://pbs.twimg.com/profile_images/1416462775400927235/DSrY8TK-_normal.jpg"/>
    <x v="58"/>
    <d v="2022-11-12T00:00:00.000"/>
    <s v="14:32:49"/>
    <s v="https://twitter.com/transvisionmad1/status/1591438873585917952"/>
    <m/>
    <m/>
    <s v="1591438873585917952"/>
    <m/>
    <b v="0"/>
    <n v="0"/>
    <s v=""/>
    <b v="0"/>
    <s v="en"/>
    <m/>
    <s v=""/>
    <b v="0"/>
    <n v="3"/>
    <s v="1591438815339900929"/>
    <s v="Twitter Web App"/>
    <b v="0"/>
    <s v="1591438815339900929"/>
    <s v="Tweet"/>
    <n v="0"/>
    <n v="0"/>
    <m/>
    <m/>
    <m/>
    <m/>
    <m/>
    <m/>
    <m/>
    <m/>
    <n v="0"/>
    <n v="0"/>
    <n v="0"/>
    <n v="0"/>
    <n v="0"/>
    <n v="0"/>
    <n v="8"/>
    <n v="80"/>
    <n v="10"/>
  </r>
  <r>
    <s v="transvisionmad1"/>
    <s v="natashavitamore"/>
    <m/>
    <m/>
    <m/>
    <m/>
    <m/>
    <m/>
    <m/>
    <m/>
    <s v="No"/>
    <n v="159"/>
    <m/>
    <m/>
    <n v="4"/>
    <s v="2"/>
    <s v="3"/>
    <x v="2"/>
    <d v="2022-11-12T09:46:25.000"/>
    <s v="⭐️ Estamos ahora en directo #TransVisionMadrid ⭐️_x000a_@cordeiro les da la bienvenida a los asistentes acompañado de @NatashaVitaMore  _x000a_✅ Síguenos en directo 👇https://t.co/Zi5JcjrsiZ"/>
    <s v="https://www.youtube.com/watch?v=xb0JCOgMsXc"/>
    <s v="youtube.com"/>
    <x v="1"/>
    <m/>
    <s v="https://pbs.twimg.com/profile_images/1416462775400927235/DSrY8TK-_normal.jpg"/>
    <x v="59"/>
    <d v="2022-11-12T00:00:00.000"/>
    <s v="09:46:25"/>
    <s v="https://twitter.com/transvisionmad1/status/1591366796648808449"/>
    <m/>
    <m/>
    <s v="1591366796648808449"/>
    <m/>
    <b v="0"/>
    <n v="3"/>
    <s v=""/>
    <b v="0"/>
    <s v="es"/>
    <m/>
    <s v=""/>
    <b v="0"/>
    <n v="1"/>
    <s v=""/>
    <s v="Twitter Web App"/>
    <b v="0"/>
    <s v="1591366796648808449"/>
    <s v="Tweet"/>
    <n v="0"/>
    <n v="0"/>
    <m/>
    <m/>
    <m/>
    <m/>
    <m/>
    <m/>
    <m/>
    <m/>
    <m/>
    <m/>
    <m/>
    <m/>
    <m/>
    <m/>
    <m/>
    <m/>
    <m/>
  </r>
  <r>
    <s v="transvisionmad1"/>
    <s v="natashavitamore"/>
    <m/>
    <m/>
    <m/>
    <m/>
    <m/>
    <m/>
    <m/>
    <m/>
    <s v="No"/>
    <n v="160"/>
    <m/>
    <m/>
    <n v="4"/>
    <s v="2"/>
    <s v="3"/>
    <x v="2"/>
    <d v="2022-11-12T09:48:58.000"/>
    <s v="⭐️ Estamos ahora en directo #TransVisionMadrid ⭐️_x000a_@cordeiro les da la bienvenida a los asistentes acompañado de @NatashaVitaMore  _x000a_✅ Síguenos en directo 👇_x000a_https://t.co/lyj52Q4Cb8 https://t.co/5AhFsiLb1L"/>
    <s v="https://www.youtube.com/watch?v=xb0JCOgMsXc"/>
    <s v="youtube.com"/>
    <x v="1"/>
    <s v="https://pbs.twimg.com/media/FhWsCzBXwAA-d9k.jpg"/>
    <s v="https://pbs.twimg.com/media/FhWsCzBXwAA-d9k.jpg"/>
    <x v="60"/>
    <d v="2022-11-12T00:00:00.000"/>
    <s v="09:48:58"/>
    <s v="https://twitter.com/transvisionmad1/status/1591367441027776513"/>
    <m/>
    <m/>
    <s v="1591367441027776513"/>
    <s v="1591366796648808449"/>
    <b v="0"/>
    <n v="0"/>
    <s v="1363899590647439365"/>
    <b v="0"/>
    <s v="es"/>
    <m/>
    <s v=""/>
    <b v="0"/>
    <n v="0"/>
    <s v=""/>
    <s v="Twitter Web App"/>
    <b v="0"/>
    <s v="1591366796648808449"/>
    <s v="Tweet"/>
    <n v="0"/>
    <n v="0"/>
    <m/>
    <m/>
    <m/>
    <m/>
    <m/>
    <m/>
    <m/>
    <m/>
    <m/>
    <m/>
    <m/>
    <m/>
    <m/>
    <m/>
    <m/>
    <m/>
    <m/>
  </r>
  <r>
    <s v="transvisionmad1"/>
    <s v="natashavitamore"/>
    <m/>
    <m/>
    <m/>
    <m/>
    <m/>
    <m/>
    <m/>
    <m/>
    <s v="No"/>
    <n v="163"/>
    <m/>
    <m/>
    <n v="4"/>
    <s v="2"/>
    <s v="3"/>
    <x v="2"/>
    <d v="2022-11-12T14:50:36.000"/>
    <s v="⭐️Welcome to #TransVisionMadrid Natasha Vita-More⭐️ @NatashaVitaMore    Biostasis First Response (BFR) Training is on 🔴#youtube #streaming 🔴 ➡️ https://t.co/fXX2bMFc1C https://t.co/gDdjPq0jCe"/>
    <s v="https://www.youtube.com/watch?v=erkbGlWtX3Q"/>
    <s v="youtube.com"/>
    <x v="6"/>
    <s v="https://pbs.twimg.com/media/FhXwv6AXwAAqKwx.jpg"/>
    <s v="https://pbs.twimg.com/media/FhXwv6AXwAAqKwx.jpg"/>
    <x v="61"/>
    <d v="2022-11-12T00:00:00.000"/>
    <s v="14:50:36"/>
    <s v="https://twitter.com/transvisionmad1/status/1591443347704799233"/>
    <m/>
    <m/>
    <s v="1591443347704799233"/>
    <m/>
    <b v="0"/>
    <n v="0"/>
    <s v=""/>
    <b v="0"/>
    <s v="en"/>
    <m/>
    <s v=""/>
    <b v="0"/>
    <n v="0"/>
    <s v=""/>
    <s v="Twitter Web App"/>
    <b v="0"/>
    <s v="1591443347704799233"/>
    <s v="Tweet"/>
    <n v="0"/>
    <n v="0"/>
    <m/>
    <m/>
    <m/>
    <m/>
    <m/>
    <m/>
    <m/>
    <m/>
    <n v="1"/>
    <n v="6.25"/>
    <n v="0"/>
    <n v="0"/>
    <n v="0"/>
    <n v="0"/>
    <n v="12"/>
    <n v="75"/>
    <n v="16"/>
  </r>
  <r>
    <s v="transvisionmad1"/>
    <s v="niusdiario"/>
    <m/>
    <m/>
    <m/>
    <m/>
    <m/>
    <m/>
    <m/>
    <m/>
    <s v="No"/>
    <n v="164"/>
    <m/>
    <m/>
    <n v="1"/>
    <s v="2"/>
    <s v="2"/>
    <x v="2"/>
    <d v="2022-11-13T07:43:18.000"/>
    <s v="#TransVisionMadrid  La #criogenización como alternativa al entierro o la incineración: costará 5.000 euros en dos décadas  @NiusDiario   https://t.co/8MUExU3hr5"/>
    <s v="https://www.niusdiario.es/ciencia-y-tecnologia/ciencia/20221111/precio-criogenizarse-5000-euros-20-anos_18_07953883.html"/>
    <s v="niusdiario.es"/>
    <x v="13"/>
    <m/>
    <s v="https://pbs.twimg.com/profile_images/1416462775400927235/DSrY8TK-_normal.jpg"/>
    <x v="62"/>
    <d v="2022-11-13T00:00:00.000"/>
    <s v="07:43:18"/>
    <s v="https://twitter.com/transvisionmad1/status/1591698204193849349"/>
    <m/>
    <m/>
    <s v="1591698204193849349"/>
    <m/>
    <b v="0"/>
    <n v="0"/>
    <s v=""/>
    <b v="0"/>
    <s v="es"/>
    <m/>
    <s v=""/>
    <b v="0"/>
    <n v="0"/>
    <s v=""/>
    <s v="Twitter Web App"/>
    <b v="0"/>
    <s v="1591698204193849349"/>
    <s v="Tweet"/>
    <n v="0"/>
    <n v="0"/>
    <m/>
    <m/>
    <m/>
    <m/>
    <m/>
    <m/>
    <m/>
    <m/>
    <n v="0"/>
    <n v="0"/>
    <n v="0"/>
    <n v="0"/>
    <n v="0"/>
    <n v="0"/>
    <n v="12"/>
    <n v="66.66666666666667"/>
    <n v="18"/>
  </r>
  <r>
    <s v="dw2"/>
    <s v="dw2"/>
    <m/>
    <m/>
    <m/>
    <m/>
    <m/>
    <m/>
    <m/>
    <m/>
    <s v="No"/>
    <n v="165"/>
    <m/>
    <m/>
    <n v="3"/>
    <s v="5"/>
    <s v="5"/>
    <x v="3"/>
    <d v="2022-11-10T16:40:27.000"/>
    <s v="I'm all set for my presentation at #TransVisionMadrid on Saturday: &quot;Anticipating accelerating adoption of biostasis: Forthcoming technological changes that may soon cause wide changes in public attitudes&quot; https://t.co/l5HQuRfOeP https://t.co/ZDJdAW3sR5"/>
    <s v="https://www.transvisionmadrid.com/en/2022.html"/>
    <s v="transvisionmadrid.com"/>
    <x v="1"/>
    <s v="https://pbs.twimg.com/media/FhN2si8XwAIi1Du.jpg"/>
    <s v="https://pbs.twimg.com/media/FhN2si8XwAIi1Du.jpg"/>
    <x v="63"/>
    <d v="2022-11-10T00:00:00.000"/>
    <s v="16:40:27"/>
    <s v="https://twitter.com/dw2/status/1590746215284473866"/>
    <m/>
    <m/>
    <s v="1590746215284473866"/>
    <m/>
    <b v="0"/>
    <n v="10"/>
    <s v=""/>
    <b v="0"/>
    <s v="en"/>
    <m/>
    <s v=""/>
    <b v="0"/>
    <n v="2"/>
    <s v=""/>
    <s v="Twitter Web App"/>
    <b v="0"/>
    <s v="1590746215284473866"/>
    <s v="Tweet"/>
    <n v="0"/>
    <n v="0"/>
    <m/>
    <m/>
    <m/>
    <m/>
    <m/>
    <m/>
    <m/>
    <m/>
    <n v="0"/>
    <n v="0"/>
    <n v="0"/>
    <n v="0"/>
    <n v="0"/>
    <n v="0"/>
    <n v="17"/>
    <n v="62.96296296296296"/>
    <n v="27"/>
  </r>
  <r>
    <s v="dw2"/>
    <s v="dw2"/>
    <m/>
    <m/>
    <m/>
    <m/>
    <m/>
    <m/>
    <m/>
    <m/>
    <s v="No"/>
    <n v="166"/>
    <m/>
    <m/>
    <n v="3"/>
    <s v="5"/>
    <s v="5"/>
    <x v="3"/>
    <d v="2022-11-12T08:43:54.000"/>
    <s v="Reached the #TransVisionMadrid venue. Looking serious... https://t.co/yJLSNTKup5"/>
    <m/>
    <m/>
    <x v="1"/>
    <s v="https://pbs.twimg.com/media/FhWdWZuXwAAO13Y.jpg"/>
    <s v="https://pbs.twimg.com/media/FhWdWZuXwAAO13Y.jpg"/>
    <x v="64"/>
    <d v="2022-11-12T00:00:00.000"/>
    <s v="08:43:54"/>
    <s v="https://twitter.com/dw2/status/1591351063663480833"/>
    <m/>
    <m/>
    <s v="1591351063663480833"/>
    <m/>
    <b v="0"/>
    <n v="20"/>
    <s v=""/>
    <b v="0"/>
    <s v="en"/>
    <m/>
    <s v=""/>
    <b v="0"/>
    <n v="6"/>
    <s v=""/>
    <s v="Twitter for Android"/>
    <b v="0"/>
    <s v="1591351063663480833"/>
    <s v="Tweet"/>
    <n v="0"/>
    <n v="0"/>
    <m/>
    <m/>
    <m/>
    <m/>
    <m/>
    <m/>
    <m/>
    <m/>
    <n v="0"/>
    <n v="0"/>
    <n v="0"/>
    <n v="0"/>
    <n v="0"/>
    <n v="0"/>
    <n v="5"/>
    <n v="83.33333333333333"/>
    <n v="6"/>
  </r>
  <r>
    <s v="dw2"/>
    <s v="dw2"/>
    <m/>
    <m/>
    <m/>
    <m/>
    <m/>
    <m/>
    <m/>
    <m/>
    <s v="No"/>
    <n v="167"/>
    <m/>
    <m/>
    <n v="3"/>
    <s v="5"/>
    <s v="5"/>
    <x v="3"/>
    <d v="2022-11-12T15:54:28.000"/>
    <s v="The biostasis ambulance from the Netherlands, along with a dummy patient, visiting #TransVisionMadrid https://t.co/nMLVd9TMM6"/>
    <m/>
    <m/>
    <x v="1"/>
    <s v="https://pbs.twimg.com/media/FhX_xegXoAIf7pk.jpg"/>
    <s v="https://pbs.twimg.com/media/FhX_xegXoAIf7pk.jpg"/>
    <x v="65"/>
    <d v="2022-11-12T00:00:00.000"/>
    <s v="15:54:28"/>
    <s v="https://twitter.com/dw2/status/1591459422395846658"/>
    <m/>
    <m/>
    <s v="1591459422395846658"/>
    <m/>
    <b v="0"/>
    <n v="8"/>
    <s v=""/>
    <b v="0"/>
    <s v="en"/>
    <m/>
    <s v=""/>
    <b v="0"/>
    <n v="4"/>
    <s v=""/>
    <s v="Twitter for Android"/>
    <b v="0"/>
    <s v="1591459422395846658"/>
    <s v="Tweet"/>
    <n v="0"/>
    <n v="0"/>
    <m/>
    <m/>
    <m/>
    <m/>
    <m/>
    <m/>
    <m/>
    <m/>
    <n v="1"/>
    <n v="7.6923076923076925"/>
    <n v="0"/>
    <n v="0"/>
    <n v="0"/>
    <n v="0"/>
    <n v="7"/>
    <n v="53.84615384615385"/>
    <n v="13"/>
  </r>
  <r>
    <s v="transvisionmad1"/>
    <s v="dw2"/>
    <m/>
    <m/>
    <m/>
    <m/>
    <m/>
    <m/>
    <m/>
    <m/>
    <s v="No"/>
    <n v="168"/>
    <m/>
    <m/>
    <n v="3"/>
    <s v="2"/>
    <s v="5"/>
    <x v="0"/>
    <d v="2022-11-12T10:02:42.000"/>
    <s v="Reached the #TransVisionMadrid venue. Looking serious... https://t.co/yJLSNTKup5"/>
    <m/>
    <m/>
    <x v="1"/>
    <s v="https://pbs.twimg.com/media/FhWdWZuXwAAO13Y.jpg"/>
    <s v="https://pbs.twimg.com/media/FhWdWZuXwAAO13Y.jpg"/>
    <x v="66"/>
    <d v="2022-11-12T00:00:00.000"/>
    <s v="10:02:42"/>
    <s v="https://twitter.com/transvisionmad1/status/1591370896316727296"/>
    <m/>
    <m/>
    <s v="1591370896316727296"/>
    <m/>
    <b v="0"/>
    <n v="0"/>
    <s v=""/>
    <b v="0"/>
    <s v="en"/>
    <m/>
    <s v=""/>
    <b v="0"/>
    <n v="6"/>
    <s v="1591351063663480833"/>
    <s v="Twitter Web App"/>
    <b v="0"/>
    <s v="1591351063663480833"/>
    <s v="Tweet"/>
    <n v="0"/>
    <n v="0"/>
    <m/>
    <m/>
    <m/>
    <m/>
    <m/>
    <m/>
    <m/>
    <m/>
    <n v="0"/>
    <n v="0"/>
    <n v="0"/>
    <n v="0"/>
    <n v="0"/>
    <n v="0"/>
    <n v="5"/>
    <n v="83.33333333333333"/>
    <n v="6"/>
  </r>
  <r>
    <s v="transvisionmad1"/>
    <s v="dw2"/>
    <m/>
    <m/>
    <m/>
    <m/>
    <m/>
    <m/>
    <m/>
    <m/>
    <s v="No"/>
    <n v="169"/>
    <m/>
    <m/>
    <n v="3"/>
    <s v="2"/>
    <s v="5"/>
    <x v="0"/>
    <d v="2022-11-12T10:03:03.000"/>
    <s v="I'm all set for my presentation at #TransVisionMadrid on Saturday: &quot;Anticipating accelerating adoption of biostasis: Forthcoming technological changes that may soon cause wide changes in public attitudes&quot; https://t.co/l5HQuRfOeP https://t.co/ZDJdAW3sR5"/>
    <s v="https://www.transvisionmadrid.com/en/2022.html"/>
    <s v="transvisionmadrid.com"/>
    <x v="1"/>
    <s v="https://pbs.twimg.com/media/FhN2si8XwAIi1Du.jpg"/>
    <s v="https://pbs.twimg.com/media/FhN2si8XwAIi1Du.jpg"/>
    <x v="67"/>
    <d v="2022-11-12T00:00:00.000"/>
    <s v="10:03:03"/>
    <s v="https://twitter.com/transvisionmad1/status/1591370983591809025"/>
    <m/>
    <m/>
    <s v="1591370983591809025"/>
    <m/>
    <b v="0"/>
    <n v="0"/>
    <s v=""/>
    <b v="0"/>
    <s v="en"/>
    <m/>
    <s v=""/>
    <b v="0"/>
    <n v="2"/>
    <s v="1590746215284473866"/>
    <s v="Twitter Web App"/>
    <b v="0"/>
    <s v="1590746215284473866"/>
    <s v="Tweet"/>
    <n v="0"/>
    <n v="0"/>
    <m/>
    <m/>
    <m/>
    <m/>
    <m/>
    <m/>
    <m/>
    <m/>
    <n v="0"/>
    <n v="0"/>
    <n v="0"/>
    <n v="0"/>
    <n v="0"/>
    <n v="0"/>
    <n v="17"/>
    <n v="62.96296296296296"/>
    <n v="27"/>
  </r>
  <r>
    <s v="transvisionmad1"/>
    <s v="dw2"/>
    <m/>
    <m/>
    <m/>
    <m/>
    <m/>
    <m/>
    <m/>
    <m/>
    <s v="No"/>
    <n v="171"/>
    <m/>
    <m/>
    <n v="1"/>
    <s v="2"/>
    <s v="5"/>
    <x v="2"/>
    <d v="2022-11-12T14:42:12.000"/>
    <s v="⭐️Welcome to #TransVisionmadrid David Wood⭐️ @dw2  Biostasis First Response (BFR) Training is on _x000a_🔴 #youtube #streaming 🔴 ➡️ https://t.co/KyxuVjgkT8 https://t.co/ao8VWaDYSE"/>
    <s v="https://www.youtube.com/watch?v=erkbGlWtX3Q"/>
    <s v="youtube.com"/>
    <x v="6"/>
    <s v="https://pbs.twimg.com/media/FhXtuIwXoAIQHKd.jpg"/>
    <s v="https://pbs.twimg.com/media/FhXtuIwXoAIQHKd.jpg"/>
    <x v="68"/>
    <d v="2022-11-12T00:00:00.000"/>
    <s v="14:42:12"/>
    <s v="https://twitter.com/transvisionmad1/status/1591441233578172418"/>
    <m/>
    <m/>
    <s v="1591441233578172418"/>
    <m/>
    <b v="0"/>
    <n v="0"/>
    <s v=""/>
    <b v="0"/>
    <s v="en"/>
    <m/>
    <s v=""/>
    <b v="0"/>
    <n v="0"/>
    <s v=""/>
    <s v="Twitter Web App"/>
    <b v="0"/>
    <s v="1591441233578172418"/>
    <s v="Tweet"/>
    <n v="0"/>
    <n v="0"/>
    <m/>
    <m/>
    <m/>
    <m/>
    <m/>
    <m/>
    <m/>
    <m/>
    <n v="1"/>
    <n v="6.666666666666667"/>
    <n v="0"/>
    <n v="0"/>
    <n v="0"/>
    <n v="0"/>
    <n v="11"/>
    <n v="73.33333333333333"/>
    <n v="15"/>
  </r>
  <r>
    <s v="transvisionmad1"/>
    <s v="dw2"/>
    <m/>
    <m/>
    <m/>
    <m/>
    <m/>
    <m/>
    <m/>
    <m/>
    <s v="No"/>
    <n v="172"/>
    <m/>
    <m/>
    <n v="3"/>
    <s v="2"/>
    <s v="5"/>
    <x v="0"/>
    <d v="2022-11-13T08:41:18.000"/>
    <s v="The biostasis ambulance from the Netherlands, along with a dummy patient, visiting #TransVisionMadrid https://t.co/nMLVd9TMM6"/>
    <m/>
    <m/>
    <x v="1"/>
    <s v="https://pbs.twimg.com/media/FhX_xegXoAIf7pk.jpg"/>
    <s v="https://pbs.twimg.com/media/FhX_xegXoAIf7pk.jpg"/>
    <x v="69"/>
    <d v="2022-11-13T00:00:00.000"/>
    <s v="08:41:18"/>
    <s v="https://twitter.com/transvisionmad1/status/1591712799193198592"/>
    <m/>
    <m/>
    <s v="1591712799193198592"/>
    <m/>
    <b v="0"/>
    <n v="0"/>
    <s v=""/>
    <b v="0"/>
    <s v="en"/>
    <m/>
    <s v=""/>
    <b v="0"/>
    <n v="4"/>
    <s v="1591459422395846658"/>
    <s v="Twitter Web App"/>
    <b v="0"/>
    <s v="1591459422395846658"/>
    <s v="Tweet"/>
    <n v="0"/>
    <n v="0"/>
    <m/>
    <m/>
    <m/>
    <m/>
    <m/>
    <m/>
    <m/>
    <m/>
    <n v="1"/>
    <n v="7.6923076923076925"/>
    <n v="0"/>
    <n v="0"/>
    <n v="0"/>
    <n v="0"/>
    <n v="7"/>
    <n v="53.84615384615385"/>
    <n v="13"/>
  </r>
  <r>
    <s v="transvisionmad1"/>
    <s v="transvisionmad1"/>
    <m/>
    <m/>
    <m/>
    <m/>
    <m/>
    <m/>
    <m/>
    <m/>
    <s v="No"/>
    <n v="174"/>
    <m/>
    <m/>
    <n v="22"/>
    <s v="2"/>
    <s v="2"/>
    <x v="3"/>
    <d v="2022-11-10T09:56:21.000"/>
    <s v="#TransVisionMadrid Biostasis First Response #BFR  Training with David Pearc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jpk7Fo0jth https://t.co/zB5WzaTlJQ"/>
    <s v="http://transvisionmadrid.com"/>
    <s v="transvisionmadrid.com"/>
    <x v="7"/>
    <s v="https://pbs.twimg.com/media/FhMawqBXwAAYDEv.jpg"/>
    <s v="https://pbs.twimg.com/media/FhMawqBXwAAYDEv.jpg"/>
    <x v="70"/>
    <d v="2022-11-10T00:00:00.000"/>
    <s v="09:56:21"/>
    <s v="https://twitter.com/transvisionmad1/status/1590644520517091328"/>
    <m/>
    <m/>
    <s v="1590644520517091328"/>
    <m/>
    <b v="0"/>
    <n v="0"/>
    <s v=""/>
    <b v="0"/>
    <s v="en"/>
    <m/>
    <s v=""/>
    <b v="0"/>
    <n v="0"/>
    <s v=""/>
    <s v="Metricool"/>
    <b v="0"/>
    <s v="1590644520517091328"/>
    <s v="Tweet"/>
    <n v="0"/>
    <n v="0"/>
    <m/>
    <m/>
    <m/>
    <m/>
    <m/>
    <m/>
    <m/>
    <m/>
    <n v="0"/>
    <n v="0"/>
    <n v="0"/>
    <n v="0"/>
    <n v="0"/>
    <n v="0"/>
    <n v="16"/>
    <n v="84.21052631578948"/>
    <n v="19"/>
  </r>
  <r>
    <s v="transvisionmad1"/>
    <s v="transvisionmad1"/>
    <m/>
    <m/>
    <m/>
    <m/>
    <m/>
    <m/>
    <m/>
    <m/>
    <s v="No"/>
    <n v="175"/>
    <m/>
    <m/>
    <n v="22"/>
    <s v="2"/>
    <s v="2"/>
    <x v="3"/>
    <d v="2022-11-10T15:16:21.000"/>
    <s v="#TransVisionMadrid Biostasis First Response #BFR  Training with Danila Medvedev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lZ4IUDW78a https://t.co/OyNTEAKcDj"/>
    <s v="http://transvisionmadrid.com"/>
    <s v="transvisionmadrid.com"/>
    <x v="7"/>
    <s v="https://pbs.twimg.com/media/FhNkAJLXoAEWJrT.jpg"/>
    <s v="https://pbs.twimg.com/media/FhNkAJLXoAEWJrT.jpg"/>
    <x v="71"/>
    <d v="2022-11-10T00:00:00.000"/>
    <s v="15:16:21"/>
    <s v="https://twitter.com/transvisionmad1/status/1590725051489329152"/>
    <m/>
    <m/>
    <s v="1590725051489329152"/>
    <m/>
    <b v="0"/>
    <n v="0"/>
    <s v=""/>
    <b v="0"/>
    <s v="en"/>
    <m/>
    <s v=""/>
    <b v="0"/>
    <n v="0"/>
    <s v=""/>
    <s v="Metricool"/>
    <b v="0"/>
    <s v="1590725051489329152"/>
    <s v="Tweet"/>
    <n v="0"/>
    <n v="0"/>
    <m/>
    <m/>
    <m/>
    <m/>
    <m/>
    <m/>
    <m/>
    <m/>
    <n v="0"/>
    <n v="0"/>
    <n v="0"/>
    <n v="0"/>
    <n v="0"/>
    <n v="0"/>
    <n v="16"/>
    <n v="84.21052631578948"/>
    <n v="19"/>
  </r>
  <r>
    <s v="transvisionmad1"/>
    <s v="transvisionmad1"/>
    <m/>
    <m/>
    <m/>
    <m/>
    <m/>
    <m/>
    <m/>
    <m/>
    <s v="No"/>
    <n v="176"/>
    <m/>
    <m/>
    <n v="22"/>
    <s v="2"/>
    <s v="2"/>
    <x v="3"/>
    <d v="2022-11-11T09:56:21.000"/>
    <s v="#TransVisionMadrid Biostasis First Response #BFR  Training with Ángel Niño Quesad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76VmzqKan6 https://t.co/KtCCfu0gh2"/>
    <s v="http://transvisionmadrid.com"/>
    <s v="transvisionmadrid.com"/>
    <x v="7"/>
    <s v="https://pbs.twimg.com/media/FhRkWd4XEAEO7ZX.jpg"/>
    <s v="https://pbs.twimg.com/media/FhRkWd4XEAEO7ZX.jpg"/>
    <x v="72"/>
    <d v="2022-11-11T00:00:00.000"/>
    <s v="09:56:21"/>
    <s v="https://twitter.com/transvisionmad1/status/1591006910886694912"/>
    <m/>
    <m/>
    <s v="1591006910886694912"/>
    <m/>
    <b v="0"/>
    <n v="1"/>
    <s v=""/>
    <b v="0"/>
    <s v="en"/>
    <m/>
    <s v=""/>
    <b v="0"/>
    <n v="0"/>
    <s v=""/>
    <s v="Metricool"/>
    <b v="0"/>
    <s v="1591006910886694912"/>
    <s v="Tweet"/>
    <n v="0"/>
    <n v="0"/>
    <m/>
    <m/>
    <m/>
    <m/>
    <m/>
    <m/>
    <m/>
    <m/>
    <n v="0"/>
    <n v="0"/>
    <n v="0"/>
    <n v="0"/>
    <n v="0"/>
    <n v="0"/>
    <n v="17"/>
    <n v="85"/>
    <n v="20"/>
  </r>
  <r>
    <s v="transvisionmad1"/>
    <s v="transvisionmad1"/>
    <m/>
    <m/>
    <m/>
    <m/>
    <m/>
    <m/>
    <m/>
    <m/>
    <s v="No"/>
    <n v="177"/>
    <m/>
    <m/>
    <n v="22"/>
    <s v="2"/>
    <s v="2"/>
    <x v="3"/>
    <d v="2022-11-11T15:17:06.000"/>
    <s v="#TransVisionMadrid Biostasis First Response #BFR  Training with Fernando Herrero Acebes_x000a_🗓 Nov 12-13 Madrid will host its next #𝗧𝗿𝗮𝗻𝘀𝗩𝗶𝘀𝗶𝗼𝗻 𝗦𝘂𝗺𝗺𝗶𝘁 𝘄𝗶𝘁𝗵 𝗮 𝗳𝗼𝗰𝘂𝘀 𝗼𝗻 𝗵𝘂𝗺𝗮𝗻 𝗰𝗿𝘆𝗼𝗽𝗿𝗲𝘀𝗲𝗿𝘃𝗮𝘁𝗶𝗼𝗻. #future #humanity _x000a_https://t.co/zuepy69o3j https://t.co/4dP8ItsDBO"/>
    <s v="http://transvisionmadrid.com"/>
    <s v="transvisionmadrid.com"/>
    <x v="7"/>
    <s v="https://pbs.twimg.com/media/FhStw5bWYAIB-Rt.jpg"/>
    <s v="https://pbs.twimg.com/media/FhStw5bWYAIB-Rt.jpg"/>
    <x v="73"/>
    <d v="2022-11-11T00:00:00.000"/>
    <s v="15:17:06"/>
    <s v="https://twitter.com/transvisionmad1/status/1591087629482729473"/>
    <m/>
    <m/>
    <s v="1591087629482729473"/>
    <m/>
    <b v="0"/>
    <n v="0"/>
    <s v=""/>
    <b v="0"/>
    <s v="en"/>
    <m/>
    <s v=""/>
    <b v="0"/>
    <n v="0"/>
    <s v=""/>
    <s v="Metricool"/>
    <b v="0"/>
    <s v="1591087629482729473"/>
    <s v="Tweet"/>
    <n v="0"/>
    <n v="0"/>
    <m/>
    <m/>
    <m/>
    <m/>
    <m/>
    <m/>
    <m/>
    <m/>
    <n v="0"/>
    <n v="0"/>
    <n v="0"/>
    <n v="0"/>
    <n v="0"/>
    <n v="0"/>
    <n v="17"/>
    <n v="85"/>
    <n v="20"/>
  </r>
  <r>
    <s v="transvisionmad1"/>
    <s v="transvisionmad1"/>
    <m/>
    <m/>
    <m/>
    <m/>
    <m/>
    <m/>
    <m/>
    <m/>
    <s v="No"/>
    <n v="178"/>
    <m/>
    <m/>
    <n v="22"/>
    <s v="2"/>
    <s v="2"/>
    <x v="3"/>
    <d v="2022-11-11T20:04:19.000"/>
    <s v="#TransVisionMadrid Biostasis First Response #BFR  Training with David Wood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pMVmb35WWq https://t.co/1ac4UXQYoj"/>
    <s v="http://transvisionmadrid.com"/>
    <s v="transvisionmadrid.com"/>
    <x v="7"/>
    <s v="https://pbs.twimg.com/media/FhTvgAiXgBAb2MX.jpg"/>
    <s v="https://pbs.twimg.com/media/FhTvgAiXgBAb2MX.jpg"/>
    <x v="74"/>
    <d v="2022-11-11T00:00:00.000"/>
    <s v="20:04:19"/>
    <s v="https://twitter.com/transvisionmad1/status/1591159908736667648"/>
    <m/>
    <m/>
    <s v="1591159908736667648"/>
    <m/>
    <b v="0"/>
    <n v="3"/>
    <s v=""/>
    <b v="0"/>
    <s v="en"/>
    <m/>
    <s v=""/>
    <b v="0"/>
    <n v="1"/>
    <s v=""/>
    <s v="Metricool"/>
    <b v="0"/>
    <s v="1591159908736667648"/>
    <s v="Tweet"/>
    <n v="0"/>
    <n v="0"/>
    <m/>
    <m/>
    <m/>
    <m/>
    <m/>
    <m/>
    <m/>
    <m/>
    <n v="0"/>
    <n v="0"/>
    <n v="0"/>
    <n v="0"/>
    <n v="0"/>
    <n v="0"/>
    <n v="16"/>
    <n v="84.21052631578948"/>
    <n v="19"/>
  </r>
  <r>
    <s v="transvisionmad1"/>
    <s v="cordeiro"/>
    <m/>
    <m/>
    <m/>
    <m/>
    <m/>
    <m/>
    <m/>
    <m/>
    <s v="No"/>
    <n v="179"/>
    <m/>
    <m/>
    <n v="5"/>
    <s v="2"/>
    <s v="4"/>
    <x v="0"/>
    <d v="2022-11-12T09:43:14.000"/>
    <s v="#TransVisionMadrid 4 españoles reposan congelados a la espera de ser 'resucitados' De esto hablamos en #TransVision Madrid_x000a_Las compañías de #criopreservación viven un extraordinario crecimiento estos años mientras retan a la #ciencia #Futuro #Tecnologia_x000a_https://t.co/mMEbjZ46ox"/>
    <s v="https://www.abc.es/sociedad/cuatro-espanoles-reposan-congelados-espera-resucitados-20221109220843-nt.html"/>
    <s v="abc.es"/>
    <x v="2"/>
    <m/>
    <s v="https://pbs.twimg.com/profile_images/1416462775400927235/DSrY8TK-_normal.jpg"/>
    <x v="75"/>
    <d v="2022-11-12T00:00:00.000"/>
    <s v="09:43:14"/>
    <s v="https://twitter.com/transvisionmad1/status/1591365995439874049"/>
    <m/>
    <m/>
    <s v="1591365995439874049"/>
    <m/>
    <b v="0"/>
    <n v="0"/>
    <s v=""/>
    <b v="0"/>
    <s v="es"/>
    <m/>
    <s v=""/>
    <b v="0"/>
    <n v="2"/>
    <s v="1591360990305828864"/>
    <s v="Twitter Web App"/>
    <b v="0"/>
    <s v="1591360990305828864"/>
    <s v="Tweet"/>
    <n v="0"/>
    <n v="0"/>
    <m/>
    <m/>
    <m/>
    <m/>
    <m/>
    <m/>
    <m/>
    <m/>
    <n v="0"/>
    <n v="0"/>
    <n v="0"/>
    <n v="0"/>
    <n v="0"/>
    <n v="0"/>
    <n v="23"/>
    <n v="67.6470588235294"/>
    <n v="34"/>
  </r>
  <r>
    <s v="transvisionmad1"/>
    <s v="transvisionmad1"/>
    <m/>
    <m/>
    <m/>
    <m/>
    <m/>
    <m/>
    <m/>
    <m/>
    <s v="No"/>
    <n v="182"/>
    <m/>
    <m/>
    <n v="22"/>
    <s v="2"/>
    <s v="2"/>
    <x v="3"/>
    <d v="2022-11-12T09:56:20.000"/>
    <s v="#TransVisionMadrid Biostasis First Response #BFR Training with Manuel de la Peñ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AcucWELgWA https://t.co/E1K2ZaAgjP"/>
    <s v="http://transvisionmadrid.com"/>
    <s v="transvisionmadrid.com"/>
    <x v="7"/>
    <s v="https://pbs.twimg.com/media/FhWt75pXwAAE9yY.jpg"/>
    <s v="https://pbs.twimg.com/media/FhWt75pXwAAE9yY.jpg"/>
    <x v="76"/>
    <d v="2022-11-12T00:00:00.000"/>
    <s v="09:56:20"/>
    <s v="https://twitter.com/transvisionmad1/status/1591369292125200384"/>
    <m/>
    <m/>
    <s v="1591369292125200384"/>
    <m/>
    <b v="0"/>
    <n v="1"/>
    <s v=""/>
    <b v="0"/>
    <s v="en"/>
    <m/>
    <s v=""/>
    <b v="0"/>
    <n v="0"/>
    <s v=""/>
    <s v="Metricool"/>
    <b v="0"/>
    <s v="1591369292125200384"/>
    <s v="Tweet"/>
    <n v="0"/>
    <n v="0"/>
    <m/>
    <m/>
    <m/>
    <m/>
    <m/>
    <m/>
    <m/>
    <m/>
    <n v="0"/>
    <n v="0"/>
    <n v="0"/>
    <n v="0"/>
    <n v="0"/>
    <n v="0"/>
    <n v="16"/>
    <n v="76.19047619047619"/>
    <n v="21"/>
  </r>
  <r>
    <s v="transvisionmad1"/>
    <s v="cordeiro"/>
    <m/>
    <m/>
    <m/>
    <m/>
    <m/>
    <m/>
    <m/>
    <m/>
    <s v="No"/>
    <n v="186"/>
    <m/>
    <m/>
    <n v="5"/>
    <s v="2"/>
    <s v="4"/>
    <x v="0"/>
    <d v="2022-11-12T10:27:28.000"/>
    <s v="#TransVisionMadrid   Cumbre científica sobre la &quot;inmortalidad&quot; en #Madrid  _x000a__x000a_Debate sobre la suspensión de la vida con técnicas de frío extremo para ser reanimada mucho tiempo después _x000a__x000a_Muchas gracias Diario de Levante   por compartir https://t.co/WiCmggUr45"/>
    <s v="https://www.levante-emv.com/tendencias21/2022/11/12/cumbre-cientifica-inmortalidad-madrid-78418464.html"/>
    <s v="levante-emv.com"/>
    <x v="5"/>
    <m/>
    <s v="https://pbs.twimg.com/profile_images/1416462775400927235/DSrY8TK-_normal.jpg"/>
    <x v="77"/>
    <d v="2022-11-12T00:00:00.000"/>
    <s v="10:27:28"/>
    <s v="https://twitter.com/transvisionmad1/status/1591377128204951552"/>
    <m/>
    <m/>
    <s v="1591377128204951552"/>
    <m/>
    <b v="0"/>
    <n v="0"/>
    <s v=""/>
    <b v="0"/>
    <s v="es"/>
    <m/>
    <s v=""/>
    <b v="0"/>
    <n v="1"/>
    <s v="1591376992108150785"/>
    <s v="Twitter Web App"/>
    <b v="0"/>
    <s v="1591376992108150785"/>
    <s v="Tweet"/>
    <n v="0"/>
    <n v="0"/>
    <m/>
    <m/>
    <m/>
    <m/>
    <m/>
    <m/>
    <m/>
    <m/>
    <n v="0"/>
    <n v="0"/>
    <n v="0"/>
    <n v="0"/>
    <n v="0"/>
    <n v="0"/>
    <n v="22"/>
    <n v="66.66666666666667"/>
    <n v="33"/>
  </r>
  <r>
    <s v="transvisionmad1"/>
    <s v="javiercremades"/>
    <m/>
    <m/>
    <m/>
    <m/>
    <m/>
    <m/>
    <m/>
    <m/>
    <s v="Yes"/>
    <n v="187"/>
    <m/>
    <m/>
    <n v="1"/>
    <s v="2"/>
    <s v="3"/>
    <x v="1"/>
    <d v="2022-11-12T10:27:32.000"/>
    <s v="#TransVisionMadrid  Estamos ya comenzando  @paulspiegel  Dr. Natasha Vita-More, PhD - 1st   Pedro Guillen   @JavierCremades  Ramon Tamames _x000a_Siguelo en directo via #Youtube  https://t.co/yw5mNVc06p https://t.co/hdu0qHo0Pc"/>
    <s v="https://youtu.be/xb0JCOgMsXc https://www.linkedin.com/feed/update/urn:li:share:6997135896437231617"/>
    <s v="youtu.be linkedin.com"/>
    <x v="3"/>
    <m/>
    <s v="https://pbs.twimg.com/profile_images/1416462775400927235/DSrY8TK-_normal.jpg"/>
    <x v="78"/>
    <d v="2022-11-12T00:00:00.000"/>
    <s v="10:27:32"/>
    <s v="https://twitter.com/transvisionmad1/status/1591377144382652416"/>
    <m/>
    <m/>
    <s v="1591377144382652416"/>
    <m/>
    <b v="0"/>
    <n v="0"/>
    <s v=""/>
    <b v="0"/>
    <s v="es"/>
    <m/>
    <s v=""/>
    <b v="0"/>
    <n v="2"/>
    <s v="1591370271352623105"/>
    <s v="Twitter Web App"/>
    <b v="0"/>
    <s v="1591370271352623105"/>
    <s v="Tweet"/>
    <n v="0"/>
    <n v="0"/>
    <m/>
    <m/>
    <m/>
    <m/>
    <m/>
    <m/>
    <m/>
    <m/>
    <m/>
    <m/>
    <m/>
    <m/>
    <m/>
    <m/>
    <m/>
    <m/>
    <m/>
  </r>
  <r>
    <s v="transvisionmad1"/>
    <s v="transvisionmad1"/>
    <m/>
    <m/>
    <m/>
    <m/>
    <m/>
    <m/>
    <m/>
    <m/>
    <s v="No"/>
    <n v="190"/>
    <m/>
    <m/>
    <n v="22"/>
    <s v="2"/>
    <s v="2"/>
    <x v="3"/>
    <d v="2022-11-12T10:36:57.000"/>
    <s v="#TransVisionMadrid  Estamos congregados en #Madrid  varios científicos hablando sobre la &quot;inmortalidad&quot; y  Biostasis BFR_x000a_🔹Debatimos sobre la suspensión de la vida con técnicas de frío para su reanimación posterior   _x000a_🔴 Estamos en directo #YouTube  🔴 _x000a_➡️ https://t.co/Zi5JcjrsiZ https://t.co/LQGXped5yx"/>
    <s v="https://www.youtube.com/watch?v=xb0JCOgMsXc"/>
    <s v="youtube.com"/>
    <x v="12"/>
    <s v="https://pbs.twimg.com/media/FhW1XNFXgAACXVj.jpg"/>
    <s v="https://pbs.twimg.com/media/FhW1XNFXgAACXVj.jpg"/>
    <x v="79"/>
    <d v="2022-11-12T00:00:00.000"/>
    <s v="10:36:57"/>
    <s v="https://twitter.com/transvisionmad1/status/1591379517054267392"/>
    <m/>
    <m/>
    <s v="1591379517054267392"/>
    <m/>
    <b v="0"/>
    <n v="3"/>
    <s v=""/>
    <b v="0"/>
    <s v="es"/>
    <m/>
    <s v=""/>
    <b v="0"/>
    <n v="2"/>
    <s v=""/>
    <s v="Twitter Web App"/>
    <b v="0"/>
    <s v="1591379517054267392"/>
    <s v="Tweet"/>
    <n v="0"/>
    <n v="0"/>
    <m/>
    <m/>
    <m/>
    <m/>
    <m/>
    <m/>
    <m/>
    <m/>
    <n v="0"/>
    <n v="0"/>
    <n v="0"/>
    <n v="0"/>
    <n v="0"/>
    <n v="0"/>
    <n v="22"/>
    <n v="66.66666666666667"/>
    <n v="33"/>
  </r>
  <r>
    <s v="transvisionmad1"/>
    <s v="transvisionmad1"/>
    <m/>
    <m/>
    <m/>
    <m/>
    <m/>
    <m/>
    <m/>
    <m/>
    <s v="No"/>
    <n v="191"/>
    <m/>
    <m/>
    <n v="22"/>
    <s v="2"/>
    <s v="2"/>
    <x v="3"/>
    <d v="2022-11-12T12:06:17.000"/>
    <s v="#Madrid acoge este fin de semana una cumbre internacional #TransVisionMadrid sobre criopreservación humana _x000a_➡️ https://t.co/mYFCeMINnA https://t.co/XzITq0NHie"/>
    <s v="https://www.europapress.es/sociedad/noticia-madrid-acoge-fin-semana-cumbre-internacional-criopreservacion-humana-20221111121558.html"/>
    <s v="europapress.es"/>
    <x v="0"/>
    <s v="https://pbs.twimg.com/media/FhXLrnHXwAAfpE5.jpg"/>
    <s v="https://pbs.twimg.com/media/FhXLrnHXwAAfpE5.jpg"/>
    <x v="80"/>
    <d v="2022-11-12T00:00:00.000"/>
    <s v="12:06:17"/>
    <s v="https://twitter.com/transvisionmad1/status/1591401998385029120"/>
    <m/>
    <m/>
    <s v="1591401998385029120"/>
    <m/>
    <b v="0"/>
    <n v="1"/>
    <s v=""/>
    <b v="0"/>
    <s v="es"/>
    <m/>
    <s v=""/>
    <b v="0"/>
    <n v="1"/>
    <s v=""/>
    <s v="Metricool"/>
    <b v="0"/>
    <s v="1591401998385029120"/>
    <s v="Tweet"/>
    <n v="0"/>
    <n v="0"/>
    <m/>
    <m/>
    <m/>
    <m/>
    <m/>
    <m/>
    <m/>
    <m/>
    <n v="0"/>
    <n v="0"/>
    <n v="0"/>
    <n v="0"/>
    <n v="0"/>
    <n v="0"/>
    <n v="10"/>
    <n v="76.92307692307692"/>
    <n v="13"/>
  </r>
  <r>
    <s v="transvisionmad1"/>
    <s v="transvisionmad1"/>
    <m/>
    <m/>
    <m/>
    <m/>
    <m/>
    <m/>
    <m/>
    <m/>
    <s v="No"/>
    <n v="195"/>
    <m/>
    <m/>
    <n v="22"/>
    <s v="2"/>
    <s v="2"/>
    <x v="3"/>
    <d v="2022-11-12T13:58:32.000"/>
    <s v="⭐️  Nuevo enlace ⭐️  al evento #TransVisionMadrid  _x000a__x000a_ 🔴    Estamos en directo  🔴   por #youtube  👇https://t.co/OW32FlT2Ym"/>
    <s v="https://www.youtube.com/watch?v=erkbGlWtX3Q&amp;feature=youtu.be"/>
    <s v="youtube.com"/>
    <x v="3"/>
    <m/>
    <s v="https://pbs.twimg.com/profile_images/1416462775400927235/DSrY8TK-_normal.jpg"/>
    <x v="81"/>
    <d v="2022-11-12T00:00:00.000"/>
    <s v="13:58:32"/>
    <s v="https://twitter.com/transvisionmad1/status/1591430243302227968"/>
    <m/>
    <m/>
    <s v="1591430243302227968"/>
    <m/>
    <b v="0"/>
    <n v="1"/>
    <s v=""/>
    <b v="0"/>
    <s v="es"/>
    <m/>
    <s v=""/>
    <b v="0"/>
    <n v="0"/>
    <s v=""/>
    <s v="Twitter Web App"/>
    <b v="0"/>
    <s v="1591430243302227968"/>
    <s v="Tweet"/>
    <n v="0"/>
    <n v="0"/>
    <m/>
    <m/>
    <m/>
    <m/>
    <m/>
    <m/>
    <m/>
    <m/>
    <n v="0"/>
    <n v="0"/>
    <n v="0"/>
    <n v="0"/>
    <n v="0"/>
    <n v="0"/>
    <n v="11"/>
    <n v="78.57142857142857"/>
    <n v="14"/>
  </r>
  <r>
    <s v="transvisionmad1"/>
    <s v="paulspiegel"/>
    <m/>
    <m/>
    <m/>
    <m/>
    <m/>
    <m/>
    <m/>
    <m/>
    <s v="No"/>
    <n v="196"/>
    <m/>
    <m/>
    <n v="2"/>
    <s v="2"/>
    <s v="3"/>
    <x v="2"/>
    <d v="2022-11-12T14:46:33.000"/>
    <s v="⭐️Welcome to #TransVisionmadrid  Paul Spiegel⭐️ @paulspiegel    Biostasis First Response (BFR) Training is on 🔴 #youtube #streaming 🔴 ➡️ https://t.co/fXX2bMEEc4 https://t.co/qjoT1ubi03"/>
    <s v="https://www.youtube.com/watch?v=erkbGlWtX3Q"/>
    <s v="youtube.com"/>
    <x v="6"/>
    <s v="https://pbs.twimg.com/media/FhXv2xtWAAIg1Cp.jpg"/>
    <s v="https://pbs.twimg.com/media/FhXv2xtWAAIg1Cp.jpg"/>
    <x v="82"/>
    <d v="2022-11-12T00:00:00.000"/>
    <s v="14:46:33"/>
    <s v="https://twitter.com/transvisionmad1/status/1591442328178286593"/>
    <m/>
    <m/>
    <s v="1591442328178286593"/>
    <m/>
    <b v="0"/>
    <n v="1"/>
    <s v=""/>
    <b v="0"/>
    <s v="en"/>
    <m/>
    <s v=""/>
    <b v="0"/>
    <n v="0"/>
    <s v=""/>
    <s v="Twitter Web App"/>
    <b v="0"/>
    <s v="1591442328178286593"/>
    <s v="Tweet"/>
    <n v="0"/>
    <n v="0"/>
    <m/>
    <m/>
    <m/>
    <m/>
    <m/>
    <m/>
    <m/>
    <m/>
    <n v="1"/>
    <n v="6.666666666666667"/>
    <n v="0"/>
    <n v="0"/>
    <n v="0"/>
    <n v="0"/>
    <n v="11"/>
    <n v="73.33333333333333"/>
    <n v="15"/>
  </r>
  <r>
    <s v="transvisionmad1"/>
    <s v="transvisionmad1"/>
    <m/>
    <m/>
    <m/>
    <m/>
    <m/>
    <m/>
    <m/>
    <m/>
    <s v="No"/>
    <n v="197"/>
    <m/>
    <m/>
    <n v="22"/>
    <s v="2"/>
    <s v="2"/>
    <x v="3"/>
    <d v="2022-11-12T15:16:15.000"/>
    <s v="#TransVisionMadrid Biostasis First Response #BFR  Training with Paul Spiegel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pseS63rjrF https://t.co/UqLFqWfYAs"/>
    <s v="http://transvisionmadrid.com"/>
    <s v="transvisionmadrid.com"/>
    <x v="7"/>
    <s v="https://pbs.twimg.com/media/FhX3KWbWAAApSV0.jpg"/>
    <s v="https://pbs.twimg.com/media/FhX3KWbWAAApSV0.jpg"/>
    <x v="83"/>
    <d v="2022-11-12T00:00:00.000"/>
    <s v="15:16:15"/>
    <s v="https://twitter.com/transvisionmad1/status/1591449805267652608"/>
    <m/>
    <m/>
    <s v="1591449805267652608"/>
    <m/>
    <b v="0"/>
    <n v="0"/>
    <s v=""/>
    <b v="0"/>
    <s v="en"/>
    <m/>
    <s v=""/>
    <b v="0"/>
    <n v="0"/>
    <s v=""/>
    <s v="Metricool"/>
    <b v="0"/>
    <s v="1591449805267652608"/>
    <s v="Tweet"/>
    <n v="0"/>
    <n v="0"/>
    <m/>
    <m/>
    <m/>
    <m/>
    <m/>
    <m/>
    <m/>
    <m/>
    <n v="0"/>
    <n v="0"/>
    <n v="0"/>
    <n v="0"/>
    <n v="0"/>
    <n v="0"/>
    <n v="16"/>
    <n v="84.21052631578948"/>
    <n v="19"/>
  </r>
  <r>
    <s v="transvisionmad1"/>
    <s v="transvisionmad1"/>
    <m/>
    <m/>
    <m/>
    <m/>
    <m/>
    <m/>
    <m/>
    <m/>
    <s v="No"/>
    <n v="198"/>
    <m/>
    <m/>
    <n v="22"/>
    <s v="2"/>
    <s v="2"/>
    <x v="3"/>
    <d v="2022-11-12T15:43:34.000"/>
    <s v="⭐️Welcome to #TransVisionmadrid Jacob Hoeskstra⭐️ Biostasis First Response (BFR) Training is on  🔴 #youtube #streaming 🔴 ➡️ https://t.co/fXX2bMFc1C https://t.co/hdovyXByoQ"/>
    <s v="https://www.youtube.com/watch?v=erkbGlWtX3Q"/>
    <s v="youtube.com"/>
    <x v="6"/>
    <s v="https://pbs.twimg.com/media/FhX8jKrWIAAAzHl.jpg"/>
    <s v="https://pbs.twimg.com/media/FhX8jKrWIAAAzHl.jpg"/>
    <x v="84"/>
    <d v="2022-11-12T00:00:00.000"/>
    <s v="15:43:34"/>
    <s v="https://twitter.com/transvisionmad1/status/1591456676980592640"/>
    <m/>
    <m/>
    <s v="1591456676980592640"/>
    <m/>
    <b v="0"/>
    <n v="0"/>
    <s v=""/>
    <b v="0"/>
    <s v="en"/>
    <m/>
    <s v=""/>
    <b v="0"/>
    <n v="0"/>
    <s v=""/>
    <s v="Twitter Web App"/>
    <b v="0"/>
    <s v="1591456676980592640"/>
    <s v="Tweet"/>
    <n v="0"/>
    <n v="0"/>
    <m/>
    <m/>
    <m/>
    <m/>
    <m/>
    <m/>
    <m/>
    <m/>
    <n v="1"/>
    <n v="7.142857142857143"/>
    <n v="0"/>
    <n v="0"/>
    <n v="0"/>
    <n v="0"/>
    <n v="10"/>
    <n v="71.42857142857143"/>
    <n v="14"/>
  </r>
  <r>
    <s v="transvisionmad1"/>
    <s v="transvisionmad1"/>
    <m/>
    <m/>
    <m/>
    <m/>
    <m/>
    <m/>
    <m/>
    <m/>
    <s v="No"/>
    <n v="199"/>
    <m/>
    <m/>
    <n v="22"/>
    <s v="2"/>
    <s v="2"/>
    <x v="3"/>
    <d v="2022-11-12T20:04:16.000"/>
    <s v="#TransVisionMadrid Biostasis First Response #BFR  Training with Jacob Hoeskstr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F2a1Ijolo8 https://t.co/gBbzNFblwS"/>
    <s v="http://transvisionmadrid.com"/>
    <s v="transvisionmadrid.com"/>
    <x v="7"/>
    <s v="https://pbs.twimg.com/media/FhY5FHoXwAUOpWQ.jpg"/>
    <s v="https://pbs.twimg.com/media/FhY5FHoXwAUOpWQ.jpg"/>
    <x v="85"/>
    <d v="2022-11-12T00:00:00.000"/>
    <s v="20:04:16"/>
    <s v="https://twitter.com/transvisionmad1/status/1591522283285266432"/>
    <m/>
    <m/>
    <s v="1591522283285266432"/>
    <m/>
    <b v="0"/>
    <n v="1"/>
    <s v=""/>
    <b v="0"/>
    <s v="en"/>
    <m/>
    <s v=""/>
    <b v="0"/>
    <n v="0"/>
    <s v=""/>
    <s v="Metricool"/>
    <b v="0"/>
    <s v="1591522283285266432"/>
    <s v="Tweet"/>
    <n v="0"/>
    <n v="0"/>
    <m/>
    <m/>
    <m/>
    <m/>
    <m/>
    <m/>
    <m/>
    <m/>
    <n v="0"/>
    <n v="0"/>
    <n v="0"/>
    <n v="0"/>
    <n v="0"/>
    <n v="0"/>
    <n v="16"/>
    <n v="84.21052631578948"/>
    <n v="19"/>
  </r>
  <r>
    <s v="transvisionmad1"/>
    <s v="transvisionmad1"/>
    <m/>
    <m/>
    <m/>
    <m/>
    <m/>
    <m/>
    <m/>
    <m/>
    <s v="No"/>
    <n v="200"/>
    <m/>
    <m/>
    <n v="22"/>
    <s v="2"/>
    <s v="2"/>
    <x v="3"/>
    <d v="2022-11-13T07:06:15.000"/>
    <s v="#TransVisionMadrid 4 españoles reposan congelados a la espera de ser 'resucitados' De esto hablamos en #TransVision Madrid_x000a_Las compañías de #criopreservación viven un extraordinario crecimiento estos años mientras retan a la #ciencia #Futuro #Tecnologia_x000a_https://t.co/zVNK9rZaX2"/>
    <s v="https://www.abc.es/sociedad/cuatro-espanoles-reposan-congelados-espera-resucitados-20221109220843-nt.html"/>
    <s v="abc.es"/>
    <x v="2"/>
    <m/>
    <s v="https://pbs.twimg.com/profile_images/1416462775400927235/DSrY8TK-_normal.jpg"/>
    <x v="86"/>
    <d v="2022-11-13T00:00:00.000"/>
    <s v="07:06:15"/>
    <s v="https://twitter.com/transvisionmad1/status/1591688878091640832"/>
    <m/>
    <m/>
    <s v="1591688878091640832"/>
    <m/>
    <b v="0"/>
    <n v="1"/>
    <s v=""/>
    <b v="0"/>
    <s v="es"/>
    <m/>
    <s v=""/>
    <b v="0"/>
    <n v="1"/>
    <s v=""/>
    <s v="Metricool"/>
    <b v="0"/>
    <s v="1591688878091640832"/>
    <s v="Tweet"/>
    <n v="0"/>
    <n v="0"/>
    <m/>
    <m/>
    <m/>
    <m/>
    <m/>
    <m/>
    <m/>
    <m/>
    <n v="0"/>
    <n v="0"/>
    <n v="0"/>
    <n v="0"/>
    <n v="0"/>
    <n v="0"/>
    <n v="23"/>
    <n v="67.6470588235294"/>
    <n v="34"/>
  </r>
  <r>
    <s v="transvisionmad1"/>
    <s v="transvisionmad1"/>
    <m/>
    <m/>
    <m/>
    <m/>
    <m/>
    <m/>
    <m/>
    <m/>
    <s v="No"/>
    <n v="201"/>
    <m/>
    <m/>
    <n v="22"/>
    <s v="2"/>
    <s v="2"/>
    <x v="3"/>
    <d v="2022-11-13T07:13:35.000"/>
    <s v="#TransVisionMadrid This will be the first #BFR  training to be organized in #Spain  after some smaller similar events in Germany, the Netherlands, Switzerland, and the United Kingdom. #YouTube ➡️https://t.co/PGZDpuUPID https://t.co/LI8KTvG38i"/>
    <s v="https://www.youtube.com/c/AlianzaFuturista/streams"/>
    <s v="youtube.com"/>
    <x v="8"/>
    <s v="https://pbs.twimg.com/media/FhbRBMWWYAACddn.jpg"/>
    <s v="https://pbs.twimg.com/media/FhbRBMWWYAACddn.jpg"/>
    <x v="87"/>
    <d v="2022-11-13T00:00:00.000"/>
    <s v="07:13:35"/>
    <s v="https://twitter.com/transvisionmad1/status/1591690722214039552"/>
    <m/>
    <m/>
    <s v="1591690722214039552"/>
    <m/>
    <b v="0"/>
    <n v="2"/>
    <s v=""/>
    <b v="0"/>
    <s v="en"/>
    <m/>
    <s v=""/>
    <b v="0"/>
    <n v="2"/>
    <s v=""/>
    <s v="Twitter Web App"/>
    <b v="0"/>
    <s v="1591690722214039552"/>
    <s v="Tweet"/>
    <n v="0"/>
    <n v="0"/>
    <m/>
    <m/>
    <m/>
    <m/>
    <m/>
    <m/>
    <m/>
    <m/>
    <n v="0"/>
    <n v="0"/>
    <n v="0"/>
    <n v="0"/>
    <n v="0"/>
    <n v="0"/>
    <n v="19"/>
    <n v="59.375"/>
    <n v="32"/>
  </r>
  <r>
    <s v="transvisionmad1"/>
    <s v="transvisionmad1"/>
    <m/>
    <m/>
    <m/>
    <m/>
    <m/>
    <m/>
    <m/>
    <m/>
    <s v="No"/>
    <n v="202"/>
    <m/>
    <m/>
    <n v="22"/>
    <s v="2"/>
    <s v="2"/>
    <x v="3"/>
    <d v="2022-11-13T08:42:45.000"/>
    <s v="#TransVisionMadrid  TODAY last DAY #BFR  training to be organized in #Spain  after some smaller similar events in Germany, the Netherlands, Switzerland, and the United Kingdom. 🚨ALL videos  #YouTube  ➡️https://t.co/zbyotTmHSN https://t.co/gMIMbH9NfY"/>
    <s v="https://www.youtube.com/c/AlianzaFuturista/streams"/>
    <s v="youtube.com"/>
    <x v="8"/>
    <s v="https://pbs.twimg.com/media/Fhbli2wXwAANOzT.jpg"/>
    <s v="https://pbs.twimg.com/media/Fhbli2wXwAANOzT.jpg"/>
    <x v="88"/>
    <d v="2022-11-13T00:00:00.000"/>
    <s v="08:42:45"/>
    <s v="https://twitter.com/transvisionmad1/status/1591713162973544449"/>
    <m/>
    <m/>
    <s v="1591713162973544449"/>
    <m/>
    <b v="0"/>
    <n v="4"/>
    <s v=""/>
    <b v="0"/>
    <s v="en"/>
    <m/>
    <s v=""/>
    <b v="0"/>
    <n v="0"/>
    <s v=""/>
    <s v="Twitter Web App"/>
    <b v="0"/>
    <s v="1591713162973544449"/>
    <s v="Tweet"/>
    <n v="0"/>
    <n v="0"/>
    <m/>
    <m/>
    <m/>
    <m/>
    <m/>
    <m/>
    <m/>
    <m/>
    <n v="0"/>
    <n v="0"/>
    <n v="0"/>
    <n v="0"/>
    <n v="0"/>
    <n v="0"/>
    <n v="22"/>
    <n v="68.75"/>
    <n v="32"/>
  </r>
  <r>
    <s v="transvisionmad1"/>
    <s v="transvisionmad1"/>
    <m/>
    <m/>
    <m/>
    <m/>
    <m/>
    <m/>
    <m/>
    <m/>
    <s v="No"/>
    <n v="203"/>
    <m/>
    <m/>
    <n v="22"/>
    <s v="2"/>
    <s v="2"/>
    <x v="3"/>
    <d v="2022-11-13T09:56:18.000"/>
    <s v="#TransVisionMadrid  Biostasis First Response #BFR Training with Ramón Risco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nH2HzZ5xmM https://t.co/QyAkAoc4Ly"/>
    <s v="http://transvisionmadrid.com"/>
    <s v="transvisionmadrid.com"/>
    <x v="7"/>
    <s v="https://pbs.twimg.com/media/Fhb3hI6WAAIZ67S.jpg"/>
    <s v="https://pbs.twimg.com/media/Fhb3hI6WAAIZ67S.jpg"/>
    <x v="89"/>
    <d v="2022-11-13T00:00:00.000"/>
    <s v="09:56:18"/>
    <s v="https://twitter.com/transvisionmad1/status/1591731671656796160"/>
    <m/>
    <m/>
    <s v="1591731671656796160"/>
    <m/>
    <b v="0"/>
    <n v="5"/>
    <s v=""/>
    <b v="0"/>
    <s v="en"/>
    <m/>
    <s v=""/>
    <b v="0"/>
    <n v="2"/>
    <s v=""/>
    <s v="Metricool"/>
    <b v="0"/>
    <s v="1591731671656796160"/>
    <s v="Tweet"/>
    <n v="0"/>
    <n v="0"/>
    <m/>
    <m/>
    <m/>
    <m/>
    <m/>
    <m/>
    <m/>
    <m/>
    <n v="0"/>
    <n v="0"/>
    <n v="0"/>
    <n v="0"/>
    <n v="0"/>
    <n v="0"/>
    <n v="16"/>
    <n v="84.21052631578948"/>
    <n v="19"/>
  </r>
  <r>
    <s v="transvisionmad1"/>
    <s v="aubreydegrey"/>
    <m/>
    <m/>
    <m/>
    <m/>
    <m/>
    <m/>
    <m/>
    <m/>
    <s v="No"/>
    <n v="204"/>
    <m/>
    <m/>
    <n v="1"/>
    <s v="2"/>
    <s v="2"/>
    <x v="2"/>
    <d v="2022-11-13T10:03:31.000"/>
    <s v="NOW  @aubreydegrey   is talking about #Longevity and #Biostasis  in last day of #TransVisionMadrid _x000a_#streaming  https://t.co/1HnjRoEwB9 https://t.co/tPQH4yuj2K"/>
    <s v="https://www.youtube.com/watch?v=3JK84n-jsMU"/>
    <s v="youtube.com"/>
    <x v="9"/>
    <s v="https://pbs.twimg.com/media/Fhb4i56WIAEBmHG.jpg"/>
    <s v="https://pbs.twimg.com/media/Fhb4i56WIAEBmHG.jpg"/>
    <x v="90"/>
    <d v="2022-11-13T00:00:00.000"/>
    <s v="10:03:31"/>
    <s v="https://twitter.com/transvisionmad1/status/1591733491460624384"/>
    <m/>
    <m/>
    <s v="1591733491460624384"/>
    <m/>
    <b v="0"/>
    <n v="2"/>
    <s v=""/>
    <b v="0"/>
    <s v="en"/>
    <m/>
    <s v=""/>
    <b v="0"/>
    <n v="1"/>
    <s v=""/>
    <s v="Twitter Web App"/>
    <b v="0"/>
    <s v="1591733491460624384"/>
    <s v="Tweet"/>
    <n v="0"/>
    <n v="0"/>
    <m/>
    <m/>
    <m/>
    <m/>
    <m/>
    <m/>
    <m/>
    <m/>
    <n v="0"/>
    <n v="0"/>
    <n v="0"/>
    <n v="0"/>
    <n v="0"/>
    <n v="0"/>
    <n v="9"/>
    <n v="64.28571428571429"/>
    <n v="14"/>
  </r>
  <r>
    <s v="transvisionmad1"/>
    <s v="transvisionmad1"/>
    <m/>
    <m/>
    <m/>
    <m/>
    <m/>
    <m/>
    <m/>
    <m/>
    <s v="No"/>
    <n v="205"/>
    <m/>
    <m/>
    <n v="22"/>
    <s v="2"/>
    <s v="2"/>
    <x v="3"/>
    <d v="2022-11-13T11:07:51.000"/>
    <s v="Talking about #Longevity and #Biostasis  in #TransVisionMadrid #streaming  _x000a_➡️ https://t.co/P0CBGJdTuZ https://t.co/eLbpevlyQ5"/>
    <s v="https://www.youtube.com/watch?v=3JK84n-jsMU"/>
    <s v="youtube.com"/>
    <x v="9"/>
    <s v="https://pbs.twimg.com/media/FhcHy7oXEAMenzQ.png"/>
    <s v="https://pbs.twimg.com/media/FhcHy7oXEAMenzQ.png"/>
    <x v="91"/>
    <d v="2022-11-13T00:00:00.000"/>
    <s v="11:07:51"/>
    <s v="https://twitter.com/transvisionmad1/status/1591749681398308865"/>
    <m/>
    <m/>
    <s v="1591749681398308865"/>
    <m/>
    <b v="0"/>
    <n v="7"/>
    <s v=""/>
    <b v="0"/>
    <s v="en"/>
    <m/>
    <s v=""/>
    <b v="0"/>
    <n v="5"/>
    <s v=""/>
    <s v="Twitter Web App"/>
    <b v="0"/>
    <s v="1591749681398308865"/>
    <s v="Tweet"/>
    <n v="0"/>
    <n v="0"/>
    <m/>
    <m/>
    <m/>
    <m/>
    <m/>
    <m/>
    <m/>
    <m/>
    <n v="0"/>
    <n v="0"/>
    <n v="0"/>
    <n v="0"/>
    <n v="0"/>
    <n v="0"/>
    <n v="5"/>
    <n v="62.5"/>
    <n v="8"/>
  </r>
  <r>
    <s v="transvisionmad1"/>
    <s v="transvisionmad1"/>
    <m/>
    <m/>
    <m/>
    <m/>
    <m/>
    <m/>
    <m/>
    <m/>
    <s v="No"/>
    <n v="206"/>
    <m/>
    <m/>
    <n v="22"/>
    <s v="2"/>
    <s v="2"/>
    <x v="3"/>
    <d v="2022-11-13T15:16:16.000"/>
    <s v="#TransVisionMadrid Biostasis First Response #BFR  Training with Aschwin de Wolf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mug4kR9Oty https://t.co/FRinu2Sg18"/>
    <s v="http://transvisionmadrid.com"/>
    <s v="transvisionmadrid.com"/>
    <x v="7"/>
    <s v="https://pbs.twimg.com/media/FhdAwUOX0AEpSM5.jpg"/>
    <s v="https://pbs.twimg.com/media/FhdAwUOX0AEpSM5.jpg"/>
    <x v="92"/>
    <d v="2022-11-13T00:00:00.000"/>
    <s v="15:16:16"/>
    <s v="https://twitter.com/transvisionmad1/status/1591812196526432268"/>
    <m/>
    <m/>
    <s v="1591812196526432268"/>
    <m/>
    <b v="0"/>
    <n v="2"/>
    <s v=""/>
    <b v="0"/>
    <s v="en"/>
    <m/>
    <s v=""/>
    <b v="0"/>
    <n v="0"/>
    <s v=""/>
    <s v="Metricool"/>
    <b v="0"/>
    <s v="1591812196526432268"/>
    <s v="Tweet"/>
    <n v="0"/>
    <n v="0"/>
    <m/>
    <m/>
    <m/>
    <m/>
    <m/>
    <m/>
    <m/>
    <m/>
    <n v="0"/>
    <n v="0"/>
    <n v="0"/>
    <n v="0"/>
    <n v="0"/>
    <n v="0"/>
    <n v="16"/>
    <n v="80"/>
    <n v="20"/>
  </r>
  <r>
    <s v="transvisionmad1"/>
    <s v="transvisionmad1"/>
    <m/>
    <m/>
    <m/>
    <m/>
    <m/>
    <m/>
    <m/>
    <m/>
    <s v="No"/>
    <n v="207"/>
    <m/>
    <m/>
    <n v="22"/>
    <s v="2"/>
    <s v="2"/>
    <x v="3"/>
    <d v="2022-11-13T20:04:15.000"/>
    <s v="#TransVisionMadrid Biostasis First Response #BFR  Training with Emil Kendziorr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2m8qvy6EiU https://t.co/GhccnURzV7"/>
    <s v="http://transvisionmadrid.com"/>
    <s v="transvisionmadrid.com"/>
    <x v="7"/>
    <s v="https://pbs.twimg.com/media/FheCqxHXoAUGZNw.jpg"/>
    <s v="https://pbs.twimg.com/media/FheCqxHXoAUGZNw.jpg"/>
    <x v="93"/>
    <d v="2022-11-13T00:00:00.000"/>
    <s v="20:04:15"/>
    <s v="https://twitter.com/transvisionmad1/status/1591884669074669569"/>
    <m/>
    <m/>
    <s v="1591884669074669569"/>
    <m/>
    <b v="0"/>
    <n v="1"/>
    <s v=""/>
    <b v="0"/>
    <s v="en"/>
    <m/>
    <s v=""/>
    <b v="0"/>
    <n v="0"/>
    <s v=""/>
    <s v="Metricool"/>
    <b v="0"/>
    <s v="1591884669074669569"/>
    <s v="Tweet"/>
    <n v="0"/>
    <n v="0"/>
    <m/>
    <m/>
    <m/>
    <m/>
    <m/>
    <m/>
    <m/>
    <m/>
    <n v="0"/>
    <n v="0"/>
    <n v="0"/>
    <n v="0"/>
    <n v="0"/>
    <n v="0"/>
    <n v="16"/>
    <n v="84.21052631578948"/>
    <n v="19"/>
  </r>
  <r>
    <s v="transvisionmad1"/>
    <s v="cordeiro"/>
    <m/>
    <m/>
    <m/>
    <m/>
    <m/>
    <m/>
    <m/>
    <m/>
    <s v="No"/>
    <n v="208"/>
    <m/>
    <m/>
    <n v="5"/>
    <s v="2"/>
    <s v="4"/>
    <x v="0"/>
    <d v="2022-11-14T09:43:14.000"/>
    <s v="Madrid acogerá la Cumbre #TransVisionMadrid con ponentes internacionales,  sobre la criopreservación de pacientes para su futura reanimación #BFR #Futuro #Ciencia #Tecnologia https://t.co/kduemvNfPd"/>
    <s v="https://okdiario.com/salud/madrid-acogera-cumbre-internacional-sobre-criopreservacion-pacientes-futura-reanimacion-9945365"/>
    <s v="okdiario.com"/>
    <x v="14"/>
    <m/>
    <s v="https://pbs.twimg.com/profile_images/1416462775400927235/DSrY8TK-_normal.jpg"/>
    <x v="94"/>
    <d v="2022-11-14T00:00:00.000"/>
    <s v="09:43:14"/>
    <s v="https://twitter.com/transvisionmad1/status/1592090770785566720"/>
    <m/>
    <m/>
    <s v="1592090770785566720"/>
    <m/>
    <b v="0"/>
    <n v="0"/>
    <s v=""/>
    <b v="0"/>
    <s v="es"/>
    <m/>
    <s v=""/>
    <b v="0"/>
    <n v="1"/>
    <s v="1591916121413804039"/>
    <s v="Twitter Web App"/>
    <b v="0"/>
    <s v="1591916121413804039"/>
    <s v="Tweet"/>
    <n v="0"/>
    <n v="0"/>
    <m/>
    <m/>
    <m/>
    <m/>
    <m/>
    <m/>
    <m/>
    <m/>
    <n v="0"/>
    <n v="0"/>
    <n v="0"/>
    <n v="0"/>
    <n v="0"/>
    <n v="0"/>
    <n v="15"/>
    <n v="71.42857142857143"/>
    <n v="21"/>
  </r>
  <r>
    <s v="transvisionmad1"/>
    <s v="transvisionmad1"/>
    <m/>
    <m/>
    <m/>
    <m/>
    <m/>
    <m/>
    <m/>
    <m/>
    <s v="No"/>
    <n v="209"/>
    <m/>
    <m/>
    <n v="22"/>
    <s v="2"/>
    <s v="2"/>
    <x v="3"/>
    <d v="2022-11-14T19:06:15.000"/>
    <s v="#TransVisionMadrid  Cumbre científica sobre la #inmortalidad&quot; en #Madrid _x000a_👉 Debate sobre la suspensión de la vida con técnicas de frío extremo para ser reanimada mucho tiempo después #LaMuerteDeLaMuerte   https://t.co/vFBOgcr1Ng"/>
    <s v="https://www.levante-emv.com/tendencias21/2022/11/12/cumbre-cientifica-inmortalidad-madrid-78418464.html"/>
    <s v="levante-emv.com"/>
    <x v="10"/>
    <m/>
    <s v="https://pbs.twimg.com/profile_images/1416462775400927235/DSrY8TK-_normal.jpg"/>
    <x v="95"/>
    <d v="2022-11-14T00:00:00.000"/>
    <s v="19:06:15"/>
    <s v="https://twitter.com/transvisionmad1/status/1592232462209490944"/>
    <m/>
    <m/>
    <s v="1592232462209490944"/>
    <m/>
    <b v="0"/>
    <n v="3"/>
    <s v=""/>
    <b v="0"/>
    <s v="es"/>
    <m/>
    <s v=""/>
    <b v="0"/>
    <n v="2"/>
    <s v=""/>
    <s v="Metricool"/>
    <b v="0"/>
    <s v="1592232462209490944"/>
    <s v="Tweet"/>
    <n v="0"/>
    <n v="0"/>
    <m/>
    <m/>
    <m/>
    <m/>
    <m/>
    <m/>
    <m/>
    <m/>
    <n v="0"/>
    <n v="0"/>
    <n v="0"/>
    <n v="0"/>
    <n v="0"/>
    <n v="0"/>
    <n v="18"/>
    <n v="66.66666666666667"/>
    <n v="27"/>
  </r>
  <r>
    <s v="transvisionmad1"/>
    <s v="transvisionmad1"/>
    <m/>
    <m/>
    <m/>
    <m/>
    <m/>
    <m/>
    <m/>
    <m/>
    <s v="No"/>
    <n v="210"/>
    <m/>
    <m/>
    <n v="22"/>
    <s v="2"/>
    <s v="2"/>
    <x v="3"/>
    <d v="2022-11-15T12:06:18.000"/>
    <s v="#TransVisionMadrid  👉 Ramón Risco: «La criopreservación es viable en humanos»  El científico español ha devuelto la vida a gusanos #LaMuerteDeLaMuerte_x000a_https://t.co/IhALbtyIgU"/>
    <s v="https://www.eldebate.com/salud-y-bienestar/salud/20221114/ramon-risco-criopreservacion-viable-humanos_72431.html#utm_source=rrss-comp&amp;utm_medium=wh&amp;utm_campaign=fixed-btn"/>
    <s v="eldebate.com"/>
    <x v="15"/>
    <m/>
    <s v="https://pbs.twimg.com/profile_images/1416462775400927235/DSrY8TK-_normal.jpg"/>
    <x v="96"/>
    <d v="2022-11-15T00:00:00.000"/>
    <s v="12:06:18"/>
    <s v="https://twitter.com/transvisionmad1/status/1592489164695633920"/>
    <m/>
    <m/>
    <s v="1592489164695633920"/>
    <m/>
    <b v="0"/>
    <n v="0"/>
    <s v=""/>
    <b v="0"/>
    <s v="es"/>
    <m/>
    <s v=""/>
    <b v="0"/>
    <n v="0"/>
    <s v=""/>
    <s v="Metricool"/>
    <b v="0"/>
    <s v="1592489164695633920"/>
    <s v="Tweet"/>
    <n v="0"/>
    <n v="0"/>
    <m/>
    <m/>
    <m/>
    <m/>
    <m/>
    <m/>
    <m/>
    <m/>
    <n v="0"/>
    <n v="0"/>
    <n v="0"/>
    <n v="0"/>
    <n v="0"/>
    <n v="0"/>
    <n v="13"/>
    <n v="68.42105263157895"/>
    <n v="19"/>
  </r>
  <r>
    <s v="transvisionmad1"/>
    <s v="transvisionmad1"/>
    <m/>
    <m/>
    <m/>
    <m/>
    <m/>
    <m/>
    <m/>
    <m/>
    <s v="No"/>
    <n v="211"/>
    <m/>
    <m/>
    <n v="1"/>
    <s v="2"/>
    <s v="2"/>
    <x v="0"/>
    <d v="2022-11-17T05:18:31.000"/>
    <s v="Talking about #Longevity and #Biostasis  in #TransVisionMadrid #streaming  _x000a_➡️ https://t.co/P0CBGJdTuZ https://t.co/eLbpevlyQ5"/>
    <s v="https://www.youtube.com/watch?v=3JK84n-jsMU"/>
    <s v="youtube.com"/>
    <x v="9"/>
    <s v="https://pbs.twimg.com/media/FhcHy7oXEAMenzQ.png"/>
    <s v="https://pbs.twimg.com/media/FhcHy7oXEAMenzQ.png"/>
    <x v="97"/>
    <d v="2022-11-17T00:00:00.000"/>
    <s v="05:18:31"/>
    <s v="https://twitter.com/transvisionmad1/status/1593111316155490305"/>
    <m/>
    <m/>
    <s v="1593111316155490305"/>
    <m/>
    <b v="0"/>
    <n v="0"/>
    <s v=""/>
    <b v="0"/>
    <s v="en"/>
    <m/>
    <s v=""/>
    <b v="0"/>
    <n v="5"/>
    <s v="1591749681398308865"/>
    <s v="Twitter Web App"/>
    <b v="0"/>
    <s v="1591749681398308865"/>
    <s v="Tweet"/>
    <n v="0"/>
    <n v="0"/>
    <m/>
    <m/>
    <m/>
    <m/>
    <m/>
    <m/>
    <m/>
    <m/>
    <n v="0"/>
    <n v="0"/>
    <n v="0"/>
    <n v="0"/>
    <n v="0"/>
    <n v="0"/>
    <n v="5"/>
    <n v="62.5"/>
    <n v="8"/>
  </r>
  <r>
    <s v="transvisionmad1"/>
    <s v="cordeiro"/>
    <m/>
    <m/>
    <m/>
    <m/>
    <m/>
    <m/>
    <m/>
    <m/>
    <s v="No"/>
    <n v="212"/>
    <m/>
    <m/>
    <n v="5"/>
    <s v="2"/>
    <s v="4"/>
    <x v="0"/>
    <d v="2022-11-17T05:18:36.000"/>
    <s v="#TransVisionMadrid  This will be the first #BFR  training to be organized in #Spain  after some smaller similar events in Germany, the Netherlands, Switzerland, and the United Kingdom. _x000a_🚨  ALL videos on #YouTube  https://t.co/yiheEheGsM https://t.co/gr75HgDT4C"/>
    <s v="https://youtube.com/c/AlianzaFuturista/streams https://www.linkedin.com/feed/update/urn:li:share:6997477447952674817"/>
    <s v="youtube.com linkedin.com"/>
    <x v="8"/>
    <m/>
    <s v="https://pbs.twimg.com/profile_images/1416462775400927235/DSrY8TK-_normal.jpg"/>
    <x v="98"/>
    <d v="2022-11-17T00:00:00.000"/>
    <s v="05:18:36"/>
    <s v="https://twitter.com/transvisionmad1/status/1593111341119983618"/>
    <m/>
    <m/>
    <s v="1593111341119983618"/>
    <m/>
    <b v="0"/>
    <n v="0"/>
    <s v=""/>
    <b v="0"/>
    <s v="en"/>
    <m/>
    <s v=""/>
    <b v="0"/>
    <n v="5"/>
    <s v="1591711822561828864"/>
    <s v="Twitter Web App"/>
    <b v="0"/>
    <s v="1591711822561828864"/>
    <s v="Tweet"/>
    <n v="0"/>
    <n v="0"/>
    <m/>
    <m/>
    <m/>
    <m/>
    <m/>
    <m/>
    <m/>
    <m/>
    <n v="0"/>
    <n v="0"/>
    <n v="0"/>
    <n v="0"/>
    <n v="0"/>
    <n v="0"/>
    <n v="16"/>
    <n v="51.61290322580645"/>
    <n v="31"/>
  </r>
  <r>
    <s v="transvisionmad1"/>
    <s v="transvisionmad1"/>
    <m/>
    <m/>
    <m/>
    <m/>
    <m/>
    <m/>
    <m/>
    <m/>
    <s v="No"/>
    <n v="213"/>
    <m/>
    <m/>
    <n v="22"/>
    <s v="2"/>
    <s v="2"/>
    <x v="3"/>
    <d v="2022-11-18T12:06:25.000"/>
    <s v="#TransVisionMadrid  👉 Ramón Risco: «La criopreservación es viable en humanos»  El científico español ha devuelto la vida a gusanos #LaMuerteDeLaMuerte_x000a_https://t.co/RZDC7s0DWG"/>
    <s v="https://www.eldebate.com/salud-y-bienestar/salud/20221114/ramon-risco-criopreservacion-viable-humanos_72431.html#utm_source=rrss-comp&amp;utm_medium=wh&amp;utm_campaign=fixed-btn"/>
    <s v="eldebate.com"/>
    <x v="15"/>
    <m/>
    <s v="https://pbs.twimg.com/profile_images/1416462775400927235/DSrY8TK-_normal.jpg"/>
    <x v="99"/>
    <d v="2022-11-18T00:00:00.000"/>
    <s v="12:06:25"/>
    <s v="https://twitter.com/transvisionmad1/status/1593576358004899840"/>
    <m/>
    <m/>
    <s v="1593576358004899840"/>
    <m/>
    <b v="0"/>
    <n v="2"/>
    <s v=""/>
    <b v="0"/>
    <s v="es"/>
    <m/>
    <s v=""/>
    <b v="0"/>
    <n v="0"/>
    <s v=""/>
    <s v="Metricool"/>
    <b v="0"/>
    <s v="1593576358004899840"/>
    <s v="Tweet"/>
    <n v="0"/>
    <n v="0"/>
    <m/>
    <m/>
    <m/>
    <m/>
    <m/>
    <m/>
    <m/>
    <m/>
    <n v="0"/>
    <n v="0"/>
    <n v="0"/>
    <n v="0"/>
    <n v="0"/>
    <n v="0"/>
    <n v="13"/>
    <n v="68.42105263157895"/>
    <n v="19"/>
  </r>
  <r>
    <s v="cordeiro"/>
    <s v="javiercremades"/>
    <m/>
    <m/>
    <m/>
    <m/>
    <m/>
    <m/>
    <m/>
    <m/>
    <s v="Yes"/>
    <n v="216"/>
    <m/>
    <m/>
    <n v="1"/>
    <s v="4"/>
    <s v="3"/>
    <x v="2"/>
    <d v="2022-11-12T10:00:13.000"/>
    <s v="#TransVisionMadrid  Estamos ya comenzando  @paulspiegel  Dr. Natasha Vita-More, PhD - 1st   Pedro Guillen   @JavierCremades  Ramon Tamames _x000a_Siguelo en directo via #Youtube  https://t.co/yw5mNVc06p https://t.co/hdu0qHo0Pc"/>
    <s v="https://youtu.be/xb0JCOgMsXc https://www.linkedin.com/feed/update/urn:li:share:6997135896437231617"/>
    <s v="youtu.be linkedin.com"/>
    <x v="3"/>
    <m/>
    <s v="https://pbs.twimg.com/profile_images/1078408329045725184/ix0-gmNx_normal.jpg"/>
    <x v="100"/>
    <d v="2022-11-12T00:00:00.000"/>
    <s v="10:00:13"/>
    <s v="https://twitter.com/cordeiro/status/1591370271352623105"/>
    <m/>
    <m/>
    <s v="1591370271352623105"/>
    <m/>
    <b v="0"/>
    <n v="3"/>
    <s v=""/>
    <b v="0"/>
    <s v="es"/>
    <m/>
    <s v=""/>
    <b v="0"/>
    <n v="2"/>
    <s v=""/>
    <s v="LinkedIn"/>
    <b v="0"/>
    <s v="1591370271352623105"/>
    <s v="Tweet"/>
    <n v="0"/>
    <n v="0"/>
    <m/>
    <m/>
    <m/>
    <m/>
    <m/>
    <m/>
    <m/>
    <m/>
    <m/>
    <m/>
    <m/>
    <m/>
    <m/>
    <m/>
    <m/>
    <m/>
    <m/>
  </r>
  <r>
    <s v="cordeiro"/>
    <s v="aubreydegrey"/>
    <m/>
    <m/>
    <m/>
    <m/>
    <m/>
    <m/>
    <m/>
    <m/>
    <s v="No"/>
    <n v="218"/>
    <m/>
    <m/>
    <n v="1"/>
    <s v="4"/>
    <s v="2"/>
    <x v="2"/>
    <d v="2022-11-13T10:00:37.000"/>
    <s v="NOW  @aubreydegrey  hablando de #Longevity and #Biostasis: Aubrey de Grey    #TransVisionMadrid _x000a_#streaming  https://t.co/ZreujLOi3n https://t.co/6b9NgCstfG"/>
    <s v="https://www.youtube.com/watch?v=3JK84n-jsMU https://www.linkedin.com/feed/update/urn:li:share:6997498384492191745"/>
    <s v="youtube.com linkedin.com"/>
    <x v="9"/>
    <m/>
    <s v="https://pbs.twimg.com/profile_images/1078408329045725184/ix0-gmNx_normal.jpg"/>
    <x v="101"/>
    <d v="2022-11-13T00:00:00.000"/>
    <s v="10:00:37"/>
    <s v="https://twitter.com/cordeiro/status/1591732759793631233"/>
    <m/>
    <m/>
    <s v="1591732759793631233"/>
    <m/>
    <b v="0"/>
    <n v="0"/>
    <s v=""/>
    <b v="0"/>
    <s v="es"/>
    <m/>
    <s v=""/>
    <b v="0"/>
    <n v="0"/>
    <s v=""/>
    <s v="LinkedIn"/>
    <b v="0"/>
    <s v="1591732759793631233"/>
    <s v="Tweet"/>
    <n v="0"/>
    <n v="0"/>
    <m/>
    <m/>
    <m/>
    <m/>
    <m/>
    <m/>
    <m/>
    <m/>
    <n v="0"/>
    <n v="0"/>
    <n v="0"/>
    <n v="0"/>
    <n v="0"/>
    <n v="0"/>
    <n v="9"/>
    <n v="75"/>
    <n v="12"/>
  </r>
  <r>
    <s v="cordeiro"/>
    <s v="cordeiro"/>
    <m/>
    <m/>
    <m/>
    <m/>
    <m/>
    <m/>
    <m/>
    <m/>
    <s v="No"/>
    <n v="219"/>
    <m/>
    <m/>
    <n v="35"/>
    <s v="4"/>
    <s v="4"/>
    <x v="3"/>
    <d v="2022-11-10T10:35:20.000"/>
    <s v="#TransVisionMadrid Biostasis First Response #BFR  Training with Emil Kendziorr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1uFTIcyh7V https://t.co/dEu31vfJZ4"/>
    <s v="http://transvisionmadrid.com"/>
    <s v="transvisionmadrid.com"/>
    <x v="7"/>
    <s v="https://pbs.twimg.com/media/FhMjrwcX0AEPiab.jpg"/>
    <s v="https://pbs.twimg.com/media/FhMjrwcX0AEPiab.jpg"/>
    <x v="102"/>
    <d v="2022-11-10T00:00:00.000"/>
    <s v="10:35:20"/>
    <s v="https://twitter.com/cordeiro/status/1590654332374065153"/>
    <m/>
    <m/>
    <s v="1590654332374065153"/>
    <m/>
    <b v="0"/>
    <n v="1"/>
    <s v=""/>
    <b v="0"/>
    <s v="en"/>
    <m/>
    <s v=""/>
    <b v="0"/>
    <n v="0"/>
    <s v=""/>
    <s v="Metricool"/>
    <b v="0"/>
    <s v="1590654332374065153"/>
    <s v="Tweet"/>
    <n v="0"/>
    <n v="0"/>
    <m/>
    <m/>
    <m/>
    <m/>
    <m/>
    <m/>
    <m/>
    <m/>
    <n v="0"/>
    <n v="0"/>
    <n v="0"/>
    <n v="0"/>
    <n v="0"/>
    <n v="0"/>
    <n v="16"/>
    <n v="84.21052631578948"/>
    <n v="19"/>
  </r>
  <r>
    <s v="cordeiro"/>
    <s v="cordeiro"/>
    <m/>
    <m/>
    <m/>
    <m/>
    <m/>
    <m/>
    <m/>
    <m/>
    <s v="No"/>
    <n v="220"/>
    <m/>
    <m/>
    <n v="35"/>
    <s v="4"/>
    <s v="4"/>
    <x v="3"/>
    <d v="2022-11-10T16:57:23.000"/>
    <s v="#TransVisionMadrid Biostasis First Response #BFR Training with Max Mo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TMrYpWx1X4 https://t.co/LpoBN2A7ah"/>
    <s v="http://transvisionmadrid.com"/>
    <s v="transvisionmadrid.com"/>
    <x v="7"/>
    <s v="https://pbs.twimg.com/media/FhN7IEfWAAACRDI.jpg"/>
    <s v="https://pbs.twimg.com/media/FhN7IEfWAAACRDI.jpg"/>
    <x v="103"/>
    <d v="2022-11-10T00:00:00.000"/>
    <s v="16:57:23"/>
    <s v="https://twitter.com/cordeiro/status/1590750477020532738"/>
    <m/>
    <m/>
    <s v="1590750477020532738"/>
    <m/>
    <b v="0"/>
    <n v="0"/>
    <s v=""/>
    <b v="0"/>
    <s v="en"/>
    <m/>
    <s v=""/>
    <b v="0"/>
    <n v="0"/>
    <s v=""/>
    <s v="Metricool"/>
    <b v="0"/>
    <s v="1590750477020532738"/>
    <s v="Tweet"/>
    <n v="0"/>
    <n v="0"/>
    <m/>
    <m/>
    <m/>
    <m/>
    <m/>
    <m/>
    <m/>
    <m/>
    <n v="0"/>
    <n v="0"/>
    <n v="0"/>
    <n v="0"/>
    <n v="0"/>
    <n v="0"/>
    <n v="16"/>
    <n v="84.21052631578948"/>
    <n v="19"/>
  </r>
  <r>
    <s v="cordeiro"/>
    <s v="cordeiro"/>
    <m/>
    <m/>
    <m/>
    <m/>
    <m/>
    <m/>
    <m/>
    <m/>
    <s v="No"/>
    <n v="221"/>
    <m/>
    <m/>
    <n v="35"/>
    <s v="4"/>
    <s v="4"/>
    <x v="3"/>
    <d v="2022-11-10T22:26:19.000"/>
    <s v="#TransVisionMadrid Biostasis First Response #BFR  Training with Fernando Herrero Acebes_x000a_🗓 Nov 12-13 Madrid will host its next #𝗧𝗿𝗮𝗻𝘀𝗩𝗶𝘀𝗶𝗼𝗻 𝗦𝘂𝗺𝗺𝗶𝘁 𝘄𝗶𝘁𝗵 𝗮 𝗳𝗼𝗰𝘂𝘀 𝗼𝗻 𝗵𝘂𝗺𝗮𝗻 𝗰𝗿𝘆𝗼𝗽𝗿𝗲𝘀𝗲𝗿𝘃𝗮𝘁𝗶𝗼𝗻. #future #humanity _x000a_https://t.co/3RVCCY5rZg https://t.co/vHEq3c0eqp"/>
    <s v="http://transvisionmadrid.com"/>
    <s v="transvisionmadrid.com"/>
    <x v="7"/>
    <s v="https://pbs.twimg.com/media/FhPGagrXoA4noUU.jpg"/>
    <s v="https://pbs.twimg.com/media/FhPGagrXoA4noUU.jpg"/>
    <x v="104"/>
    <d v="2022-11-10T00:00:00.000"/>
    <s v="22:26:19"/>
    <s v="https://twitter.com/cordeiro/status/1590833256651440128"/>
    <m/>
    <m/>
    <s v="1590833256651440128"/>
    <m/>
    <b v="0"/>
    <n v="0"/>
    <s v=""/>
    <b v="0"/>
    <s v="en"/>
    <m/>
    <s v=""/>
    <b v="0"/>
    <n v="0"/>
    <s v=""/>
    <s v="Metricool"/>
    <b v="0"/>
    <s v="1590833256651440128"/>
    <s v="Tweet"/>
    <n v="0"/>
    <n v="0"/>
    <m/>
    <m/>
    <m/>
    <m/>
    <m/>
    <m/>
    <m/>
    <m/>
    <n v="0"/>
    <n v="0"/>
    <n v="0"/>
    <n v="0"/>
    <n v="0"/>
    <n v="0"/>
    <n v="17"/>
    <n v="85"/>
    <n v="20"/>
  </r>
  <r>
    <s v="cordeiro"/>
    <s v="cordeiro"/>
    <m/>
    <m/>
    <m/>
    <m/>
    <m/>
    <m/>
    <m/>
    <m/>
    <s v="No"/>
    <n v="222"/>
    <m/>
    <m/>
    <n v="35"/>
    <s v="4"/>
    <s v="4"/>
    <x v="3"/>
    <d v="2022-11-11T10:35:43.000"/>
    <s v="#TransVisionMadrid Biostasis First Response #BFR Training with Natasha Vita-M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249QaIBufE https://t.co/cKkRztwTzw"/>
    <s v="http://transvisionmadrid.com"/>
    <s v="transvisionmadrid.com"/>
    <x v="7"/>
    <s v="https://pbs.twimg.com/media/FhRtXBWWYAIDxQS.jpg"/>
    <s v="https://pbs.twimg.com/media/FhRtXBWWYAIDxQS.jpg"/>
    <x v="105"/>
    <d v="2022-11-11T00:00:00.000"/>
    <s v="10:35:43"/>
    <s v="https://twitter.com/cordeiro/status/1591016815290884096"/>
    <m/>
    <m/>
    <s v="1591016815290884096"/>
    <m/>
    <b v="0"/>
    <n v="0"/>
    <s v=""/>
    <b v="0"/>
    <s v="en"/>
    <m/>
    <s v=""/>
    <b v="0"/>
    <n v="0"/>
    <s v=""/>
    <s v="Metricool"/>
    <b v="0"/>
    <s v="1591016815290884096"/>
    <s v="Tweet"/>
    <n v="0"/>
    <n v="0"/>
    <m/>
    <m/>
    <m/>
    <m/>
    <m/>
    <m/>
    <m/>
    <m/>
    <n v="0"/>
    <n v="0"/>
    <n v="0"/>
    <n v="0"/>
    <n v="0"/>
    <n v="0"/>
    <n v="17"/>
    <n v="85"/>
    <n v="20"/>
  </r>
  <r>
    <s v="cordeiro"/>
    <s v="cordeiro"/>
    <m/>
    <m/>
    <m/>
    <m/>
    <m/>
    <m/>
    <m/>
    <m/>
    <s v="No"/>
    <n v="223"/>
    <m/>
    <m/>
    <n v="35"/>
    <s v="4"/>
    <s v="4"/>
    <x v="3"/>
    <d v="2022-11-11T10:51:24.000"/>
    <s v="Madrid acogerá la Cumbre #TransVisionMadrid con ponentes internacionales,  sobre la criopreservación de pacientes para su futura reanimación #BFR #Futuro #Ciencia #Tecnologia https://t.co/UVceYCiosy"/>
    <s v="https://okdiario.com/salud/madrid-acogera-cumbre-internacional-sobre-criopreservacion-pacientes-futura-reanimacion-9945365"/>
    <s v="okdiario.com"/>
    <x v="14"/>
    <m/>
    <s v="https://pbs.twimg.com/profile_images/1078408329045725184/ix0-gmNx_normal.jpg"/>
    <x v="106"/>
    <d v="2022-11-11T00:00:00.000"/>
    <s v="10:51:24"/>
    <s v="https://twitter.com/cordeiro/status/1591020764798636032"/>
    <m/>
    <m/>
    <s v="1591020764798636032"/>
    <m/>
    <b v="0"/>
    <n v="0"/>
    <s v=""/>
    <b v="0"/>
    <s v="es"/>
    <m/>
    <s v=""/>
    <b v="0"/>
    <n v="0"/>
    <s v=""/>
    <s v="Metricool"/>
    <b v="0"/>
    <s v="1591020764798636032"/>
    <s v="Tweet"/>
    <n v="0"/>
    <n v="0"/>
    <m/>
    <m/>
    <m/>
    <m/>
    <m/>
    <m/>
    <m/>
    <m/>
    <n v="0"/>
    <n v="0"/>
    <n v="0"/>
    <n v="0"/>
    <n v="0"/>
    <n v="0"/>
    <n v="15"/>
    <n v="71.42857142857143"/>
    <n v="21"/>
  </r>
  <r>
    <s v="cordeiro"/>
    <s v="cordeiro"/>
    <m/>
    <m/>
    <m/>
    <m/>
    <m/>
    <m/>
    <m/>
    <m/>
    <s v="No"/>
    <n v="224"/>
    <m/>
    <m/>
    <n v="35"/>
    <s v="4"/>
    <s v="4"/>
    <x v="3"/>
    <d v="2022-11-11T13:21:36.000"/>
    <s v="#Madrid acoge este fin de semana una cumbre internacional  #TransVisionMadrid  sobre criopreservación humana _x000a_Muchas gracias Europapress por la difusion ➡️  https://t.co/v1BdBJdE5p https://t.co/wYPVkyiKR4"/>
    <s v="https://www.europapress.es/sociedad/noticia-madrid-acoge-fin-semana-cumbre-internacional-criopreservacion-humana-20221111121558.html https://www.linkedin.com/feed/update/urn:li:share:6996824188397207553"/>
    <s v="europapress.es linkedin.com"/>
    <x v="0"/>
    <m/>
    <s v="https://pbs.twimg.com/profile_images/1078408329045725184/ix0-gmNx_normal.jpg"/>
    <x v="107"/>
    <d v="2022-11-11T00:00:00.000"/>
    <s v="13:21:36"/>
    <s v="https://twitter.com/cordeiro/status/1591058563073449984"/>
    <m/>
    <m/>
    <s v="1591058563073449984"/>
    <m/>
    <b v="0"/>
    <n v="0"/>
    <s v=""/>
    <b v="0"/>
    <s v="es"/>
    <m/>
    <s v=""/>
    <b v="0"/>
    <n v="0"/>
    <s v=""/>
    <s v="LinkedIn"/>
    <b v="0"/>
    <s v="1591058563073449984"/>
    <s v="Tweet"/>
    <n v="0"/>
    <n v="0"/>
    <m/>
    <m/>
    <m/>
    <m/>
    <m/>
    <m/>
    <m/>
    <m/>
    <n v="0"/>
    <n v="0"/>
    <n v="0"/>
    <n v="0"/>
    <n v="0"/>
    <n v="0"/>
    <n v="14"/>
    <n v="73.6842105263158"/>
    <n v="19"/>
  </r>
  <r>
    <s v="cordeiro"/>
    <s v="cordeiro"/>
    <m/>
    <m/>
    <m/>
    <m/>
    <m/>
    <m/>
    <m/>
    <m/>
    <s v="No"/>
    <n v="225"/>
    <m/>
    <m/>
    <n v="35"/>
    <s v="4"/>
    <s v="4"/>
    <x v="3"/>
    <d v="2022-11-11T16:57:29.000"/>
    <s v="#TransVisionMadrid Biostasis First Response #BFR  Training with Aubrey de Gre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9H933lER9K https://t.co/0QsdeOtvQZ"/>
    <s v="http://transvisionmadrid.com"/>
    <s v="transvisionmadrid.com"/>
    <x v="7"/>
    <s v="https://pbs.twimg.com/media/FhTEvaSWAAEhS3B.jpg"/>
    <s v="https://pbs.twimg.com/media/FhTEvaSWAAEhS3B.jpg"/>
    <x v="108"/>
    <d v="2022-11-11T00:00:00.000"/>
    <s v="16:57:29"/>
    <s v="https://twitter.com/cordeiro/status/1591112892908183552"/>
    <m/>
    <m/>
    <s v="1591112892908183552"/>
    <m/>
    <b v="0"/>
    <n v="0"/>
    <s v=""/>
    <b v="0"/>
    <s v="en"/>
    <m/>
    <s v=""/>
    <b v="0"/>
    <n v="0"/>
    <s v=""/>
    <s v="Metricool"/>
    <b v="0"/>
    <s v="1591112892908183552"/>
    <s v="Tweet"/>
    <n v="0"/>
    <n v="0"/>
    <m/>
    <m/>
    <m/>
    <m/>
    <m/>
    <m/>
    <m/>
    <m/>
    <n v="0"/>
    <n v="0"/>
    <n v="0"/>
    <n v="0"/>
    <n v="0"/>
    <n v="0"/>
    <n v="16"/>
    <n v="80"/>
    <n v="20"/>
  </r>
  <r>
    <s v="cordeiro"/>
    <s v="cordeiro"/>
    <m/>
    <m/>
    <m/>
    <m/>
    <m/>
    <m/>
    <m/>
    <m/>
    <s v="No"/>
    <n v="226"/>
    <m/>
    <m/>
    <n v="35"/>
    <s v="4"/>
    <s v="4"/>
    <x v="3"/>
    <d v="2022-11-11T21:11:19.000"/>
    <s v="#TransVisionMadrid Biostasis First Response #BFR Training with Bill Falon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01ovKHux8U https://t.co/4NMpNmr0oe"/>
    <s v="http://transvisionmadrid.com"/>
    <s v="transvisionmadrid.com"/>
    <x v="7"/>
    <s v="https://pbs.twimg.com/media/FhT-1yFXgBMv4gj.jpg"/>
    <s v="https://pbs.twimg.com/media/FhT-1yFXgBMv4gj.jpg"/>
    <x v="109"/>
    <d v="2022-11-11T00:00:00.000"/>
    <s v="21:11:19"/>
    <s v="https://twitter.com/cordeiro/status/1591176773085134848"/>
    <m/>
    <m/>
    <s v="1591176773085134848"/>
    <m/>
    <b v="0"/>
    <n v="0"/>
    <s v=""/>
    <b v="0"/>
    <s v="en"/>
    <m/>
    <s v=""/>
    <b v="0"/>
    <n v="0"/>
    <s v=""/>
    <s v="Metricool"/>
    <b v="0"/>
    <s v="1591176773085134848"/>
    <s v="Tweet"/>
    <n v="0"/>
    <n v="0"/>
    <m/>
    <m/>
    <m/>
    <m/>
    <m/>
    <m/>
    <m/>
    <m/>
    <n v="0"/>
    <n v="0"/>
    <n v="0"/>
    <n v="0"/>
    <n v="0"/>
    <n v="0"/>
    <n v="16"/>
    <n v="84.21052631578948"/>
    <n v="19"/>
  </r>
  <r>
    <s v="cordeiro"/>
    <s v="cordeiro"/>
    <m/>
    <m/>
    <m/>
    <m/>
    <m/>
    <m/>
    <m/>
    <m/>
    <s v="No"/>
    <n v="227"/>
    <m/>
    <m/>
    <n v="35"/>
    <s v="4"/>
    <s v="4"/>
    <x v="3"/>
    <d v="2022-11-11T22:26:19.000"/>
    <s v="#TransVisionMadrid Biostasis First Response #BFR Training with Ramon Tamames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C6twfdX8wO https://t.co/QDAhj18wKr"/>
    <s v="http://transvisionmadrid.com"/>
    <s v="transvisionmadrid.com"/>
    <x v="7"/>
    <s v="https://pbs.twimg.com/media/FhUQALaXoB0WN80.jpg"/>
    <s v="https://pbs.twimg.com/media/FhUQALaXoB0WN80.jpg"/>
    <x v="110"/>
    <d v="2022-11-11T00:00:00.000"/>
    <s v="22:26:19"/>
    <s v="https://twitter.com/cordeiro/status/1591195643380473871"/>
    <m/>
    <m/>
    <s v="1591195643380473871"/>
    <m/>
    <b v="0"/>
    <n v="1"/>
    <s v=""/>
    <b v="0"/>
    <s v="en"/>
    <m/>
    <s v=""/>
    <b v="0"/>
    <n v="0"/>
    <s v=""/>
    <s v="Metricool"/>
    <b v="0"/>
    <s v="1591195643380473871"/>
    <s v="Tweet"/>
    <n v="0"/>
    <n v="0"/>
    <m/>
    <m/>
    <m/>
    <m/>
    <m/>
    <m/>
    <m/>
    <m/>
    <n v="0"/>
    <n v="0"/>
    <n v="0"/>
    <n v="0"/>
    <n v="0"/>
    <n v="0"/>
    <n v="16"/>
    <n v="84.21052631578948"/>
    <n v="19"/>
  </r>
  <r>
    <s v="cordeiro"/>
    <s v="cordeiro"/>
    <m/>
    <m/>
    <m/>
    <m/>
    <m/>
    <m/>
    <m/>
    <m/>
    <s v="No"/>
    <n v="228"/>
    <m/>
    <m/>
    <n v="35"/>
    <s v="4"/>
    <s v="4"/>
    <x v="3"/>
    <d v="2022-11-12T04:32:27.000"/>
    <s v="#TransVisionMadrid Biostasis First Response #BFR Training with Greg Fah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8mmMe2VJmK https://t.co/fiveURriDP"/>
    <s v="http://transvisionmadrid.com"/>
    <s v="transvisionmadrid.com"/>
    <x v="7"/>
    <s v="https://pbs.twimg.com/media/FhVjzjbWYAA0H2O.jpg"/>
    <s v="https://pbs.twimg.com/media/FhVjzjbWYAA0H2O.jpg"/>
    <x v="111"/>
    <d v="2022-11-12T00:00:00.000"/>
    <s v="04:32:27"/>
    <s v="https://twitter.com/cordeiro/status/1591287785121632256"/>
    <m/>
    <m/>
    <s v="1591287785121632256"/>
    <m/>
    <b v="0"/>
    <n v="1"/>
    <s v=""/>
    <b v="0"/>
    <s v="en"/>
    <m/>
    <s v=""/>
    <b v="0"/>
    <n v="0"/>
    <s v=""/>
    <s v="Metricool"/>
    <b v="0"/>
    <s v="1591287785121632256"/>
    <s v="Tweet"/>
    <n v="0"/>
    <n v="0"/>
    <m/>
    <m/>
    <m/>
    <m/>
    <m/>
    <m/>
    <m/>
    <m/>
    <n v="0"/>
    <n v="0"/>
    <n v="0"/>
    <n v="0"/>
    <n v="0"/>
    <n v="0"/>
    <n v="16"/>
    <n v="84.21052631578948"/>
    <n v="19"/>
  </r>
  <r>
    <s v="cordeiro"/>
    <s v="cordeiro"/>
    <m/>
    <m/>
    <m/>
    <m/>
    <m/>
    <m/>
    <m/>
    <m/>
    <s v="No"/>
    <n v="229"/>
    <m/>
    <m/>
    <n v="35"/>
    <s v="4"/>
    <s v="4"/>
    <x v="3"/>
    <d v="2022-11-12T09:09:18.000"/>
    <s v="#Madrid acoge este fin de semana una cumbre internacional #TransVisionMadrid sobre criopreservación humana _x000a_➡️ https://t.co/zoiGygsrV8 https://t.co/NOSca7VLnP"/>
    <s v="https://www.europapress.es/sociedad/noticia-madrid-acoge-fin-semana-cumbre-internacional-criopreservacion-humana-20221111121558.html"/>
    <s v="europapress.es"/>
    <x v="0"/>
    <s v="https://pbs.twimg.com/media/FhWjLDyWQAAHiUO.jpg"/>
    <s v="https://pbs.twimg.com/media/FhWjLDyWQAAHiUO.jpg"/>
    <x v="112"/>
    <d v="2022-11-12T00:00:00.000"/>
    <s v="09:09:18"/>
    <s v="https://twitter.com/cordeiro/status/1591357458936745985"/>
    <m/>
    <m/>
    <s v="1591357458936745985"/>
    <m/>
    <b v="0"/>
    <n v="0"/>
    <s v=""/>
    <b v="0"/>
    <s v="es"/>
    <m/>
    <s v=""/>
    <b v="0"/>
    <n v="1"/>
    <s v=""/>
    <s v="Metricool"/>
    <b v="0"/>
    <s v="1591357458936745985"/>
    <s v="Tweet"/>
    <n v="0"/>
    <n v="0"/>
    <m/>
    <m/>
    <m/>
    <m/>
    <m/>
    <m/>
    <m/>
    <m/>
    <n v="0"/>
    <n v="0"/>
    <n v="0"/>
    <n v="0"/>
    <n v="0"/>
    <n v="0"/>
    <n v="10"/>
    <n v="76.92307692307692"/>
    <n v="13"/>
  </r>
  <r>
    <s v="cordeiro"/>
    <s v="cordeiro"/>
    <m/>
    <m/>
    <m/>
    <m/>
    <m/>
    <m/>
    <m/>
    <m/>
    <s v="No"/>
    <n v="230"/>
    <m/>
    <m/>
    <n v="35"/>
    <s v="4"/>
    <s v="4"/>
    <x v="3"/>
    <d v="2022-11-12T09:23:20.000"/>
    <s v="#TransVisionMadrid 4 españoles reposan congelados a la espera de ser 'resucitados' De esto hablamos en #TransVision Madrid_x000a_Las compañías de #criopreservación viven un extraordinario crecimiento estos años mientras retan a la #ciencia #Futuro #Tecnologia_x000a_https://t.co/mMEbjZ46ox"/>
    <s v="https://www.abc.es/sociedad/cuatro-espanoles-reposan-congelados-espera-resucitados-20221109220843-nt.html"/>
    <s v="abc.es"/>
    <x v="2"/>
    <m/>
    <s v="https://pbs.twimg.com/profile_images/1078408329045725184/ix0-gmNx_normal.jpg"/>
    <x v="113"/>
    <d v="2022-11-12T00:00:00.000"/>
    <s v="09:23:20"/>
    <s v="https://twitter.com/cordeiro/status/1591360990305828864"/>
    <m/>
    <m/>
    <s v="1591360990305828864"/>
    <m/>
    <b v="0"/>
    <n v="2"/>
    <s v=""/>
    <b v="0"/>
    <s v="es"/>
    <m/>
    <s v=""/>
    <b v="0"/>
    <n v="2"/>
    <s v=""/>
    <s v="Metricool"/>
    <b v="0"/>
    <s v="1591360990305828864"/>
    <s v="Tweet"/>
    <n v="0"/>
    <n v="0"/>
    <m/>
    <m/>
    <m/>
    <m/>
    <m/>
    <m/>
    <m/>
    <m/>
    <n v="0"/>
    <n v="0"/>
    <n v="0"/>
    <n v="0"/>
    <n v="0"/>
    <n v="0"/>
    <n v="23"/>
    <n v="67.6470588235294"/>
    <n v="34"/>
  </r>
  <r>
    <s v="cordeiro"/>
    <s v="cordeiro"/>
    <m/>
    <m/>
    <m/>
    <m/>
    <m/>
    <m/>
    <m/>
    <m/>
    <s v="No"/>
    <n v="231"/>
    <m/>
    <m/>
    <n v="35"/>
    <s v="4"/>
    <s v="4"/>
    <x v="3"/>
    <d v="2022-11-12T09:48:05.000"/>
    <s v="⭐️ Estamos ahora en directo #TransVisionMadrid ⭐️_x000a_Les doy la  bienvenida a los asistentes participantes y ponentes_x000a_✅ Síguenos en directo 👇 https://t.co/DTjJF5hT4m"/>
    <s v="https://www.youtube.com/watch?v=xb0JCOgMsXc"/>
    <s v="youtube.com"/>
    <x v="1"/>
    <m/>
    <s v="https://pbs.twimg.com/profile_images/1078408329045725184/ix0-gmNx_normal.jpg"/>
    <x v="114"/>
    <d v="2022-11-12T00:00:00.000"/>
    <s v="09:48:05"/>
    <s v="https://twitter.com/cordeiro/status/1591367218343837696"/>
    <m/>
    <m/>
    <s v="1591367218343837696"/>
    <m/>
    <b v="0"/>
    <n v="1"/>
    <s v=""/>
    <b v="0"/>
    <s v="es"/>
    <m/>
    <s v=""/>
    <b v="0"/>
    <n v="0"/>
    <s v=""/>
    <s v="LinkedIn"/>
    <b v="0"/>
    <s v="1591367218343837696"/>
    <s v="Tweet"/>
    <n v="0"/>
    <n v="0"/>
    <m/>
    <m/>
    <m/>
    <m/>
    <m/>
    <m/>
    <m/>
    <m/>
    <n v="0"/>
    <n v="0"/>
    <n v="0"/>
    <n v="0"/>
    <n v="0"/>
    <n v="0"/>
    <n v="12"/>
    <n v="66.66666666666667"/>
    <n v="18"/>
  </r>
  <r>
    <s v="cordeiro"/>
    <s v="cordeiro"/>
    <m/>
    <m/>
    <m/>
    <m/>
    <m/>
    <m/>
    <m/>
    <m/>
    <s v="No"/>
    <n v="232"/>
    <m/>
    <m/>
    <n v="35"/>
    <s v="4"/>
    <s v="4"/>
    <x v="3"/>
    <d v="2022-11-12T10:26:55.000"/>
    <s v="#TransVisionMadrid   Cumbre científica sobre la &quot;inmortalidad&quot; en #Madrid  _x000a__x000a_Debate sobre la suspensión de la vida con técnicas de frío extremo para ser reanimada mucho tiempo después _x000a__x000a_Muchas gracias Diario de Levante   por compartir https://t.co/WiCmggUr45"/>
    <s v="https://www.levante-emv.com/tendencias21/2022/11/12/cumbre-cientifica-inmortalidad-madrid-78418464.html"/>
    <s v="levante-emv.com"/>
    <x v="5"/>
    <m/>
    <s v="https://pbs.twimg.com/profile_images/1078408329045725184/ix0-gmNx_normal.jpg"/>
    <x v="115"/>
    <d v="2022-11-12T00:00:00.000"/>
    <s v="10:26:55"/>
    <s v="https://twitter.com/cordeiro/status/1591376992108150785"/>
    <m/>
    <m/>
    <s v="1591376992108150785"/>
    <m/>
    <b v="0"/>
    <n v="1"/>
    <s v=""/>
    <b v="0"/>
    <s v="es"/>
    <m/>
    <s v=""/>
    <b v="0"/>
    <n v="1"/>
    <s v=""/>
    <s v="LinkedIn"/>
    <b v="0"/>
    <s v="1591376992108150785"/>
    <s v="Tweet"/>
    <n v="0"/>
    <n v="0"/>
    <m/>
    <m/>
    <m/>
    <m/>
    <m/>
    <m/>
    <m/>
    <m/>
    <n v="0"/>
    <n v="0"/>
    <n v="0"/>
    <n v="0"/>
    <n v="0"/>
    <n v="0"/>
    <n v="22"/>
    <n v="66.66666666666667"/>
    <n v="33"/>
  </r>
  <r>
    <s v="cordeiro"/>
    <s v="cordeiro"/>
    <m/>
    <m/>
    <m/>
    <m/>
    <m/>
    <m/>
    <m/>
    <m/>
    <s v="No"/>
    <n v="233"/>
    <m/>
    <m/>
    <n v="35"/>
    <s v="4"/>
    <s v="4"/>
    <x v="3"/>
    <d v="2022-11-12T10:37:37.000"/>
    <s v="#TransVisionMadrid  Estamos congregados en #Madrid  varios científicos hablando sobre la &quot;inmortalidad&quot; y  Biostasis BFR_x000a_🔹Debatimos sobre la suspensión de la vida con técnicas de frío para su reanimación posterior   _x000a_🔴 Estamos en…https://t.co/3sWDssQI8g https://t.co/DTjJF5ztVU"/>
    <s v="https://www.linkedin.com/feed/update/urn:li:share:6997145306941296640 https://www.youtube.com/watch?v=xb0JCOgMsXc"/>
    <s v="linkedin.com youtube.com"/>
    <x v="5"/>
    <m/>
    <s v="https://pbs.twimg.com/profile_images/1078408329045725184/ix0-gmNx_normal.jpg"/>
    <x v="116"/>
    <d v="2022-11-12T00:00:00.000"/>
    <s v="10:37:37"/>
    <s v="https://twitter.com/cordeiro/status/1591379681969725441"/>
    <m/>
    <m/>
    <s v="1591379681969725441"/>
    <m/>
    <b v="0"/>
    <n v="1"/>
    <s v=""/>
    <b v="0"/>
    <s v="es"/>
    <m/>
    <s v=""/>
    <b v="0"/>
    <n v="1"/>
    <s v=""/>
    <s v="LinkedIn"/>
    <b v="0"/>
    <s v="1591379681969725441"/>
    <s v="Tweet"/>
    <n v="0"/>
    <n v="0"/>
    <m/>
    <m/>
    <m/>
    <m/>
    <m/>
    <m/>
    <m/>
    <m/>
    <n v="0"/>
    <n v="0"/>
    <n v="0"/>
    <n v="0"/>
    <n v="0"/>
    <n v="0"/>
    <n v="24"/>
    <n v="68.57142857142857"/>
    <n v="35"/>
  </r>
  <r>
    <s v="cordeiro"/>
    <s v="cordeiro"/>
    <m/>
    <m/>
    <m/>
    <m/>
    <m/>
    <m/>
    <m/>
    <m/>
    <s v="No"/>
    <n v="234"/>
    <m/>
    <m/>
    <n v="35"/>
    <s v="4"/>
    <s v="4"/>
    <x v="3"/>
    <d v="2022-11-12T13:56:18.000"/>
    <s v="⭐️  Nuevo enlace ⭐️  al evento #TransVisionMadrid  _x000a_ 🔴    Estamos en directo  🔴   por #youtube  👇 https://t.co/NLjfrbVHEZ"/>
    <s v="https://youtu.be/erkbGlWtX3Q"/>
    <s v="youtu.be"/>
    <x v="3"/>
    <m/>
    <s v="https://pbs.twimg.com/profile_images/1078408329045725184/ix0-gmNx_normal.jpg"/>
    <x v="117"/>
    <d v="2022-11-12T00:00:00.000"/>
    <s v="13:56:18"/>
    <s v="https://twitter.com/cordeiro/status/1591429682032844800"/>
    <m/>
    <m/>
    <s v="1591429682032844800"/>
    <m/>
    <b v="0"/>
    <n v="0"/>
    <s v=""/>
    <b v="0"/>
    <s v="es"/>
    <m/>
    <s v=""/>
    <b v="0"/>
    <n v="0"/>
    <s v=""/>
    <s v="LinkedIn"/>
    <b v="0"/>
    <s v="1591429682032844800"/>
    <s v="Tweet"/>
    <n v="0"/>
    <n v="0"/>
    <m/>
    <m/>
    <m/>
    <m/>
    <m/>
    <m/>
    <m/>
    <m/>
    <n v="0"/>
    <n v="0"/>
    <n v="0"/>
    <n v="0"/>
    <n v="0"/>
    <n v="0"/>
    <n v="7"/>
    <n v="70"/>
    <n v="10"/>
  </r>
  <r>
    <s v="cordeiro"/>
    <s v="cordeiro"/>
    <m/>
    <m/>
    <m/>
    <m/>
    <m/>
    <m/>
    <m/>
    <m/>
    <s v="No"/>
    <n v="235"/>
    <m/>
    <m/>
    <n v="35"/>
    <s v="4"/>
    <s v="4"/>
    <x v="3"/>
    <d v="2022-11-12T14:16:10.000"/>
    <s v="#TransVisionMadrid begin today !  This will be the first 𝗕𝗙𝗥 (𝗕𝗶𝗼𝘀𝘁𝗮𝘀𝗶𝘀 𝗙𝗶𝗿𝘀𝘁 𝗥𝗲𝘀𝗽𝗼𝗻𝘀𝗲)  training to be organized in Spain, after some smaller similar events during previous years in Germany, the Netherlands, Switzerland, and the…https://t.co/xh5MLqWAKl"/>
    <s v="https://www.linkedin.com/feed/update/urn:li:ugcPost:6997200272817041408"/>
    <s v="linkedin.com"/>
    <x v="1"/>
    <m/>
    <s v="https://pbs.twimg.com/profile_images/1078408329045725184/ix0-gmNx_normal.jpg"/>
    <x v="118"/>
    <d v="2022-11-12T00:00:00.000"/>
    <s v="14:16:10"/>
    <s v="https://twitter.com/cordeiro/status/1591434683262418946"/>
    <m/>
    <m/>
    <s v="1591434683262418946"/>
    <m/>
    <b v="0"/>
    <n v="1"/>
    <s v=""/>
    <b v="0"/>
    <s v="en"/>
    <m/>
    <s v=""/>
    <b v="0"/>
    <n v="0"/>
    <s v=""/>
    <s v="LinkedIn"/>
    <b v="0"/>
    <s v="1591434683262418946"/>
    <s v="Tweet"/>
    <n v="0"/>
    <n v="0"/>
    <m/>
    <m/>
    <m/>
    <m/>
    <m/>
    <m/>
    <m/>
    <m/>
    <n v="0"/>
    <n v="0"/>
    <n v="0"/>
    <n v="0"/>
    <n v="0"/>
    <n v="0"/>
    <n v="20"/>
    <n v="60.60606060606061"/>
    <n v="33"/>
  </r>
  <r>
    <s v="cordeiro"/>
    <s v="cordeiro"/>
    <m/>
    <m/>
    <m/>
    <m/>
    <m/>
    <m/>
    <m/>
    <m/>
    <s v="No"/>
    <n v="236"/>
    <m/>
    <m/>
    <n v="35"/>
    <s v="4"/>
    <s v="4"/>
    <x v="3"/>
    <d v="2022-11-12T14:26:23.000"/>
    <s v="#TransVisionMadrid Biostasis First Response (BFR) Training is on #youtube   #streaming  🔴   https://t.co/NLjfrcdj3z https://t.co/gstxjWMK5i"/>
    <s v="https://youtu.be/erkbGlWtX3Q https://www.linkedin.com/feed/update/urn:li:ugcPost:6997202881644802048"/>
    <s v="youtu.be linkedin.com"/>
    <x v="6"/>
    <m/>
    <s v="https://pbs.twimg.com/profile_images/1078408329045725184/ix0-gmNx_normal.jpg"/>
    <x v="119"/>
    <d v="2022-11-12T00:00:00.000"/>
    <s v="14:26:23"/>
    <s v="https://twitter.com/cordeiro/status/1591437256136466433"/>
    <m/>
    <m/>
    <s v="1591437256136466433"/>
    <m/>
    <b v="0"/>
    <n v="1"/>
    <s v=""/>
    <b v="0"/>
    <s v="en"/>
    <m/>
    <s v=""/>
    <b v="0"/>
    <n v="1"/>
    <s v=""/>
    <s v="LinkedIn"/>
    <b v="0"/>
    <s v="1591437256136466433"/>
    <s v="Tweet"/>
    <n v="0"/>
    <n v="0"/>
    <m/>
    <m/>
    <m/>
    <m/>
    <m/>
    <m/>
    <m/>
    <m/>
    <n v="0"/>
    <n v="0"/>
    <n v="0"/>
    <n v="0"/>
    <n v="0"/>
    <n v="0"/>
    <n v="8"/>
    <n v="80"/>
    <n v="10"/>
  </r>
  <r>
    <s v="cordeiro"/>
    <s v="cordeiro"/>
    <m/>
    <m/>
    <m/>
    <m/>
    <m/>
    <m/>
    <m/>
    <m/>
    <s v="No"/>
    <n v="237"/>
    <m/>
    <m/>
    <n v="35"/>
    <s v="4"/>
    <s v="4"/>
    <x v="3"/>
    <d v="2022-11-12T16:57:15.000"/>
    <s v="#TransVisionMadrid Biostasis First Response #BFR Training with Pedro Gillén 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E3OMnf8Si6 https://t.co/OAiCt4TE1V"/>
    <s v="http://transvisionmadrid.com"/>
    <s v="transvisionmadrid.com"/>
    <x v="7"/>
    <s v="https://pbs.twimg.com/media/FhYOR1_XoAEojoe.jpg"/>
    <s v="https://pbs.twimg.com/media/FhYOR1_XoAEojoe.jpg"/>
    <x v="120"/>
    <d v="2022-11-12T00:00:00.000"/>
    <s v="16:57:15"/>
    <s v="https://twitter.com/cordeiro/status/1591475222775054336"/>
    <m/>
    <m/>
    <s v="1591475222775054336"/>
    <m/>
    <b v="0"/>
    <n v="0"/>
    <s v=""/>
    <b v="0"/>
    <s v="en"/>
    <m/>
    <s v=""/>
    <b v="0"/>
    <n v="0"/>
    <s v=""/>
    <s v="Metricool"/>
    <b v="0"/>
    <s v="1591475222775054336"/>
    <s v="Tweet"/>
    <n v="0"/>
    <n v="0"/>
    <m/>
    <m/>
    <m/>
    <m/>
    <m/>
    <m/>
    <m/>
    <m/>
    <n v="0"/>
    <n v="0"/>
    <n v="0"/>
    <n v="0"/>
    <n v="0"/>
    <n v="0"/>
    <n v="16"/>
    <n v="84.21052631578948"/>
    <n v="19"/>
  </r>
  <r>
    <s v="cordeiro"/>
    <s v="cordeiro"/>
    <m/>
    <m/>
    <m/>
    <m/>
    <m/>
    <m/>
    <m/>
    <m/>
    <s v="No"/>
    <n v="238"/>
    <m/>
    <m/>
    <n v="35"/>
    <s v="4"/>
    <s v="4"/>
    <x v="3"/>
    <d v="2022-11-12T21:11:16.000"/>
    <s v="#TransVisionMadrid Biostasis First Response #BFR Training with Brenda Ramokopelwa  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frmnDvpNhO https://t.co/D32af48pkC"/>
    <s v="http://transvisionmadrid.com"/>
    <s v="transvisionmadrid.com"/>
    <x v="7"/>
    <s v="https://pbs.twimg.com/media/FhZIamdWQAE6U1B.jpg"/>
    <s v="https://pbs.twimg.com/media/FhZIamdWQAE6U1B.jpg"/>
    <x v="121"/>
    <d v="2022-11-12T00:00:00.000"/>
    <s v="21:11:16"/>
    <s v="https://twitter.com/cordeiro/status/1591539144416698368"/>
    <m/>
    <m/>
    <s v="1591539144416698368"/>
    <m/>
    <b v="0"/>
    <n v="0"/>
    <s v=""/>
    <b v="0"/>
    <s v="en"/>
    <m/>
    <s v=""/>
    <b v="0"/>
    <n v="0"/>
    <s v=""/>
    <s v="Metricool"/>
    <b v="0"/>
    <s v="1591539144416698368"/>
    <s v="Tweet"/>
    <n v="0"/>
    <n v="0"/>
    <m/>
    <m/>
    <m/>
    <m/>
    <m/>
    <m/>
    <m/>
    <m/>
    <n v="0"/>
    <n v="0"/>
    <n v="0"/>
    <n v="0"/>
    <n v="0"/>
    <n v="0"/>
    <n v="16"/>
    <n v="84.21052631578948"/>
    <n v="19"/>
  </r>
  <r>
    <s v="cordeiro"/>
    <s v="cordeiro"/>
    <m/>
    <m/>
    <m/>
    <m/>
    <m/>
    <m/>
    <m/>
    <m/>
    <s v="No"/>
    <n v="239"/>
    <m/>
    <m/>
    <n v="35"/>
    <s v="4"/>
    <s v="4"/>
    <x v="3"/>
    <d v="2022-11-13T04:32:15.000"/>
    <s v="#TransVisionMadrid Biostasis First Response #BFR  Training with Jordi Sandalinas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i6lEqdROe6 https://t.co/sfsbqYVBUD"/>
    <s v="http://transvisionmadrid.com"/>
    <s v="transvisionmadrid.com"/>
    <x v="7"/>
    <s v="https://pbs.twimg.com/media/FhatWb1WAAEOUxn.jpg"/>
    <s v="https://pbs.twimg.com/media/FhatWb1WAAEOUxn.jpg"/>
    <x v="122"/>
    <d v="2022-11-13T00:00:00.000"/>
    <s v="04:32:15"/>
    <s v="https://twitter.com/cordeiro/status/1591650123431419905"/>
    <m/>
    <m/>
    <s v="1591650123431419905"/>
    <m/>
    <b v="0"/>
    <n v="1"/>
    <s v=""/>
    <b v="0"/>
    <s v="en"/>
    <m/>
    <s v=""/>
    <b v="0"/>
    <n v="1"/>
    <s v=""/>
    <s v="Metricool"/>
    <b v="0"/>
    <s v="1591650123431419905"/>
    <s v="Tweet"/>
    <n v="0"/>
    <n v="0"/>
    <m/>
    <m/>
    <m/>
    <m/>
    <m/>
    <m/>
    <m/>
    <m/>
    <n v="0"/>
    <n v="0"/>
    <n v="0"/>
    <n v="0"/>
    <n v="0"/>
    <n v="0"/>
    <n v="16"/>
    <n v="84.21052631578948"/>
    <n v="19"/>
  </r>
  <r>
    <s v="cordeiro"/>
    <s v="cordeiro"/>
    <m/>
    <m/>
    <m/>
    <m/>
    <m/>
    <m/>
    <m/>
    <m/>
    <s v="No"/>
    <n v="240"/>
    <m/>
    <m/>
    <n v="35"/>
    <s v="4"/>
    <s v="4"/>
    <x v="3"/>
    <d v="2022-11-13T06:05:37.000"/>
    <s v="Madrid se convierte en la Capital Mundial de la biostasis humana, tras acoger el gran evento internacional #TransVisionMadrid  los días 12 y 13 de noviembre, y donde se impartirá la primera cumbre de biostasis (criopreservación humana) por la BFR (Biostas…https://t.co/nrFc13acyl"/>
    <s v="https://www.linkedin.com/feed/update/urn:li:ugcPost:6997439154716307456"/>
    <s v="linkedin.com"/>
    <x v="1"/>
    <m/>
    <s v="https://pbs.twimg.com/profile_images/1078408329045725184/ix0-gmNx_normal.jpg"/>
    <x v="123"/>
    <d v="2022-11-13T00:00:00.000"/>
    <s v="06:05:37"/>
    <s v="https://twitter.com/cordeiro/status/1591673618651840512"/>
    <m/>
    <m/>
    <s v="1591673618651840512"/>
    <m/>
    <b v="0"/>
    <n v="0"/>
    <s v=""/>
    <b v="0"/>
    <s v="es"/>
    <m/>
    <s v=""/>
    <b v="0"/>
    <n v="0"/>
    <s v=""/>
    <s v="LinkedIn"/>
    <b v="0"/>
    <s v="1591673618651840512"/>
    <s v="Tweet"/>
    <n v="0"/>
    <n v="0"/>
    <m/>
    <m/>
    <m/>
    <m/>
    <m/>
    <m/>
    <m/>
    <m/>
    <n v="0"/>
    <n v="0"/>
    <n v="0"/>
    <n v="0"/>
    <n v="0"/>
    <n v="0"/>
    <n v="29"/>
    <n v="65.9090909090909"/>
    <n v="44"/>
  </r>
  <r>
    <s v="cordeiro"/>
    <s v="cordeiro"/>
    <m/>
    <m/>
    <m/>
    <m/>
    <m/>
    <m/>
    <m/>
    <m/>
    <s v="No"/>
    <n v="241"/>
    <m/>
    <m/>
    <n v="35"/>
    <s v="4"/>
    <s v="4"/>
    <x v="3"/>
    <d v="2022-11-13T07:44:59.000"/>
    <s v="#TransVisionMadrid  La #criogenización como alternativa al entierro o la incineración: costará 5.000 euros en dos décadas  NIUS https://t.co/l0t0DYaabz"/>
    <s v="https://www.niusdiario.es/ciencia-y-tecnologia/ciencia/20221111/precio-criogenizarse-5000-euros-20-anos_18_07953883.html"/>
    <s v="niusdiario.es"/>
    <x v="13"/>
    <m/>
    <s v="https://pbs.twimg.com/profile_images/1078408329045725184/ix0-gmNx_normal.jpg"/>
    <x v="124"/>
    <d v="2022-11-13T00:00:00.000"/>
    <s v="07:44:59"/>
    <s v="https://twitter.com/cordeiro/status/1591698625616564226"/>
    <m/>
    <m/>
    <s v="1591698625616564226"/>
    <m/>
    <b v="0"/>
    <n v="0"/>
    <s v=""/>
    <b v="0"/>
    <s v="es"/>
    <m/>
    <s v=""/>
    <b v="0"/>
    <n v="0"/>
    <s v=""/>
    <s v="LinkedIn"/>
    <b v="0"/>
    <s v="1591698625616564226"/>
    <s v="Tweet"/>
    <n v="0"/>
    <n v="0"/>
    <m/>
    <m/>
    <m/>
    <m/>
    <m/>
    <m/>
    <m/>
    <m/>
    <n v="0"/>
    <n v="0"/>
    <n v="0"/>
    <n v="0"/>
    <n v="0"/>
    <n v="0"/>
    <n v="12"/>
    <n v="66.66666666666667"/>
    <n v="18"/>
  </r>
  <r>
    <s v="cordeiro"/>
    <s v="cordeiro"/>
    <m/>
    <m/>
    <m/>
    <m/>
    <m/>
    <m/>
    <m/>
    <m/>
    <s v="No"/>
    <n v="242"/>
    <m/>
    <m/>
    <n v="35"/>
    <s v="4"/>
    <s v="4"/>
    <x v="3"/>
    <d v="2022-11-13T08:37:25.000"/>
    <s v="#TransVisionMadrid  This will be the first #BFR  training to be organized in #Spain  after some smaller similar events in Germany, the Netherlands, Switzerland, and the United Kingdom. _x000a_🚨  ALL videos on #YouTube  https://t.co/yiheEheGsM https://t.co/gr75HgDT4C"/>
    <s v="https://youtube.com/c/AlianzaFuturista/streams https://www.linkedin.com/feed/update/urn:li:share:6997477447952674817"/>
    <s v="youtube.com linkedin.com"/>
    <x v="8"/>
    <m/>
    <s v="https://pbs.twimg.com/profile_images/1078408329045725184/ix0-gmNx_normal.jpg"/>
    <x v="125"/>
    <d v="2022-11-13T00:00:00.000"/>
    <s v="08:37:25"/>
    <s v="https://twitter.com/cordeiro/status/1591711822561828864"/>
    <m/>
    <m/>
    <s v="1591711822561828864"/>
    <m/>
    <b v="0"/>
    <n v="7"/>
    <s v=""/>
    <b v="0"/>
    <s v="en"/>
    <m/>
    <s v=""/>
    <b v="0"/>
    <n v="5"/>
    <s v=""/>
    <s v="LinkedIn"/>
    <b v="0"/>
    <s v="1591711822561828864"/>
    <s v="Tweet"/>
    <n v="0"/>
    <n v="0"/>
    <m/>
    <m/>
    <m/>
    <m/>
    <m/>
    <m/>
    <m/>
    <m/>
    <n v="0"/>
    <n v="0"/>
    <n v="0"/>
    <n v="0"/>
    <n v="0"/>
    <n v="0"/>
    <n v="16"/>
    <n v="51.61290322580645"/>
    <n v="31"/>
  </r>
  <r>
    <s v="cordeiro"/>
    <s v="cordeiro"/>
    <m/>
    <m/>
    <m/>
    <m/>
    <m/>
    <m/>
    <m/>
    <m/>
    <s v="No"/>
    <n v="243"/>
    <m/>
    <m/>
    <n v="35"/>
    <s v="4"/>
    <s v="4"/>
    <x v="3"/>
    <d v="2022-11-13T10:35:20.000"/>
    <s v="#TransVisionMadrid Biostasis First Response #BFR Training with Jose Cordeiro_x000a_During November 10-13, Madrid will host its next #TransVision Summit with a focus on human cryopreservation #humanity #future _x000a_➡️ 1st CFR training to be organized in Spain._x000a_Info: https://t.co/Kf70JoBUw1 https://t.co/dxlGOD8JVb"/>
    <s v="http://transvisionmadrid.com"/>
    <s v="transvisionmadrid.com"/>
    <x v="16"/>
    <s v="https://pbs.twimg.com/media/FhcAc6PWQAAxUkC.jpg"/>
    <s v="https://pbs.twimg.com/media/FhcAc6PWQAAxUkC.jpg"/>
    <x v="126"/>
    <d v="2022-11-13T00:00:00.000"/>
    <s v="10:35:20"/>
    <s v="https://twitter.com/cordeiro/status/1591741494620307459"/>
    <m/>
    <m/>
    <s v="1591741494620307459"/>
    <m/>
    <b v="0"/>
    <n v="0"/>
    <s v=""/>
    <b v="0"/>
    <s v="en"/>
    <m/>
    <s v=""/>
    <b v="0"/>
    <n v="0"/>
    <s v=""/>
    <s v="Metricool"/>
    <b v="0"/>
    <s v="1591741494620307459"/>
    <s v="Tweet"/>
    <n v="0"/>
    <n v="0"/>
    <m/>
    <m/>
    <m/>
    <m/>
    <m/>
    <m/>
    <m/>
    <m/>
    <n v="0"/>
    <n v="0"/>
    <n v="0"/>
    <n v="0"/>
    <n v="0"/>
    <n v="0"/>
    <n v="28"/>
    <n v="75.67567567567568"/>
    <n v="37"/>
  </r>
  <r>
    <s v="cordeiro"/>
    <s v="cordeiro"/>
    <m/>
    <m/>
    <m/>
    <m/>
    <m/>
    <m/>
    <m/>
    <m/>
    <s v="No"/>
    <n v="244"/>
    <m/>
    <m/>
    <n v="35"/>
    <s v="4"/>
    <s v="4"/>
    <x v="3"/>
    <d v="2022-11-13T10:51:02.000"/>
    <s v="#TransVisionMadrid   Indoors Basic BFR Demonstration on a Dummy:  Aschwin De Wolf   and Jacob Hoekstra  (basic ice bath, Q&amp;amp;A)     #streaming   https://t.co/ZreujLOi3n https://t.co/3NqtVDaPIQ"/>
    <s v="https://www.youtube.com/watch?v=3JK84n-jsMU https://www.linkedin.com/feed/update/urn:li:share:6997511072454750210"/>
    <s v="youtube.com linkedin.com"/>
    <x v="17"/>
    <m/>
    <s v="https://pbs.twimg.com/profile_images/1078408329045725184/ix0-gmNx_normal.jpg"/>
    <x v="127"/>
    <d v="2022-11-13T00:00:00.000"/>
    <s v="10:51:02"/>
    <s v="https://twitter.com/cordeiro/status/1591745447479349249"/>
    <m/>
    <m/>
    <s v="1591745447479349249"/>
    <m/>
    <b v="0"/>
    <n v="0"/>
    <s v=""/>
    <b v="0"/>
    <s v="en"/>
    <m/>
    <s v=""/>
    <b v="0"/>
    <n v="0"/>
    <s v=""/>
    <s v="LinkedIn"/>
    <b v="0"/>
    <s v="1591745447479349249"/>
    <s v="Tweet"/>
    <n v="0"/>
    <n v="0"/>
    <m/>
    <m/>
    <m/>
    <m/>
    <m/>
    <m/>
    <m/>
    <m/>
    <n v="0"/>
    <n v="0"/>
    <n v="0"/>
    <n v="0"/>
    <n v="0"/>
    <n v="0"/>
    <n v="15"/>
    <n v="71.42857142857143"/>
    <n v="21"/>
  </r>
  <r>
    <s v="cordeiro"/>
    <s v="cordeiro"/>
    <m/>
    <m/>
    <m/>
    <m/>
    <m/>
    <m/>
    <m/>
    <m/>
    <s v="No"/>
    <n v="245"/>
    <m/>
    <m/>
    <n v="35"/>
    <s v="4"/>
    <s v="4"/>
    <x v="3"/>
    <d v="2022-11-13T10:59:47.000"/>
    <s v="Talking about #Longevity and #Biostasis  in #TransVisionMadrid_x000a_#streaming  https://t.co/ZreujM5l5n https://t.co/YroqfDLKJL"/>
    <s v="https://www.youtube.com/watch?v=3JK84n-jsMU https://www.linkedin.com/feed/update/urn:li:share:6997513273625460736"/>
    <s v="youtube.com linkedin.com"/>
    <x v="9"/>
    <m/>
    <s v="https://pbs.twimg.com/profile_images/1078408329045725184/ix0-gmNx_normal.jpg"/>
    <x v="128"/>
    <d v="2022-11-13T00:00:00.000"/>
    <s v="10:59:47"/>
    <s v="https://twitter.com/cordeiro/status/1591747648419028992"/>
    <m/>
    <m/>
    <s v="1591747648419028992"/>
    <m/>
    <b v="0"/>
    <n v="0"/>
    <s v=""/>
    <b v="0"/>
    <s v="en"/>
    <m/>
    <s v=""/>
    <b v="0"/>
    <n v="0"/>
    <s v=""/>
    <s v="LinkedIn"/>
    <b v="0"/>
    <s v="1591747648419028992"/>
    <s v="Tweet"/>
    <n v="0"/>
    <n v="0"/>
    <m/>
    <m/>
    <m/>
    <m/>
    <m/>
    <m/>
    <m/>
    <m/>
    <n v="0"/>
    <n v="0"/>
    <n v="0"/>
    <n v="0"/>
    <n v="0"/>
    <n v="0"/>
    <n v="5"/>
    <n v="62.5"/>
    <n v="8"/>
  </r>
  <r>
    <s v="cordeiro"/>
    <s v="cordeiro"/>
    <m/>
    <m/>
    <m/>
    <m/>
    <m/>
    <m/>
    <m/>
    <m/>
    <s v="No"/>
    <n v="246"/>
    <m/>
    <m/>
    <n v="35"/>
    <s v="4"/>
    <s v="4"/>
    <x v="3"/>
    <d v="2022-11-13T21:11:17.000"/>
    <s v="#TransVisionMadrid Biostasis First Response #BFR  Training with Ben Best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oybknXPBRh https://t.co/vVmJCeRg8I"/>
    <s v="http://transvisionmadrid.com"/>
    <s v="transvisionmadrid.com"/>
    <x v="7"/>
    <s v="https://pbs.twimg.com/media/FheSAwLXgAkq2lI.jpg"/>
    <s v="https://pbs.twimg.com/media/FheSAwLXgAkq2lI.jpg"/>
    <x v="129"/>
    <d v="2022-11-13T00:00:00.000"/>
    <s v="21:11:17"/>
    <s v="https://twitter.com/cordeiro/status/1591901539219693568"/>
    <m/>
    <m/>
    <s v="1591901539219693568"/>
    <m/>
    <b v="0"/>
    <n v="2"/>
    <s v=""/>
    <b v="0"/>
    <s v="en"/>
    <m/>
    <s v=""/>
    <b v="0"/>
    <n v="1"/>
    <s v=""/>
    <s v="Metricool"/>
    <b v="0"/>
    <s v="1591901539219693568"/>
    <s v="Tweet"/>
    <n v="0"/>
    <n v="0"/>
    <m/>
    <m/>
    <m/>
    <m/>
    <m/>
    <m/>
    <m/>
    <m/>
    <n v="1"/>
    <n v="5.2631578947368425"/>
    <n v="0"/>
    <n v="0"/>
    <n v="0"/>
    <n v="0"/>
    <n v="15"/>
    <n v="78.94736842105263"/>
    <n v="19"/>
  </r>
  <r>
    <s v="cordeiro"/>
    <s v="cordeiro"/>
    <m/>
    <m/>
    <m/>
    <m/>
    <m/>
    <m/>
    <m/>
    <m/>
    <s v="No"/>
    <n v="247"/>
    <m/>
    <m/>
    <n v="35"/>
    <s v="4"/>
    <s v="4"/>
    <x v="3"/>
    <d v="2022-11-13T22:09:14.000"/>
    <s v="Madrid acogerá la Cumbre #TransVisionMadrid con ponentes internacionales,  sobre la criopreservación de pacientes para su futura reanimación #BFR #Futuro #Ciencia #Tecnologia https://t.co/kduemvNfPd"/>
    <s v="https://okdiario.com/salud/madrid-acogera-cumbre-internacional-sobre-criopreservacion-pacientes-futura-reanimacion-9945365"/>
    <s v="okdiario.com"/>
    <x v="14"/>
    <m/>
    <s v="https://pbs.twimg.com/profile_images/1078408329045725184/ix0-gmNx_normal.jpg"/>
    <x v="130"/>
    <d v="2022-11-13T00:00:00.000"/>
    <s v="22:09:14"/>
    <s v="https://twitter.com/cordeiro/status/1591916121413804039"/>
    <m/>
    <m/>
    <s v="1591916121413804039"/>
    <m/>
    <b v="0"/>
    <n v="6"/>
    <s v=""/>
    <b v="0"/>
    <s v="es"/>
    <m/>
    <s v=""/>
    <b v="0"/>
    <n v="1"/>
    <s v=""/>
    <s v="Metricool"/>
    <b v="0"/>
    <s v="1591916121413804039"/>
    <s v="Tweet"/>
    <n v="0"/>
    <n v="0"/>
    <m/>
    <m/>
    <m/>
    <m/>
    <m/>
    <m/>
    <m/>
    <m/>
    <n v="0"/>
    <n v="0"/>
    <n v="0"/>
    <n v="0"/>
    <n v="0"/>
    <n v="0"/>
    <n v="15"/>
    <n v="71.42857142857143"/>
    <n v="21"/>
  </r>
  <r>
    <s v="cordeiro"/>
    <s v="cordeiro"/>
    <m/>
    <m/>
    <m/>
    <m/>
    <m/>
    <m/>
    <m/>
    <m/>
    <s v="No"/>
    <n v="248"/>
    <m/>
    <m/>
    <n v="35"/>
    <s v="4"/>
    <s v="4"/>
    <x v="3"/>
    <d v="2022-11-13T22:26:15.000"/>
    <s v="#TransVisionMadrid Biostasis First Response #BFR  Training with Antonio Garrigues Walker_x000a_🗓 Nov 12-13 Madrid will host its next #𝗧𝗿𝗮𝗻𝘀𝗩𝗶𝘀𝗶𝗼𝗻 𝗦𝘂𝗺𝗺𝗶𝘁 𝘄𝗶𝘁𝗵 𝗮 𝗳𝗼𝗰𝘂𝘀 𝗼𝗻 𝗵𝘂𝗺𝗮𝗻 𝗰𝗿𝘆𝗼𝗽𝗿𝗲𝘀𝗲𝗿𝘃𝗮𝘁𝗶𝗼𝗻 #future #humanity _x000a_https://t.co/lQl7ykETwE https://t.co/CCuy2ouorF"/>
    <s v="http://transvisionmadrid.com"/>
    <s v="transvisionmadrid.com"/>
    <x v="7"/>
    <s v="https://pbs.twimg.com/media/FhejK3HXwAACp-G.jpg"/>
    <s v="https://pbs.twimg.com/media/FhejK3HXwAACp-G.jpg"/>
    <x v="131"/>
    <d v="2022-11-13T00:00:00.000"/>
    <s v="22:26:15"/>
    <s v="https://twitter.com/cordeiro/status/1591920404662308866"/>
    <m/>
    <m/>
    <s v="1591920404662308866"/>
    <m/>
    <b v="0"/>
    <n v="0"/>
    <s v=""/>
    <b v="0"/>
    <s v="en"/>
    <m/>
    <s v=""/>
    <b v="0"/>
    <n v="0"/>
    <s v=""/>
    <s v="Metricool"/>
    <b v="0"/>
    <s v="1591920404662308866"/>
    <s v="Tweet"/>
    <n v="0"/>
    <n v="0"/>
    <m/>
    <m/>
    <m/>
    <m/>
    <m/>
    <m/>
    <m/>
    <m/>
    <n v="0"/>
    <n v="0"/>
    <n v="0"/>
    <n v="0"/>
    <n v="0"/>
    <n v="0"/>
    <n v="17"/>
    <n v="85"/>
    <n v="20"/>
  </r>
  <r>
    <s v="cordeiro"/>
    <s v="cordeiro"/>
    <m/>
    <m/>
    <m/>
    <m/>
    <m/>
    <m/>
    <m/>
    <m/>
    <s v="No"/>
    <n v="249"/>
    <m/>
    <m/>
    <n v="35"/>
    <s v="4"/>
    <s v="4"/>
    <x v="3"/>
    <d v="2022-11-14T09:09:30.000"/>
    <s v="#TransVisionMadrid Será la primera cumbre de biostasis (criopreservación humana) por la #BFR (Biostasis First Response) que se organiza en España, utilizando una de las cuatro ambulancias de biostasis que existen actualmente en Europa. #Futuro #Tecnologia https://t.co/mgGqy0X2sw"/>
    <s v="https://institutoeuropeo.es/prensa/madrid-acogera-la-cumbre-internacional-transvision-con-un-enfoque-en-la-biostasis-humana-que-permitira-la-criopreservacion-de-pacientes-para-su-futura-reanimacion/"/>
    <s v="institutoeuropeo.es"/>
    <x v="18"/>
    <m/>
    <s v="https://pbs.twimg.com/profile_images/1078408329045725184/ix0-gmNx_normal.jpg"/>
    <x v="132"/>
    <d v="2022-11-14T00:00:00.000"/>
    <s v="09:09:30"/>
    <s v="https://twitter.com/cordeiro/status/1592082283854499841"/>
    <m/>
    <m/>
    <s v="1592082283854499841"/>
    <m/>
    <b v="0"/>
    <n v="0"/>
    <s v=""/>
    <b v="0"/>
    <s v="es"/>
    <m/>
    <s v=""/>
    <b v="0"/>
    <n v="0"/>
    <s v=""/>
    <s v="Metricool"/>
    <b v="0"/>
    <s v="1592082283854499841"/>
    <s v="Tweet"/>
    <n v="0"/>
    <n v="0"/>
    <m/>
    <m/>
    <m/>
    <m/>
    <m/>
    <m/>
    <m/>
    <m/>
    <n v="0"/>
    <n v="0"/>
    <n v="0"/>
    <n v="0"/>
    <n v="0"/>
    <n v="0"/>
    <n v="22"/>
    <n v="62.857142857142854"/>
    <n v="35"/>
  </r>
  <r>
    <s v="cordeiro"/>
    <s v="cordeiro"/>
    <m/>
    <m/>
    <m/>
    <m/>
    <m/>
    <m/>
    <m/>
    <m/>
    <s v="No"/>
    <n v="250"/>
    <m/>
    <m/>
    <n v="35"/>
    <s v="4"/>
    <s v="4"/>
    <x v="3"/>
    <d v="2022-11-14T22:09:16.000"/>
    <s v="#TransVisionMadrid  👉 Ramón Risco: «La criopreservación es viable en humanos»  El científico español ha devuelto la vida a gusanos #LaMuerteDeLaMuerte_x000a_https://t.co/eRKT8dXayB"/>
    <s v="https://www.eldebate.com/salud-y-bienestar/salud/20221114/ramon-risco-criopreservacion-viable-humanos_72431.html#utm_source=rrss-comp&amp;utm_medium=wh&amp;utm_campaign=fixed-btn"/>
    <s v="eldebate.com"/>
    <x v="15"/>
    <m/>
    <s v="https://pbs.twimg.com/profile_images/1078408329045725184/ix0-gmNx_normal.jpg"/>
    <x v="133"/>
    <d v="2022-11-14T00:00:00.000"/>
    <s v="22:09:16"/>
    <s v="https://twitter.com/cordeiro/status/1592278517856845827"/>
    <m/>
    <m/>
    <s v="1592278517856845827"/>
    <m/>
    <b v="0"/>
    <n v="1"/>
    <s v=""/>
    <b v="0"/>
    <s v="es"/>
    <m/>
    <s v=""/>
    <b v="0"/>
    <n v="1"/>
    <s v=""/>
    <s v="Metricool"/>
    <b v="0"/>
    <s v="1592278517856845827"/>
    <s v="Tweet"/>
    <n v="0"/>
    <n v="0"/>
    <m/>
    <m/>
    <m/>
    <m/>
    <m/>
    <m/>
    <m/>
    <m/>
    <n v="0"/>
    <n v="0"/>
    <n v="0"/>
    <n v="0"/>
    <n v="0"/>
    <n v="0"/>
    <n v="13"/>
    <n v="68.42105263157895"/>
    <n v="19"/>
  </r>
  <r>
    <s v="cordeiro"/>
    <s v="cordeiro"/>
    <m/>
    <m/>
    <m/>
    <m/>
    <m/>
    <m/>
    <m/>
    <m/>
    <s v="No"/>
    <n v="251"/>
    <m/>
    <m/>
    <n v="35"/>
    <s v="4"/>
    <s v="4"/>
    <x v="3"/>
    <d v="2022-11-15T16:09:16.000"/>
    <s v="#Criopreservación ➡️ el gran reto de la ciencia  En la cumbre #TransVisionMadrid  participaron  35 expertos internacionales #LaMuerteDeLaMuerte_x000a_https://t.co/2a4BtukC1u"/>
    <s v="https://www.eldebate.com/salud-y-bienestar/salud/20221113/criopreservacion-reto-ciencia-siglo-xxi_72373.html"/>
    <s v="eldebate.com"/>
    <x v="19"/>
    <m/>
    <s v="https://pbs.twimg.com/profile_images/1078408329045725184/ix0-gmNx_normal.jpg"/>
    <x v="134"/>
    <d v="2022-11-15T00:00:00.000"/>
    <s v="16:09:16"/>
    <s v="https://twitter.com/cordeiro/status/1592550308684746758"/>
    <m/>
    <m/>
    <s v="1592550308684746758"/>
    <m/>
    <b v="0"/>
    <n v="1"/>
    <s v=""/>
    <b v="0"/>
    <s v="es"/>
    <m/>
    <s v=""/>
    <b v="0"/>
    <n v="0"/>
    <s v=""/>
    <s v="Metricool"/>
    <b v="0"/>
    <s v="1592550308684746758"/>
    <s v="Tweet"/>
    <n v="0"/>
    <n v="0"/>
    <m/>
    <m/>
    <m/>
    <m/>
    <m/>
    <m/>
    <m/>
    <m/>
    <n v="0"/>
    <n v="0"/>
    <n v="0"/>
    <n v="0"/>
    <n v="0"/>
    <n v="0"/>
    <n v="11"/>
    <n v="68.75"/>
    <n v="16"/>
  </r>
  <r>
    <s v="cordeiro"/>
    <s v="cordeiro"/>
    <m/>
    <m/>
    <m/>
    <m/>
    <m/>
    <m/>
    <m/>
    <m/>
    <s v="No"/>
    <n v="252"/>
    <m/>
    <m/>
    <n v="35"/>
    <s v="4"/>
    <s v="4"/>
    <x v="3"/>
    <d v="2022-11-18T09:23:26.000"/>
    <s v="#TransVisionMadrid  Nos quedarían 100 años para ver la primera resurrección humana, según expertos #LaMuerteDeLaMuerte  _x000a_https://t.co/NM815Z4g0T"/>
    <s v="https://www.epe.es/es/tendencias-21/20221117/quedarian-100-anos-ver-primera-78673460"/>
    <s v="epe.es"/>
    <x v="15"/>
    <m/>
    <s v="https://pbs.twimg.com/profile_images/1078408329045725184/ix0-gmNx_normal.jpg"/>
    <x v="135"/>
    <d v="2022-11-18T00:00:00.000"/>
    <s v="09:23:26"/>
    <s v="https://twitter.com/cordeiro/status/1593535339926274049"/>
    <m/>
    <m/>
    <s v="1593535339926274049"/>
    <m/>
    <b v="0"/>
    <n v="0"/>
    <s v=""/>
    <b v="0"/>
    <s v="es"/>
    <m/>
    <s v=""/>
    <b v="0"/>
    <n v="0"/>
    <s v=""/>
    <s v="Metricool"/>
    <b v="0"/>
    <s v="1593535339926274049"/>
    <s v="Tweet"/>
    <n v="0"/>
    <n v="0"/>
    <m/>
    <m/>
    <m/>
    <m/>
    <m/>
    <m/>
    <m/>
    <m/>
    <n v="0"/>
    <n v="0"/>
    <n v="0"/>
    <n v="0"/>
    <n v="0"/>
    <n v="0"/>
    <n v="11"/>
    <n v="78.57142857142857"/>
    <n v="14"/>
  </r>
  <r>
    <s v="cordeiro"/>
    <s v="cordeiro"/>
    <m/>
    <m/>
    <m/>
    <m/>
    <m/>
    <m/>
    <m/>
    <m/>
    <s v="No"/>
    <n v="253"/>
    <m/>
    <m/>
    <n v="35"/>
    <s v="4"/>
    <s v="4"/>
    <x v="3"/>
    <d v="2022-11-18T16:09:31.000"/>
    <s v="#TransVisionMadrid  Así serán las ambulancias del #futuro capaces de criopreservar cuerpos  #LaMuerteDeLaMuerte https://t.co/bxrTzaQbfA"/>
    <s v="https://www.cuatro.com/horizonte/20221110/ambulancias-futuro-criopreservar-cuerpos-asi-son_18_07948877.html"/>
    <s v="cuatro.com"/>
    <x v="20"/>
    <m/>
    <s v="https://pbs.twimg.com/profile_images/1078408329045725184/ix0-gmNx_normal.jpg"/>
    <x v="136"/>
    <d v="2022-11-18T00:00:00.000"/>
    <s v="16:09:31"/>
    <s v="https://twitter.com/cordeiro/status/1593637537586839556"/>
    <m/>
    <m/>
    <s v="1593637537586839556"/>
    <m/>
    <b v="0"/>
    <n v="0"/>
    <s v=""/>
    <b v="0"/>
    <s v="es"/>
    <m/>
    <s v=""/>
    <b v="0"/>
    <n v="0"/>
    <s v=""/>
    <s v="Metricool"/>
    <b v="0"/>
    <s v="1593637537586839556"/>
    <s v="Tweet"/>
    <n v="0"/>
    <n v="0"/>
    <m/>
    <m/>
    <m/>
    <m/>
    <m/>
    <m/>
    <m/>
    <m/>
    <n v="0"/>
    <n v="0"/>
    <n v="0"/>
    <n v="0"/>
    <n v="0"/>
    <n v="0"/>
    <n v="9"/>
    <n v="75"/>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5"/>
  </rowFields>
  <rowItems count="66">
    <i>
      <x v="1"/>
    </i>
    <i r="1">
      <x v="11"/>
    </i>
    <i r="2">
      <x v="315"/>
    </i>
    <i r="3">
      <x v="10"/>
    </i>
    <i r="3">
      <x v="11"/>
    </i>
    <i r="3">
      <x v="16"/>
    </i>
    <i r="3">
      <x v="17"/>
    </i>
    <i r="3">
      <x v="23"/>
    </i>
    <i r="2">
      <x v="316"/>
    </i>
    <i r="3">
      <x v="10"/>
    </i>
    <i r="3">
      <x v="11"/>
    </i>
    <i r="3">
      <x v="14"/>
    </i>
    <i r="3">
      <x v="16"/>
    </i>
    <i r="3">
      <x v="17"/>
    </i>
    <i r="3">
      <x v="21"/>
    </i>
    <i r="3">
      <x v="22"/>
    </i>
    <i r="3">
      <x v="23"/>
    </i>
    <i r="2">
      <x v="317"/>
    </i>
    <i r="3">
      <x v="1"/>
    </i>
    <i r="3">
      <x v="5"/>
    </i>
    <i r="3">
      <x v="9"/>
    </i>
    <i r="3">
      <x v="10"/>
    </i>
    <i r="3">
      <x v="11"/>
    </i>
    <i r="3">
      <x v="12"/>
    </i>
    <i r="3">
      <x v="13"/>
    </i>
    <i r="3">
      <x v="14"/>
    </i>
    <i r="3">
      <x v="15"/>
    </i>
    <i r="3">
      <x v="16"/>
    </i>
    <i r="3">
      <x v="17"/>
    </i>
    <i r="3">
      <x v="21"/>
    </i>
    <i r="3">
      <x v="22"/>
    </i>
    <i r="3">
      <x v="23"/>
    </i>
    <i r="3">
      <x v="24"/>
    </i>
    <i r="2">
      <x v="318"/>
    </i>
    <i r="3">
      <x v="5"/>
    </i>
    <i r="3">
      <x v="7"/>
    </i>
    <i r="3">
      <x v="8"/>
    </i>
    <i r="3">
      <x v="9"/>
    </i>
    <i r="3">
      <x v="10"/>
    </i>
    <i r="3">
      <x v="11"/>
    </i>
    <i r="3">
      <x v="12"/>
    </i>
    <i r="3">
      <x v="16"/>
    </i>
    <i r="3">
      <x v="19"/>
    </i>
    <i r="3">
      <x v="21"/>
    </i>
    <i r="3">
      <x v="22"/>
    </i>
    <i r="3">
      <x v="23"/>
    </i>
    <i r="2">
      <x v="319"/>
    </i>
    <i r="3">
      <x v="8"/>
    </i>
    <i r="3">
      <x v="9"/>
    </i>
    <i r="3">
      <x v="10"/>
    </i>
    <i r="3">
      <x v="13"/>
    </i>
    <i r="3">
      <x v="17"/>
    </i>
    <i r="3">
      <x v="20"/>
    </i>
    <i r="3">
      <x v="23"/>
    </i>
    <i r="2">
      <x v="320"/>
    </i>
    <i r="3">
      <x v="13"/>
    </i>
    <i r="3">
      <x v="17"/>
    </i>
    <i r="2">
      <x v="321"/>
    </i>
    <i r="3">
      <x v="19"/>
    </i>
    <i r="2">
      <x v="322"/>
    </i>
    <i r="3">
      <x v="6"/>
    </i>
    <i r="2">
      <x v="323"/>
    </i>
    <i r="3">
      <x v="10"/>
    </i>
    <i r="3">
      <x v="13"/>
    </i>
    <i r="3">
      <x v="17"/>
    </i>
    <i t="grand">
      <x/>
    </i>
  </rowItems>
  <colItems count="1">
    <i/>
  </colItems>
  <dataFields count="1">
    <dataField name="Cuenta de Tweet Date (UTC)"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5" name="TimeSeries"/>
  </pivotTables>
  <data>
    <tabular pivotCacheId="249712889">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5" name="TimeSeries"/>
  </pivotTables>
  <data>
    <tabular pivotCacheId="249712889">
      <items count="21">
        <i x="19" s="1"/>
        <i x="9" s="1"/>
        <i x="11" s="1"/>
        <i x="0" s="1"/>
        <i x="1" s="1"/>
        <i x="14" s="1"/>
        <i x="18" s="1"/>
        <i x="8" s="1"/>
        <i x="16" s="1"/>
        <i x="7" s="1"/>
        <i x="4" s="1"/>
        <i x="13" s="1"/>
        <i x="20" s="1"/>
        <i x="10" s="1"/>
        <i x="15" s="1"/>
        <i x="5" s="1"/>
        <i x="12" s="1"/>
        <i x="17" s="1"/>
        <i x="2" s="1"/>
        <i x="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253" totalsRowShown="0" headerRowDxfId="423" dataDxfId="384">
  <autoFilter ref="A2:BN253"/>
  <tableColumns count="66">
    <tableColumn id="1" name="Vertex 1" dataDxfId="369"/>
    <tableColumn id="2" name="Vertex 2" dataDxfId="367"/>
    <tableColumn id="3" name="Color" dataDxfId="368"/>
    <tableColumn id="4" name="Width" dataDxfId="394"/>
    <tableColumn id="11" name="Style" dataDxfId="393"/>
    <tableColumn id="5" name="Opacity" dataDxfId="392"/>
    <tableColumn id="6" name="Visibility" dataDxfId="391"/>
    <tableColumn id="10" name="Label" dataDxfId="390"/>
    <tableColumn id="12" name="Label Text Color" dataDxfId="389"/>
    <tableColumn id="13" name="Label Font Size" dataDxfId="388"/>
    <tableColumn id="14" name="Reciprocated?" dataDxfId="273"/>
    <tableColumn id="7" name="ID" dataDxfId="387"/>
    <tableColumn id="9" name="Dynamic Filter" dataDxfId="386"/>
    <tableColumn id="8" name="Add Your Own Columns Here" dataDxfId="385"/>
    <tableColumn id="15" name="Edge Weight" dataDxfId="291"/>
    <tableColumn id="16" name="Vertex 1 Group" dataDxfId="290">
      <calculatedColumnFormula>REPLACE(INDEX(GroupVertices[Group], MATCH(Edges[[#This Row],[Vertex 1]],GroupVertices[Vertex],0)),1,1,"")</calculatedColumnFormula>
    </tableColumn>
    <tableColumn id="17" name="Vertex 2 Group" dataDxfId="288">
      <calculatedColumnFormula>REPLACE(INDEX(GroupVertices[Group], MATCH(Edges[[#This Row],[Vertex 2]],GroupVertices[Vertex],0)),1,1,"")</calculatedColumnFormula>
    </tableColumn>
    <tableColumn id="18" name="Relationship" dataDxfId="289"/>
    <tableColumn id="19" name="Relationship Date (UTC)" dataDxfId="366"/>
    <tableColumn id="20" name="Tweet" dataDxfId="365"/>
    <tableColumn id="21" name="URLs in Tweet" dataDxfId="364"/>
    <tableColumn id="22" name="Domains in Tweet" dataDxfId="363"/>
    <tableColumn id="23" name="Hashtags in Tweet" dataDxfId="362"/>
    <tableColumn id="24" name="Media in Tweet" dataDxfId="361"/>
    <tableColumn id="25" name="Tweet Image File" dataDxfId="360"/>
    <tableColumn id="26" name="Tweet Date (UTC)" dataDxfId="359"/>
    <tableColumn id="27" name="Date" dataDxfId="358"/>
    <tableColumn id="28" name="Time" dataDxfId="357"/>
    <tableColumn id="29" name="Twitter Page for Tweet" dataDxfId="356"/>
    <tableColumn id="30" name="Latitude" dataDxfId="355"/>
    <tableColumn id="31" name="Longitude" dataDxfId="354"/>
    <tableColumn id="32" name="Imported ID" dataDxfId="353"/>
    <tableColumn id="33" name="In-Reply-To Tweet ID" dataDxfId="352"/>
    <tableColumn id="34" name="Favorited" dataDxfId="351"/>
    <tableColumn id="35" name="Favorite Count" dataDxfId="350"/>
    <tableColumn id="36" name="In-Reply-To User ID" dataDxfId="349"/>
    <tableColumn id="37" name="Is Quote Status" dataDxfId="348"/>
    <tableColumn id="38" name="Language" dataDxfId="347"/>
    <tableColumn id="39" name="Possibly Sensitive" dataDxfId="346"/>
    <tableColumn id="40" name="Quoted Status ID" dataDxfId="345"/>
    <tableColumn id="41" name="Retweeted" dataDxfId="344"/>
    <tableColumn id="42" name="Retweet Count" dataDxfId="343"/>
    <tableColumn id="43" name="Retweet ID" dataDxfId="342"/>
    <tableColumn id="44" name="Source" dataDxfId="341"/>
    <tableColumn id="45" name="Truncated" dataDxfId="340"/>
    <tableColumn id="46" name="Unified Twitter ID" dataDxfId="339"/>
    <tableColumn id="47" name="Imported Tweet Type" dataDxfId="338"/>
    <tableColumn id="48" name="Added By Extended Analysis" dataDxfId="337"/>
    <tableColumn id="49" name="Corrected By Extended Analysis" dataDxfId="336"/>
    <tableColumn id="50" name="Place Bounding Box" dataDxfId="335"/>
    <tableColumn id="51" name="Place Country" dataDxfId="334"/>
    <tableColumn id="52" name="Place Country Code" dataDxfId="333"/>
    <tableColumn id="53" name="Place Full Name" dataDxfId="332"/>
    <tableColumn id="54" name="Place ID" dataDxfId="331"/>
    <tableColumn id="55" name="Place Name" dataDxfId="330"/>
    <tableColumn id="56" name="Place Type" dataDxfId="329"/>
    <tableColumn id="57" name="Place URL" dataDxfId="119"/>
    <tableColumn id="58" name="Sentiment List #1: List1 Word Count" dataDxfId="118"/>
    <tableColumn id="59" name="Sentiment List #1: List1 Word Percentage (%)" dataDxfId="117"/>
    <tableColumn id="60" name="Sentiment List #2: List2 Word Count" dataDxfId="116"/>
    <tableColumn id="61" name="Sentiment List #2: List2 Word Percentage (%)" dataDxfId="115"/>
    <tableColumn id="62" name="Sentiment List #3: List3 Word Count" dataDxfId="114"/>
    <tableColumn id="63" name="Sentiment List #3: List3 Word Percentage (%)" dataDxfId="113"/>
    <tableColumn id="64" name="Non-categorized Word Count" dataDxfId="112"/>
    <tableColumn id="65" name="Non-categorized Word Percentage (%)" dataDxfId="111"/>
    <tableColumn id="66" name="Edge Content Word Count" dataDxfId="11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396" dataDxfId="395">
  <autoFilter ref="A1:B7"/>
  <tableColumns count="2">
    <tableColumn id="1" name="Key" dataDxfId="69"/>
    <tableColumn id="2" name="Value" dataDxfId="6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1" totalsRowShown="0" headerRowDxfId="272" dataDxfId="271">
  <autoFilter ref="A1:L11"/>
  <tableColumns count="12">
    <tableColumn id="1" name="Top URLs in Tweet in Entire Graph" dataDxfId="270"/>
    <tableColumn id="2" name="Entire Graph Count" dataDxfId="269"/>
    <tableColumn id="3" name="Top URLs in Tweet in G1" dataDxfId="268"/>
    <tableColumn id="4" name="G1 Count" dataDxfId="267"/>
    <tableColumn id="5" name="Top URLs in Tweet in G2" dataDxfId="266"/>
    <tableColumn id="6" name="G2 Count" dataDxfId="265"/>
    <tableColumn id="7" name="Top URLs in Tweet in G3" dataDxfId="264"/>
    <tableColumn id="8" name="G3 Count" dataDxfId="263"/>
    <tableColumn id="9" name="Top URLs in Tweet in G4" dataDxfId="262"/>
    <tableColumn id="10" name="G4 Count" dataDxfId="261"/>
    <tableColumn id="11" name="Top URLs in Tweet in G5" dataDxfId="260"/>
    <tableColumn id="12" name="G5 Count" dataDxfId="25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L24" totalsRowShown="0" headerRowDxfId="257" dataDxfId="256">
  <autoFilter ref="A14:L24"/>
  <tableColumns count="12">
    <tableColumn id="1" name="Top Domains in Tweet in Entire Graph" dataDxfId="255"/>
    <tableColumn id="2" name="Entire Graph Count" dataDxfId="254"/>
    <tableColumn id="3" name="Top Domains in Tweet in G1" dataDxfId="253"/>
    <tableColumn id="4" name="G1 Count" dataDxfId="252"/>
    <tableColumn id="5" name="Top Domains in Tweet in G2" dataDxfId="251"/>
    <tableColumn id="6" name="G2 Count" dataDxfId="250"/>
    <tableColumn id="7" name="Top Domains in Tweet in G3" dataDxfId="249"/>
    <tableColumn id="8" name="G3 Count" dataDxfId="248"/>
    <tableColumn id="9" name="Top Domains in Tweet in G4" dataDxfId="247"/>
    <tableColumn id="10" name="G4 Count" dataDxfId="246"/>
    <tableColumn id="11" name="Top Domains in Tweet in G5" dataDxfId="245"/>
    <tableColumn id="12" name="G5 Count" dataDxfId="24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L37" totalsRowShown="0" headerRowDxfId="242" dataDxfId="241">
  <autoFilter ref="A27:L37"/>
  <tableColumns count="1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L50" totalsRowShown="0" headerRowDxfId="227" dataDxfId="226">
  <autoFilter ref="A40:L50"/>
  <tableColumns count="12">
    <tableColumn id="1" name="Top Words in Tweet in Entire Graph" dataDxfId="225"/>
    <tableColumn id="2" name="Entire Graph Count" dataDxfId="224"/>
    <tableColumn id="3" name="Top Words in Tweet in G1" dataDxfId="223"/>
    <tableColumn id="4" name="G1 Count" dataDxfId="222"/>
    <tableColumn id="5" name="Top Words in Tweet in G2" dataDxfId="221"/>
    <tableColumn id="6" name="G2 Count" dataDxfId="220"/>
    <tableColumn id="7" name="Top Words in Tweet in G3" dataDxfId="219"/>
    <tableColumn id="8" name="G3 Count" dataDxfId="218"/>
    <tableColumn id="9" name="Top Words in Tweet in G4" dataDxfId="217"/>
    <tableColumn id="10" name="G4 Count" dataDxfId="216"/>
    <tableColumn id="11" name="Top Words in Tweet in G5" dataDxfId="215"/>
    <tableColumn id="12" name="G5 Count" dataDxfId="21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L63" totalsRowShown="0" headerRowDxfId="212" dataDxfId="211">
  <autoFilter ref="A53:L63"/>
  <tableColumns count="12">
    <tableColumn id="1" name="Top Word Pairs in Tweet in Entire Graph" dataDxfId="210"/>
    <tableColumn id="2" name="Entire Graph Count" dataDxfId="209"/>
    <tableColumn id="3" name="Top Word Pairs in Tweet in G1" dataDxfId="208"/>
    <tableColumn id="4" name="G1 Count" dataDxfId="207"/>
    <tableColumn id="5" name="Top Word Pairs in Tweet in G2" dataDxfId="206"/>
    <tableColumn id="6" name="G2 Count" dataDxfId="205"/>
    <tableColumn id="7" name="Top Word Pairs in Tweet in G3" dataDxfId="204"/>
    <tableColumn id="8" name="G3 Count" dataDxfId="203"/>
    <tableColumn id="9" name="Top Word Pairs in Tweet in G4" dataDxfId="202"/>
    <tableColumn id="10" name="G4 Count" dataDxfId="201"/>
    <tableColumn id="11" name="Top Word Pairs in Tweet in G5" dataDxfId="200"/>
    <tableColumn id="12" name="G5 Count" dataDxfId="19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L67" totalsRowShown="0" headerRowDxfId="197" dataDxfId="196">
  <autoFilter ref="A66:L67"/>
  <tableColumns count="12">
    <tableColumn id="1" name="Top Replied-To in Entire Graph" dataDxfId="195"/>
    <tableColumn id="2" name="Entire Graph Count" dataDxfId="191"/>
    <tableColumn id="3" name="Top Replied-To in G1" dataDxfId="190"/>
    <tableColumn id="4" name="G1 Count" dataDxfId="187"/>
    <tableColumn id="5" name="Top Replied-To in G2" dataDxfId="186"/>
    <tableColumn id="6" name="G2 Count" dataDxfId="183"/>
    <tableColumn id="7" name="Top Replied-To in G3" dataDxfId="182"/>
    <tableColumn id="8" name="G3 Count" dataDxfId="179"/>
    <tableColumn id="9" name="Top Replied-To in G4" dataDxfId="178"/>
    <tableColumn id="10" name="G4 Count" dataDxfId="175"/>
    <tableColumn id="11" name="Top Replied-To in G5" dataDxfId="174"/>
    <tableColumn id="12" name="G5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L79" totalsRowShown="0" headerRowDxfId="194" dataDxfId="193">
  <autoFilter ref="A69:L79"/>
  <tableColumns count="12">
    <tableColumn id="1" name="Top Mentioned in Entire Graph" dataDxfId="192"/>
    <tableColumn id="2" name="Entire Graph Count" dataDxfId="189"/>
    <tableColumn id="3" name="Top Mentioned in G1" dataDxfId="188"/>
    <tableColumn id="4" name="G1 Count" dataDxfId="185"/>
    <tableColumn id="5" name="Top Mentioned in G2" dataDxfId="184"/>
    <tableColumn id="6" name="G2 Count" dataDxfId="181"/>
    <tableColumn id="7" name="Top Mentioned in G3" dataDxfId="180"/>
    <tableColumn id="8" name="G3 Count" dataDxfId="177"/>
    <tableColumn id="9" name="Top Mentioned in G4" dataDxfId="176"/>
    <tableColumn id="10" name="G4 Count" dataDxfId="172"/>
    <tableColumn id="11" name="Top Mentioned in G5" dataDxfId="171"/>
    <tableColumn id="12" name="G5 Count" dataDxfId="17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L92" totalsRowShown="0" headerRowDxfId="167" dataDxfId="166">
  <autoFilter ref="A82:L92"/>
  <tableColumns count="12">
    <tableColumn id="1" name="Top Tweeters in Entire Graph" dataDxfId="165"/>
    <tableColumn id="2" name="Entire Graph Count" dataDxfId="164"/>
    <tableColumn id="3" name="Top Tweeters in G1" dataDxfId="163"/>
    <tableColumn id="4" name="G1 Count" dataDxfId="162"/>
    <tableColumn id="5" name="Top Tweeters in G2" dataDxfId="161"/>
    <tableColumn id="6" name="G2 Count" dataDxfId="160"/>
    <tableColumn id="7" name="Top Tweeters in G3" dataDxfId="159"/>
    <tableColumn id="8" name="G3 Count" dataDxfId="158"/>
    <tableColumn id="9" name="Top Tweeters in G4" dataDxfId="157"/>
    <tableColumn id="10" name="G4 Count" dataDxfId="156"/>
    <tableColumn id="11" name="Top Tweeters in G5" dataDxfId="155"/>
    <tableColumn id="12" name="G5 Count" dataDxfId="15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38" totalsRowShown="0" headerRowDxfId="422" dataDxfId="370">
  <autoFilter ref="A2:BU38"/>
  <tableColumns count="73">
    <tableColumn id="1" name="Vertex" dataDxfId="383"/>
    <tableColumn id="73" name="Subgraph"/>
    <tableColumn id="2" name="Color" dataDxfId="382"/>
    <tableColumn id="5" name="Shape" dataDxfId="381"/>
    <tableColumn id="6" name="Size" dataDxfId="380"/>
    <tableColumn id="4" name="Opacity" dataDxfId="310"/>
    <tableColumn id="7" name="Image File" dataDxfId="308"/>
    <tableColumn id="3" name="Visibility" dataDxfId="309"/>
    <tableColumn id="10" name="Label" dataDxfId="379"/>
    <tableColumn id="16" name="Label Fill Color" dataDxfId="378"/>
    <tableColumn id="9" name="Label Position" dataDxfId="304"/>
    <tableColumn id="8" name="Tooltip" dataDxfId="302"/>
    <tableColumn id="18" name="Layout Order" dataDxfId="303"/>
    <tableColumn id="13" name="X" dataDxfId="377"/>
    <tableColumn id="14" name="Y" dataDxfId="376"/>
    <tableColumn id="12" name="Locked?" dataDxfId="375"/>
    <tableColumn id="19" name="Polar R" dataDxfId="374"/>
    <tableColumn id="20" name="Polar Angle" dataDxfId="373"/>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372"/>
    <tableColumn id="28" name="Dynamic Filter" dataDxfId="371"/>
    <tableColumn id="17" name="Add Your Own Columns Here" dataDxfId="294"/>
    <tableColumn id="30" name="Vertex Group" dataDxfId="292">
      <calculatedColumnFormula>REPLACE(INDEX(GroupVertices[Group], MATCH(Vertices[[#This Row],[Vertex]],GroupVertices[Vertex],0)),1,1,"")</calculatedColumnFormula>
    </tableColumn>
    <tableColumn id="31" name="Name" dataDxfId="293"/>
    <tableColumn id="32" name="User ID" dataDxfId="328"/>
    <tableColumn id="33" name="Followed" dataDxfId="327"/>
    <tableColumn id="34" name="Followers" dataDxfId="326"/>
    <tableColumn id="35" name="Tweets" dataDxfId="325"/>
    <tableColumn id="36" name="Favorites" dataDxfId="324"/>
    <tableColumn id="37" name="Time Zone UTC Offset (Seconds)" dataDxfId="323"/>
    <tableColumn id="38" name="Description" dataDxfId="322"/>
    <tableColumn id="39" name="Location" dataDxfId="321"/>
    <tableColumn id="40" name="Web" dataDxfId="320"/>
    <tableColumn id="41" name="Time Zone" dataDxfId="319"/>
    <tableColumn id="42" name="Joined Twitter Date (UTC)" dataDxfId="318"/>
    <tableColumn id="43" name="Profile Banner Url" dataDxfId="317"/>
    <tableColumn id="44" name="Default Profile" dataDxfId="316"/>
    <tableColumn id="45" name="Default Profile Image" dataDxfId="315"/>
    <tableColumn id="46" name="Geo Enabled" dataDxfId="314"/>
    <tableColumn id="47" name="Language" dataDxfId="313"/>
    <tableColumn id="48" name="Listed Count" dataDxfId="312"/>
    <tableColumn id="49" name="Profile Background Image Url" dataDxfId="311"/>
    <tableColumn id="50" name="Verified" dataDxfId="307"/>
    <tableColumn id="51" name="Custom Menu Item Text" dataDxfId="306"/>
    <tableColumn id="52" name="Custom Menu Item Action" dataDxfId="305"/>
    <tableColumn id="53" name="Tweeted Search Term?" dataDxfId="152"/>
    <tableColumn id="54" name="Top URLs in Tweet by Count" dataDxfId="151"/>
    <tableColumn id="55" name="Top URLs in Tweet by Salience" dataDxfId="150"/>
    <tableColumn id="56" name="Top Domains in Tweet by Count" dataDxfId="149"/>
    <tableColumn id="57" name="Top Domains in Tweet by Salience" dataDxfId="148"/>
    <tableColumn id="58" name="Top Hashtags in Tweet by Count" dataDxfId="147"/>
    <tableColumn id="59" name="Top Hashtags in Tweet by Salience" dataDxfId="146"/>
    <tableColumn id="60" name="Top Words in Tweet by Count" dataDxfId="145"/>
    <tableColumn id="61" name="Top Words in Tweet by Salience" dataDxfId="144"/>
    <tableColumn id="62" name="Top Word Pairs in Tweet by Count" dataDxfId="143"/>
    <tableColumn id="63" name="Top Word Pairs in Tweet by Salience" dataDxfId="109"/>
    <tableColumn id="64" name="Sentiment List #1: List1 Word Count" dataDxfId="108"/>
    <tableColumn id="65" name="Sentiment List #1: List1 Word Percentage (%)" dataDxfId="107"/>
    <tableColumn id="66" name="Sentiment List #2: List2 Word Count" dataDxfId="106"/>
    <tableColumn id="67" name="Sentiment List #2: List2 Word Percentage (%)" dataDxfId="105"/>
    <tableColumn id="68" name="Sentiment List #3: List3 Word Count" dataDxfId="104"/>
    <tableColumn id="69" name="Sentiment List #3: List3 Word Percentage (%)" dataDxfId="103"/>
    <tableColumn id="70" name="Non-categorized Word Count" dataDxfId="102"/>
    <tableColumn id="71" name="Non-categorized Word Percentage (%)" dataDxfId="101"/>
    <tableColumn id="72" name="Vertex Content Word Count" dataDxfId="100"/>
  </tableColumns>
  <tableStyleInfo name="NodeXL Table" showFirstColumn="0" showLastColumn="0" showRowStripes="0" showColumnStripes="0"/>
</table>
</file>

<file path=xl/tables/table20.xml><?xml version="1.0" encoding="utf-8"?>
<table xmlns="http://schemas.openxmlformats.org/spreadsheetml/2006/main" id="20" name="Words" displayName="Words" ref="A1:G581" totalsRowShown="0" headerRowDxfId="142" dataDxfId="141">
  <autoFilter ref="A1:G581"/>
  <tableColumns count="7">
    <tableColumn id="1" name="Word" dataDxfId="140"/>
    <tableColumn id="2" name="Count" dataDxfId="139"/>
    <tableColumn id="3" name="Salience" dataDxfId="138"/>
    <tableColumn id="4" name="Group" dataDxfId="137"/>
    <tableColumn id="5" name="Word on Sentiment List #1: List1" dataDxfId="136"/>
    <tableColumn id="6" name="Word on Sentiment List #2: List2" dataDxfId="135"/>
    <tableColumn id="7" name="Word on Sentiment List #3: List3" dataDxfId="13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32" totalsRowShown="0" headerRowDxfId="133" dataDxfId="132">
  <autoFilter ref="A1:L632"/>
  <tableColumns count="12">
    <tableColumn id="1" name="Word 1" dataDxfId="131"/>
    <tableColumn id="2" name="Word 2" dataDxfId="130"/>
    <tableColumn id="3" name="Count" dataDxfId="129"/>
    <tableColumn id="4" name="Salience" dataDxfId="128"/>
    <tableColumn id="5" name="Mutual Information" dataDxfId="127"/>
    <tableColumn id="6" name="Group" dataDxfId="126"/>
    <tableColumn id="7" name="Word1 on Sentiment List #1: List1" dataDxfId="125"/>
    <tableColumn id="8" name="Word1 on Sentiment List #2: List2" dataDxfId="124"/>
    <tableColumn id="9" name="Word1 on Sentiment List #3: List3" dataDxfId="123"/>
    <tableColumn id="10" name="Word2 on Sentiment List #1: List1" dataDxfId="122"/>
    <tableColumn id="11" name="Word2 on Sentiment List #2: List2" dataDxfId="121"/>
    <tableColumn id="12" name="Word2 on Sentiment List #3: List3" dataDxfId="120"/>
  </tableColumns>
  <tableStyleInfo name="NodeXL Table" showFirstColumn="0" showLastColumn="0" showRowStripes="1" showColumnStripes="0"/>
</table>
</file>

<file path=xl/tables/table22.xml><?xml version="1.0" encoding="utf-8"?>
<table xmlns="http://schemas.openxmlformats.org/spreadsheetml/2006/main" id="22" name="GroupEdges" displayName="GroupEdges" ref="A2:C24" totalsRowShown="0" headerRowDxfId="89" dataDxfId="88">
  <autoFilter ref="A2:C24"/>
  <tableColumns count="3">
    <tableColumn id="1" name="Group 1" dataDxfId="87"/>
    <tableColumn id="2" name="Group 2" dataDxfId="86"/>
    <tableColumn id="3" name="Edges" dataDxfId="8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139" totalsRowShown="0" headerRowDxfId="67" dataDxfId="66">
  <autoFilter ref="A2:BN13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Edge Weight" dataDxfId="51"/>
    <tableColumn id="16" name="Vertex 1 Group" dataDxfId="50">
      <calculatedColumnFormula>REPLACE(INDEX(GroupVertices[Group], MATCH(Edges25[[#This Row],[Vertex 1]],GroupVertices[Vertex],0)),1,1,"")</calculatedColumnFormula>
    </tableColumn>
    <tableColumn id="17" name="Vertex 2 Group" dataDxfId="49">
      <calculatedColumnFormula>REPLACE(INDEX(GroupVertices[Group], MATCH(Edges25[[#This Row],[Vertex 2]],GroupVertices[Vertex],0)),1,1,"")</calculatedColumnFormula>
    </tableColumn>
    <tableColumn id="18" name="Relationship" dataDxfId="48"/>
    <tableColumn id="19" name="Relationship Date (UTC)" dataDxfId="47"/>
    <tableColumn id="20" name="Tweet" dataDxfId="46"/>
    <tableColumn id="21" name="URLs in Tweet" dataDxfId="45"/>
    <tableColumn id="22" name="Domains in Tweet" dataDxfId="44"/>
    <tableColumn id="23" name="Hashtags in Tweet" dataDxfId="43"/>
    <tableColumn id="24" name="Media in Tweet" dataDxfId="42"/>
    <tableColumn id="25" name="Tweet Image File" dataDxfId="41"/>
    <tableColumn id="26" name="Tweet Date (UTC)" dataDxfId="40"/>
    <tableColumn id="27" name="Date" dataDxfId="39"/>
    <tableColumn id="28" name="Time" dataDxfId="38"/>
    <tableColumn id="29" name="Twitter Page for Tweet" dataDxfId="37"/>
    <tableColumn id="30" name="Latitude" dataDxfId="36"/>
    <tableColumn id="31" name="Longitude" dataDxfId="35"/>
    <tableColumn id="32" name="Imported ID" dataDxfId="34"/>
    <tableColumn id="33" name="In-Reply-To Tweet ID" dataDxfId="33"/>
    <tableColumn id="34" name="Favorited" dataDxfId="32"/>
    <tableColumn id="35" name="Favorite Count" dataDxfId="31"/>
    <tableColumn id="36" name="In-Reply-To User ID" dataDxfId="30"/>
    <tableColumn id="37" name="Is Quote Status" dataDxfId="29"/>
    <tableColumn id="38" name="Language" dataDxfId="28"/>
    <tableColumn id="39" name="Possibly Sensitive" dataDxfId="27"/>
    <tableColumn id="40" name="Quoted Status ID" dataDxfId="26"/>
    <tableColumn id="41" name="Retweeted" dataDxfId="25"/>
    <tableColumn id="42" name="Retweet Count" dataDxfId="24"/>
    <tableColumn id="43" name="Retweet ID" dataDxfId="23"/>
    <tableColumn id="44" name="Source" dataDxfId="22"/>
    <tableColumn id="45" name="Truncated" dataDxfId="21"/>
    <tableColumn id="46" name="Unified Twitter ID" dataDxfId="20"/>
    <tableColumn id="47" name="Imported Tweet Type" dataDxfId="19"/>
    <tableColumn id="48" name="Added By Extended Analysis" dataDxfId="18"/>
    <tableColumn id="49" name="Corrected By Extended Analysis" dataDxfId="17"/>
    <tableColumn id="50" name="Place Bounding Box" dataDxfId="16"/>
    <tableColumn id="51" name="Place Country" dataDxfId="15"/>
    <tableColumn id="52" name="Place Country Code" dataDxfId="14"/>
    <tableColumn id="53" name="Place Full Name" dataDxfId="13"/>
    <tableColumn id="54" name="Place ID" dataDxfId="12"/>
    <tableColumn id="55" name="Place Name" dataDxfId="11"/>
    <tableColumn id="56" name="Place Type" dataDxfId="10"/>
    <tableColumn id="57" name="Place URL" dataDxfId="9"/>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3" dataDxfId="72">
  <autoFilter ref="A1:B11"/>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21">
  <autoFilter ref="A2:AO7"/>
  <tableColumns count="41">
    <tableColumn id="1" name="Group" dataDxfId="301"/>
    <tableColumn id="2" name="Vertex Color" dataDxfId="300"/>
    <tableColumn id="3" name="Vertex Shape" dataDxfId="298"/>
    <tableColumn id="22" name="Visibility" dataDxfId="299"/>
    <tableColumn id="4" name="Collapsed?"/>
    <tableColumn id="18" name="Label" dataDxfId="420"/>
    <tableColumn id="20" name="Collapsed X"/>
    <tableColumn id="21" name="Collapsed Y"/>
    <tableColumn id="6" name="ID" dataDxfId="419"/>
    <tableColumn id="19" name="Collapsed Properties" dataDxfId="287"/>
    <tableColumn id="5" name="Vertices" dataDxfId="286"/>
    <tableColumn id="7" name="Unique Edges" dataDxfId="285"/>
    <tableColumn id="8" name="Edges With Duplicates" dataDxfId="284"/>
    <tableColumn id="9" name="Total Edges" dataDxfId="283"/>
    <tableColumn id="10" name="Self-Loops" dataDxfId="282"/>
    <tableColumn id="24" name="Reciprocated Vertex Pair Ratio" dataDxfId="281"/>
    <tableColumn id="25" name="Reciprocated Edge Ratio" dataDxfId="280"/>
    <tableColumn id="11" name="Connected Components" dataDxfId="279"/>
    <tableColumn id="12" name="Single-Vertex Connected Components" dataDxfId="278"/>
    <tableColumn id="13" name="Maximum Vertices in a Connected Component" dataDxfId="277"/>
    <tableColumn id="14" name="Maximum Edges in a Connected Component" dataDxfId="276"/>
    <tableColumn id="15" name="Maximum Geodesic Distance (Diameter)" dataDxfId="275"/>
    <tableColumn id="16" name="Average Geodesic Distance" dataDxfId="274"/>
    <tableColumn id="17" name="Graph Density" dataDxfId="258"/>
    <tableColumn id="23" name="Top URLs in Tweet" dataDxfId="243"/>
    <tableColumn id="26" name="Top Domains in Tweet" dataDxfId="228"/>
    <tableColumn id="27" name="Top Hashtags in Tweet" dataDxfId="213"/>
    <tableColumn id="28" name="Top Words in Tweet" dataDxfId="198"/>
    <tableColumn id="29" name="Top Word Pairs in Tweet" dataDxfId="169"/>
    <tableColumn id="30" name="Top Replied-To in Tweet" dataDxfId="168"/>
    <tableColumn id="31" name="Top Mentioned in Tweet" dataDxfId="153"/>
    <tableColumn id="32" name="Top Tweeters" dataDxfId="99"/>
    <tableColumn id="33" name="Sentiment List #1: List1 Word Count" dataDxfId="98"/>
    <tableColumn id="34" name="Sentiment List #1: List1 Word Percentage (%)" dataDxfId="97"/>
    <tableColumn id="35" name="Sentiment List #2: List2 Word Count" dataDxfId="96"/>
    <tableColumn id="36" name="Sentiment List #2: List2 Word Percentage (%)" dataDxfId="95"/>
    <tableColumn id="37" name="Sentiment List #3: List3 Word Count" dataDxfId="94"/>
    <tableColumn id="38" name="Sentiment List #3: List3 Word Percentage (%)" dataDxfId="93"/>
    <tableColumn id="39" name="Non-categorized Word Count" dataDxfId="92"/>
    <tableColumn id="40" name="Non-categorized Word Percentage (%)" dataDxfId="91"/>
    <tableColumn id="41" name="Group Content Word Count" dataDxfId="9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18" dataDxfId="417">
  <autoFilter ref="A1:C37"/>
  <tableColumns count="3">
    <tableColumn id="1" name="Group" dataDxfId="297"/>
    <tableColumn id="2" name="Vertex" dataDxfId="296"/>
    <tableColumn id="3" name="Vertex ID" dataDxfId="29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84"/>
    <tableColumn id="2" name="Value" dataDxfId="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6"/>
    <tableColumn id="2" name="Degree Frequency" dataDxfId="415">
      <calculatedColumnFormula>COUNTIF(Vertices[Degree], "&gt;= " &amp; D2) - COUNTIF(Vertices[Degree], "&gt;=" &amp; D3)</calculatedColumnFormula>
    </tableColumn>
    <tableColumn id="3" name="In-Degree Bin" dataDxfId="414"/>
    <tableColumn id="4" name="In-Degree Frequency" dataDxfId="413">
      <calculatedColumnFormula>COUNTIF(Vertices[In-Degree], "&gt;= " &amp; F2) - COUNTIF(Vertices[In-Degree], "&gt;=" &amp; F3)</calculatedColumnFormula>
    </tableColumn>
    <tableColumn id="5" name="Out-Degree Bin" dataDxfId="412"/>
    <tableColumn id="6" name="Out-Degree Frequency" dataDxfId="411">
      <calculatedColumnFormula>COUNTIF(Vertices[Out-Degree], "&gt;= " &amp; H2) - COUNTIF(Vertices[Out-Degree], "&gt;=" &amp; H3)</calculatedColumnFormula>
    </tableColumn>
    <tableColumn id="7" name="Betweenness Centrality Bin" dataDxfId="410"/>
    <tableColumn id="8" name="Betweenness Centrality Frequency" dataDxfId="409">
      <calculatedColumnFormula>COUNTIF(Vertices[Betweenness Centrality], "&gt;= " &amp; J2) - COUNTIF(Vertices[Betweenness Centrality], "&gt;=" &amp; J3)</calculatedColumnFormula>
    </tableColumn>
    <tableColumn id="9" name="Closeness Centrality Bin" dataDxfId="408"/>
    <tableColumn id="10" name="Closeness Centrality Frequency" dataDxfId="407">
      <calculatedColumnFormula>COUNTIF(Vertices[Closeness Centrality], "&gt;= " &amp; L2) - COUNTIF(Vertices[Closeness Centrality], "&gt;=" &amp; L3)</calculatedColumnFormula>
    </tableColumn>
    <tableColumn id="11" name="Eigenvector Centrality Bin" dataDxfId="406"/>
    <tableColumn id="12" name="Eigenvector Centrality Frequency" dataDxfId="405">
      <calculatedColumnFormula>COUNTIF(Vertices[Eigenvector Centrality], "&gt;= " &amp; N2) - COUNTIF(Vertices[Eigenvector Centrality], "&gt;=" &amp; N3)</calculatedColumnFormula>
    </tableColumn>
    <tableColumn id="18" name="PageRank Bin" dataDxfId="404"/>
    <tableColumn id="17" name="PageRank Frequency" dataDxfId="403">
      <calculatedColumnFormula>COUNTIF(Vertices[Eigenvector Centrality], "&gt;= " &amp; P2) - COUNTIF(Vertices[Eigenvector Centrality], "&gt;=" &amp; P3)</calculatedColumnFormula>
    </tableColumn>
    <tableColumn id="13" name="Clustering Coefficient Bin" dataDxfId="402"/>
    <tableColumn id="14" name="Clustering Coefficient Frequency" dataDxfId="401">
      <calculatedColumnFormula>COUNTIF(Vertices[Clustering Coefficient], "&gt;= " &amp; R2) - COUNTIF(Vertices[Clustering Coefficient], "&gt;=" &amp; R3)</calculatedColumnFormula>
    </tableColumn>
    <tableColumn id="15" name="Dynamic Filter Bin" dataDxfId="400"/>
    <tableColumn id="16" name="Dynamic Filter Frequency" dataDxfId="3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transvisionmadrid.com/" TargetMode="External" /><Relationship Id="rId2" Type="http://schemas.openxmlformats.org/officeDocument/2006/relationships/hyperlink" Target="https://www.youtube.com/watch?v=xb0JCOgMsXc&amp;feature=youtu.be" TargetMode="External" /><Relationship Id="rId3" Type="http://schemas.openxmlformats.org/officeDocument/2006/relationships/hyperlink" Target="https://www.youtube.com/watch?v=3JK84n-jsMU" TargetMode="External" /><Relationship Id="rId4" Type="http://schemas.openxmlformats.org/officeDocument/2006/relationships/hyperlink" Target="https://www.youtube.com/watch?v=xb0JCOgMsXc" TargetMode="External" /><Relationship Id="rId5" Type="http://schemas.openxmlformats.org/officeDocument/2006/relationships/hyperlink" Target="https://youtu.be/erkbGlWtX3Q" TargetMode="External" /><Relationship Id="rId6" Type="http://schemas.openxmlformats.org/officeDocument/2006/relationships/hyperlink" Target="https://youtube.com/c/AlianzaFuturista/streams" TargetMode="External" /><Relationship Id="rId7" Type="http://schemas.openxmlformats.org/officeDocument/2006/relationships/hyperlink" Target="https://www.linkedin.com/feed/update/urn:li:share:6997477447952674817" TargetMode="External" /><Relationship Id="rId8" Type="http://schemas.openxmlformats.org/officeDocument/2006/relationships/hyperlink" Target="https://www.abc.es/sociedad/cuatro-espanoles-reposan-congelados-espera-resucitados-20221109220843-nt.html" TargetMode="External" /><Relationship Id="rId9" Type="http://schemas.openxmlformats.org/officeDocument/2006/relationships/hyperlink" Target="https://www.europapress.es/sociedad/noticia-madrid-acoge-fin-semana-cumbre-internacional-criopreservacion-humana-20221111121558.html" TargetMode="External" /><Relationship Id="rId10" Type="http://schemas.openxmlformats.org/officeDocument/2006/relationships/hyperlink" Target="https://www.levante-emv.com/tendencias21/2022/11/12/cumbre-cientifica-inmortalidad-madrid-78418464.html" TargetMode="External" /><Relationship Id="rId11" Type="http://schemas.openxmlformats.org/officeDocument/2006/relationships/hyperlink" Target="https://www.youtube.com/watch?v=xb0JCOgMsXc&amp;feature=youtu.be" TargetMode="External" /><Relationship Id="rId12" Type="http://schemas.openxmlformats.org/officeDocument/2006/relationships/hyperlink" Target="https://youtu.be/erkbGlWtX3Q" TargetMode="External" /><Relationship Id="rId13" Type="http://schemas.openxmlformats.org/officeDocument/2006/relationships/hyperlink" Target="https://www.youtube.com/watch?v=xb0JCOgMsXc" TargetMode="External" /><Relationship Id="rId14" Type="http://schemas.openxmlformats.org/officeDocument/2006/relationships/hyperlink" Target="https://www.youtube.com/watch?v=erkbGlWtX3Q&amp;feature=youtu.be" TargetMode="External" /><Relationship Id="rId15" Type="http://schemas.openxmlformats.org/officeDocument/2006/relationships/hyperlink" Target="https://twitter.com/kgomotsegoRam/status/1591376302753607680" TargetMode="External" /><Relationship Id="rId16" Type="http://schemas.openxmlformats.org/officeDocument/2006/relationships/hyperlink" Target="https://youtu.be/xb0JCOgMsXc" TargetMode="External" /><Relationship Id="rId17" Type="http://schemas.openxmlformats.org/officeDocument/2006/relationships/hyperlink" Target="https://www.linkedin.com/feed/update/urn:li:share:6997135896437231617" TargetMode="External" /><Relationship Id="rId18" Type="http://schemas.openxmlformats.org/officeDocument/2006/relationships/hyperlink" Target="https://www.linkedin.com/feed/update/urn:li:ugcPost:6997204440164241408" TargetMode="External" /><Relationship Id="rId19" Type="http://schemas.openxmlformats.org/officeDocument/2006/relationships/hyperlink" Target="https://www.youtube.com/watch?v=3JK84n-jsMU" TargetMode="External" /><Relationship Id="rId20" Type="http://schemas.openxmlformats.org/officeDocument/2006/relationships/hyperlink" Target="https://youtube.com/c/AlianzaFuturista/streams" TargetMode="External" /><Relationship Id="rId21" Type="http://schemas.openxmlformats.org/officeDocument/2006/relationships/hyperlink" Target="http://transvisionmadrid.com/" TargetMode="External" /><Relationship Id="rId22" Type="http://schemas.openxmlformats.org/officeDocument/2006/relationships/hyperlink" Target="https://www.youtube.com/watch?v=3JK84n-jsMU" TargetMode="External" /><Relationship Id="rId23" Type="http://schemas.openxmlformats.org/officeDocument/2006/relationships/hyperlink" Target="https://www.youtube.com/watch?v=erkbGlWtX3Q" TargetMode="External" /><Relationship Id="rId24" Type="http://schemas.openxmlformats.org/officeDocument/2006/relationships/hyperlink" Target="https://www.abc.es/sociedad/cuatro-espanoles-reposan-congelados-espera-resucitados-20221109220843-nt.html" TargetMode="External" /><Relationship Id="rId25" Type="http://schemas.openxmlformats.org/officeDocument/2006/relationships/hyperlink" Target="https://www.youtube.com/watch?v=xb0JCOgMsXc" TargetMode="External" /><Relationship Id="rId26" Type="http://schemas.openxmlformats.org/officeDocument/2006/relationships/hyperlink" Target="https://www.levante-emv.com/tendencias21/2022/11/12/cumbre-cientifica-inmortalidad-madrid-78418464.html" TargetMode="External" /><Relationship Id="rId27" Type="http://schemas.openxmlformats.org/officeDocument/2006/relationships/hyperlink" Target="https://www.youtube.com/watch?v=xb0JCOgMsXc&amp;feature=youtu.be" TargetMode="External" /><Relationship Id="rId28" Type="http://schemas.openxmlformats.org/officeDocument/2006/relationships/hyperlink" Target="https://www.youtube.com/c/AlianzaFuturista/streams" TargetMode="External" /><Relationship Id="rId29" Type="http://schemas.openxmlformats.org/officeDocument/2006/relationships/hyperlink" Target="https://www.eldebate.com/salud-y-bienestar/salud/20221114/ramon-risco-criopreservacion-viable-humanos_72431.html#utm_source=rrss-comp&amp;utm_medium=wh&amp;utm_campaign=fixed-btn" TargetMode="External" /><Relationship Id="rId30" Type="http://schemas.openxmlformats.org/officeDocument/2006/relationships/hyperlink" Target="https://www.niusdiario.es/ciencia-y-tecnologia/ciencia/20221111/precio-criogenizarse-5000-euros-20-anos_18_07953883.html" TargetMode="External" /><Relationship Id="rId31" Type="http://schemas.openxmlformats.org/officeDocument/2006/relationships/hyperlink" Target="https://www.youtube.com/watch?v=xb0JCOgMsXc&amp;feature=youtu.be" TargetMode="External" /><Relationship Id="rId32" Type="http://schemas.openxmlformats.org/officeDocument/2006/relationships/hyperlink" Target="https://www.youtube.com/c/AlianzaFuturista/streams" TargetMode="External" /><Relationship Id="rId33" Type="http://schemas.openxmlformats.org/officeDocument/2006/relationships/hyperlink" Target="https://www.youtube.com/watch?v=xb0JCOgMsXc" TargetMode="External" /><Relationship Id="rId34" Type="http://schemas.openxmlformats.org/officeDocument/2006/relationships/hyperlink" Target="https://www.youtube.com/watch?v=3JK84n-jsMU" TargetMode="External" /><Relationship Id="rId35" Type="http://schemas.openxmlformats.org/officeDocument/2006/relationships/hyperlink" Target="https://youtube.com/c/AlianzaFuturista/streams" TargetMode="External" /><Relationship Id="rId36" Type="http://schemas.openxmlformats.org/officeDocument/2006/relationships/hyperlink" Target="https://www.linkedin.com/feed/update/urn:li:share:6997477447952674817" TargetMode="External" /><Relationship Id="rId37" Type="http://schemas.openxmlformats.org/officeDocument/2006/relationships/hyperlink" Target="http://transvisionmadrid.com/" TargetMode="External" /><Relationship Id="rId38" Type="http://schemas.openxmlformats.org/officeDocument/2006/relationships/hyperlink" Target="https://www.youtube.com/watch?v=3JK84n-jsMU" TargetMode="External" /><Relationship Id="rId39" Type="http://schemas.openxmlformats.org/officeDocument/2006/relationships/hyperlink" Target="https://www.europapress.es/sociedad/noticia-madrid-acoge-fin-semana-cumbre-internacional-criopreservacion-humana-20221111121558.html" TargetMode="External" /><Relationship Id="rId40" Type="http://schemas.openxmlformats.org/officeDocument/2006/relationships/hyperlink" Target="https://okdiario.com/salud/madrid-acogera-cumbre-internacional-sobre-criopreservacion-pacientes-futura-reanimacion-9945365" TargetMode="External" /><Relationship Id="rId41" Type="http://schemas.openxmlformats.org/officeDocument/2006/relationships/hyperlink" Target="https://www.abc.es/sociedad/cuatro-espanoles-reposan-congelados-espera-resucitados-20221109220843-nt.html" TargetMode="External" /><Relationship Id="rId42" Type="http://schemas.openxmlformats.org/officeDocument/2006/relationships/hyperlink" Target="https://www.youtube.com/watch?v=xb0JCOgMsXc" TargetMode="External" /><Relationship Id="rId43" Type="http://schemas.openxmlformats.org/officeDocument/2006/relationships/hyperlink" Target="https://youtu.be/erkbGlWtX3Q" TargetMode="External" /><Relationship Id="rId44" Type="http://schemas.openxmlformats.org/officeDocument/2006/relationships/hyperlink" Target="https://youtube.com/c/AlianzaFuturista/streams" TargetMode="External" /><Relationship Id="rId45" Type="http://schemas.openxmlformats.org/officeDocument/2006/relationships/hyperlink" Target="https://www.linkedin.com/feed/update/urn:li:share:6997477447952674817" TargetMode="External" /><Relationship Id="rId46" Type="http://schemas.openxmlformats.org/officeDocument/2006/relationships/hyperlink" Target="https://www.linkedin.com/feed/update/urn:li:share:6997498384492191745" TargetMode="External" /><Relationship Id="rId47" Type="http://schemas.openxmlformats.org/officeDocument/2006/relationships/hyperlink" Target="https://www.transvisionmadrid.com/en/2022.html" TargetMode="External" /><Relationship Id="rId48" Type="http://schemas.openxmlformats.org/officeDocument/2006/relationships/hyperlink" Target="https://twitter.com/kgomotsegoRam/status/1591376302753607680" TargetMode="External" /><Relationship Id="rId49" Type="http://schemas.openxmlformats.org/officeDocument/2006/relationships/hyperlink" Target="https://youtube.com/c/AlianzaFuturista/streams" TargetMode="External" /><Relationship Id="rId50" Type="http://schemas.openxmlformats.org/officeDocument/2006/relationships/hyperlink" Target="https://www.linkedin.com/feed/update/urn:li:share:6997477447952674817" TargetMode="External" /><Relationship Id="rId51" Type="http://schemas.openxmlformats.org/officeDocument/2006/relationships/hyperlink" Target="http://transvisionmadrid.com/" TargetMode="External" /><Relationship Id="rId52" Type="http://schemas.openxmlformats.org/officeDocument/2006/relationships/table" Target="../tables/table12.xml" /><Relationship Id="rId53" Type="http://schemas.openxmlformats.org/officeDocument/2006/relationships/table" Target="../tables/table13.xml" /><Relationship Id="rId54" Type="http://schemas.openxmlformats.org/officeDocument/2006/relationships/table" Target="../tables/table14.xml" /><Relationship Id="rId55" Type="http://schemas.openxmlformats.org/officeDocument/2006/relationships/table" Target="../tables/table15.xml" /><Relationship Id="rId56" Type="http://schemas.openxmlformats.org/officeDocument/2006/relationships/table" Target="../tables/table16.xml" /><Relationship Id="rId57" Type="http://schemas.openxmlformats.org/officeDocument/2006/relationships/table" Target="../tables/table17.xml" /><Relationship Id="rId58" Type="http://schemas.openxmlformats.org/officeDocument/2006/relationships/table" Target="../tables/table18.xml" /><Relationship Id="rId5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3"/>
  <sheetViews>
    <sheetView workbookViewId="0" topLeftCell="A1">
      <pane xSplit="2" ySplit="2" topLeftCell="C3" activePane="bottomRight" state="frozen"/>
      <selection pane="topRight" activeCell="C1" sqref="C1"/>
      <selection pane="bottomLeft" activeCell="A3" sqref="A3"/>
      <selection pane="bottomRight" activeCell="B12" sqref="B1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4.421875" style="0" customWidth="1"/>
    <col min="16" max="17" width="10.7109375" style="0" bestFit="1" customWidth="1"/>
    <col min="18" max="18" width="12.7109375" style="0" bestFit="1" customWidth="1"/>
    <col min="19" max="19" width="14.421875" style="0" bestFit="1" customWidth="1"/>
    <col min="20" max="20" width="8.8515625" style="0" bestFit="1" customWidth="1"/>
    <col min="21" max="21" width="9.57421875" style="0" bestFit="1" customWidth="1"/>
    <col min="22" max="22" width="13.140625" style="0" bestFit="1" customWidth="1"/>
    <col min="23" max="23" width="13.28125" style="0" bestFit="1" customWidth="1"/>
    <col min="24" max="24" width="11.00390625" style="0" bestFit="1" customWidth="1"/>
    <col min="25" max="25" width="14.7109375" style="0" bestFit="1" customWidth="1"/>
    <col min="26" max="26" width="13.421875" style="0" bestFit="1" customWidth="1"/>
    <col min="27" max="27" width="7.421875" style="0" bestFit="1" customWidth="1"/>
    <col min="28" max="28" width="7.7109375" style="0" bestFit="1" customWidth="1"/>
    <col min="29" max="29" width="14.421875" style="0" bestFit="1" customWidth="1"/>
    <col min="30" max="30" width="10.57421875" style="0" bestFit="1" customWidth="1"/>
    <col min="31" max="31" width="12.140625" style="0" bestFit="1" customWidth="1"/>
    <col min="32" max="32" width="11.57421875" style="0" bestFit="1" customWidth="1"/>
    <col min="33" max="33" width="13.57421875" style="0" bestFit="1" customWidth="1"/>
    <col min="34" max="34" width="11.7109375" style="0" bestFit="1" customWidth="1"/>
    <col min="35" max="35" width="10.57421875" style="0" bestFit="1" customWidth="1"/>
    <col min="36" max="36" width="13.57421875" style="0" bestFit="1" customWidth="1"/>
    <col min="37" max="37" width="10.7109375" style="0" bestFit="1" customWidth="1"/>
    <col min="38" max="38" width="11.57421875" style="0" bestFit="1" customWidth="1"/>
    <col min="39" max="39" width="11.421875" style="0" bestFit="1" customWidth="1"/>
    <col min="40" max="40" width="11.00390625" style="0" bestFit="1" customWidth="1"/>
    <col min="41" max="41" width="13.140625" style="0" bestFit="1" customWidth="1"/>
    <col min="42" max="42" width="10.8515625" style="0" bestFit="1" customWidth="1"/>
    <col min="43" max="43" width="13.140625" style="0" bestFit="1" customWidth="1"/>
    <col min="44" max="44" width="9.28125" style="0" bestFit="1" customWidth="1"/>
    <col min="45" max="45" width="12.140625" style="0" bestFit="1" customWidth="1"/>
    <col min="46" max="46" width="12.00390625" style="0" bestFit="1" customWidth="1"/>
    <col min="47" max="47" width="13.57421875" style="0" bestFit="1" customWidth="1"/>
    <col min="48" max="48" width="20.7109375" style="0" bestFit="1" customWidth="1"/>
    <col min="49" max="49" width="19.57421875" style="0" bestFit="1" customWidth="1"/>
    <col min="50" max="50" width="16.8515625" style="0" bestFit="1" customWidth="1"/>
    <col min="51" max="51" width="10.28125" style="0" bestFit="1" customWidth="1"/>
    <col min="52" max="52" width="15.421875" style="0" bestFit="1" customWidth="1"/>
    <col min="53" max="53" width="11.7109375" style="0" bestFit="1" customWidth="1"/>
    <col min="54" max="54" width="10.28125" style="0" bestFit="1" customWidth="1"/>
    <col min="55" max="55" width="8.57421875" style="0" bestFit="1" customWidth="1"/>
    <col min="56" max="57" width="8.0039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t="s">
        <v>175</v>
      </c>
      <c r="P2" s="7" t="s">
        <v>177</v>
      </c>
      <c r="Q2" s="7" t="s">
        <v>178</v>
      </c>
      <c r="R2" s="7" t="s">
        <v>239</v>
      </c>
      <c r="S2" s="7" t="s">
        <v>240</v>
      </c>
      <c r="T2" s="7" t="s">
        <v>241</v>
      </c>
      <c r="U2" s="7" t="s">
        <v>242</v>
      </c>
      <c r="V2" s="7" t="s">
        <v>243</v>
      </c>
      <c r="W2" s="7" t="s">
        <v>244</v>
      </c>
      <c r="X2" s="7" t="s">
        <v>245</v>
      </c>
      <c r="Y2" s="7" t="s">
        <v>246</v>
      </c>
      <c r="Z2" s="7" t="s">
        <v>247</v>
      </c>
      <c r="AA2" s="7" t="s">
        <v>248</v>
      </c>
      <c r="AB2" s="7" t="s">
        <v>249</v>
      </c>
      <c r="AC2" s="7" t="s">
        <v>250</v>
      </c>
      <c r="AD2" s="7" t="s">
        <v>251</v>
      </c>
      <c r="AE2" s="7" t="s">
        <v>252</v>
      </c>
      <c r="AF2" s="7" t="s">
        <v>253</v>
      </c>
      <c r="AG2" s="7" t="s">
        <v>254</v>
      </c>
      <c r="AH2" s="7" t="s">
        <v>255</v>
      </c>
      <c r="AI2" s="7" t="s">
        <v>256</v>
      </c>
      <c r="AJ2" s="7" t="s">
        <v>257</v>
      </c>
      <c r="AK2" s="7" t="s">
        <v>258</v>
      </c>
      <c r="AL2" s="7" t="s">
        <v>259</v>
      </c>
      <c r="AM2" s="7" t="s">
        <v>260</v>
      </c>
      <c r="AN2" s="7" t="s">
        <v>261</v>
      </c>
      <c r="AO2" s="7" t="s">
        <v>262</v>
      </c>
      <c r="AP2" s="7" t="s">
        <v>263</v>
      </c>
      <c r="AQ2" s="7" t="s">
        <v>264</v>
      </c>
      <c r="AR2" s="7" t="s">
        <v>265</v>
      </c>
      <c r="AS2" s="7" t="s">
        <v>266</v>
      </c>
      <c r="AT2" s="7" t="s">
        <v>267</v>
      </c>
      <c r="AU2" s="7" t="s">
        <v>268</v>
      </c>
      <c r="AV2" s="7" t="s">
        <v>269</v>
      </c>
      <c r="AW2" s="7" t="s">
        <v>270</v>
      </c>
      <c r="AX2" s="7" t="s">
        <v>271</v>
      </c>
      <c r="AY2" s="7" t="s">
        <v>272</v>
      </c>
      <c r="AZ2" s="7" t="s">
        <v>273</v>
      </c>
      <c r="BA2" s="7" t="s">
        <v>274</v>
      </c>
      <c r="BB2" s="7" t="s">
        <v>275</v>
      </c>
      <c r="BC2" s="7" t="s">
        <v>276</v>
      </c>
      <c r="BD2" s="7" t="s">
        <v>277</v>
      </c>
      <c r="BE2" s="7" t="s">
        <v>278</v>
      </c>
      <c r="BF2" s="50" t="s">
        <v>1449</v>
      </c>
      <c r="BG2" s="50" t="s">
        <v>1450</v>
      </c>
      <c r="BH2" s="50" t="s">
        <v>1451</v>
      </c>
      <c r="BI2" s="50" t="s">
        <v>1452</v>
      </c>
      <c r="BJ2" s="50" t="s">
        <v>1453</v>
      </c>
      <c r="BK2" s="50" t="s">
        <v>1454</v>
      </c>
      <c r="BL2" s="50" t="s">
        <v>1455</v>
      </c>
      <c r="BM2" s="50" t="s">
        <v>1456</v>
      </c>
      <c r="BN2" s="50" t="s">
        <v>1457</v>
      </c>
    </row>
    <row r="3" spans="1:66" ht="15" customHeight="1">
      <c r="A3" s="62" t="s">
        <v>306</v>
      </c>
      <c r="B3" s="62" t="s">
        <v>305</v>
      </c>
      <c r="C3" s="64" t="s">
        <v>1504</v>
      </c>
      <c r="D3" s="67">
        <v>3</v>
      </c>
      <c r="E3" s="68" t="s">
        <v>132</v>
      </c>
      <c r="F3" s="69">
        <v>32</v>
      </c>
      <c r="G3" s="64"/>
      <c r="H3" s="70"/>
      <c r="I3" s="71"/>
      <c r="J3" s="71"/>
      <c r="K3" s="31" t="s">
        <v>65</v>
      </c>
      <c r="L3" s="72">
        <v>3</v>
      </c>
      <c r="M3" s="72"/>
      <c r="N3" s="73"/>
      <c r="O3" s="63">
        <v>1</v>
      </c>
      <c r="P3" s="63" t="str">
        <f>REPLACE(INDEX(GroupVertices[Group],MATCH(Edges[[#This Row],[Vertex 1]],GroupVertices[Vertex],0)),1,1,"")</f>
        <v>4</v>
      </c>
      <c r="Q3" s="63" t="str">
        <f>REPLACE(INDEX(GroupVertices[Group],MATCH(Edges[[#This Row],[Vertex 2]],GroupVertices[Vertex],0)),1,1,"")</f>
        <v>4</v>
      </c>
      <c r="R3" s="63" t="s">
        <v>315</v>
      </c>
      <c r="S3" s="90">
        <v>44877.382881944446</v>
      </c>
      <c r="T3" s="63" t="s">
        <v>376</v>
      </c>
      <c r="U3" s="93" t="str">
        <f>HYPERLINK("https://www.europapress.es/sociedad/noticia-madrid-acoge-fin-semana-cumbre-internacional-criopreservacion-humana-20221111121558.html")</f>
        <v>https://www.europapress.es/sociedad/noticia-madrid-acoge-fin-semana-cumbre-internacional-criopreservacion-humana-20221111121558.html</v>
      </c>
      <c r="V3" s="63" t="s">
        <v>404</v>
      </c>
      <c r="W3" s="96" t="s">
        <v>425</v>
      </c>
      <c r="X3" s="93" t="str">
        <f>HYPERLINK("https://pbs.twimg.com/media/FhWjLDyWQAAHiUO.jpg")</f>
        <v>https://pbs.twimg.com/media/FhWjLDyWQAAHiUO.jpg</v>
      </c>
      <c r="Y3" s="93" t="str">
        <f>HYPERLINK("https://pbs.twimg.com/media/FhWjLDyWQAAHiUO.jpg")</f>
        <v>https://pbs.twimg.com/media/FhWjLDyWQAAHiUO.jpg</v>
      </c>
      <c r="Z3" s="90">
        <v>44877.382881944446</v>
      </c>
      <c r="AA3" s="99">
        <v>44877</v>
      </c>
      <c r="AB3" s="96" t="s">
        <v>574</v>
      </c>
      <c r="AC3" s="93" t="str">
        <f>HYPERLINK("https://twitter.com/augustofenollar/status/1591357972751736833")</f>
        <v>https://twitter.com/augustofenollar/status/1591357972751736833</v>
      </c>
      <c r="AD3" s="63"/>
      <c r="AE3" s="63"/>
      <c r="AF3" s="96" t="s">
        <v>711</v>
      </c>
      <c r="AG3" s="63"/>
      <c r="AH3" s="63" t="b">
        <v>0</v>
      </c>
      <c r="AI3" s="63">
        <v>0</v>
      </c>
      <c r="AJ3" s="96" t="s">
        <v>712</v>
      </c>
      <c r="AK3" s="63" t="b">
        <v>0</v>
      </c>
      <c r="AL3" s="63" t="s">
        <v>715</v>
      </c>
      <c r="AM3" s="63"/>
      <c r="AN3" s="96" t="s">
        <v>712</v>
      </c>
      <c r="AO3" s="63" t="b">
        <v>0</v>
      </c>
      <c r="AP3" s="63">
        <v>1</v>
      </c>
      <c r="AQ3" s="96" t="s">
        <v>686</v>
      </c>
      <c r="AR3" s="96" t="s">
        <v>719</v>
      </c>
      <c r="AS3" s="63" t="b">
        <v>0</v>
      </c>
      <c r="AT3" s="96" t="s">
        <v>686</v>
      </c>
      <c r="AU3" s="63" t="s">
        <v>241</v>
      </c>
      <c r="AV3" s="63">
        <v>0</v>
      </c>
      <c r="AW3" s="63">
        <v>0</v>
      </c>
      <c r="AX3" s="63"/>
      <c r="AY3" s="63"/>
      <c r="AZ3" s="63"/>
      <c r="BA3" s="63"/>
      <c r="BB3" s="63"/>
      <c r="BC3" s="63"/>
      <c r="BD3" s="63"/>
      <c r="BE3" s="63"/>
      <c r="BF3" s="45">
        <v>0</v>
      </c>
      <c r="BG3" s="46">
        <v>0</v>
      </c>
      <c r="BH3" s="45">
        <v>0</v>
      </c>
      <c r="BI3" s="46">
        <v>0</v>
      </c>
      <c r="BJ3" s="45">
        <v>0</v>
      </c>
      <c r="BK3" s="46">
        <v>0</v>
      </c>
      <c r="BL3" s="45">
        <v>10</v>
      </c>
      <c r="BM3" s="46">
        <v>76.92307692307692</v>
      </c>
      <c r="BN3" s="45">
        <v>13</v>
      </c>
    </row>
    <row r="4" spans="1:66" ht="15" customHeight="1">
      <c r="A4" s="62" t="s">
        <v>279</v>
      </c>
      <c r="B4" s="62" t="s">
        <v>304</v>
      </c>
      <c r="C4" s="64" t="s">
        <v>1504</v>
      </c>
      <c r="D4" s="67">
        <v>3</v>
      </c>
      <c r="E4" s="68" t="s">
        <v>132</v>
      </c>
      <c r="F4" s="69">
        <v>32</v>
      </c>
      <c r="G4" s="64"/>
      <c r="H4" s="70"/>
      <c r="I4" s="71"/>
      <c r="J4" s="71"/>
      <c r="K4" s="31" t="s">
        <v>65</v>
      </c>
      <c r="L4" s="79">
        <v>4</v>
      </c>
      <c r="M4" s="79"/>
      <c r="N4" s="73"/>
      <c r="O4" s="66">
        <v>1</v>
      </c>
      <c r="P4" s="63" t="str">
        <f>REPLACE(INDEX(GroupVertices[Group],MATCH(Edges[[#This Row],[Vertex 1]],GroupVertices[Vertex],0)),1,1,"")</f>
        <v>5</v>
      </c>
      <c r="Q4" s="63" t="str">
        <f>REPLACE(INDEX(GroupVertices[Group],MATCH(Edges[[#This Row],[Vertex 2]],GroupVertices[Vertex],0)),1,1,"")</f>
        <v>5</v>
      </c>
      <c r="R4" s="66" t="s">
        <v>315</v>
      </c>
      <c r="S4" s="91">
        <v>44877.38689814815</v>
      </c>
      <c r="T4" s="66" t="s">
        <v>318</v>
      </c>
      <c r="U4" s="66"/>
      <c r="V4" s="66"/>
      <c r="W4" s="97" t="s">
        <v>421</v>
      </c>
      <c r="X4" s="94" t="str">
        <f>HYPERLINK("https://pbs.twimg.com/media/FhWdWZuXwAAO13Y.jpg")</f>
        <v>https://pbs.twimg.com/media/FhWdWZuXwAAO13Y.jpg</v>
      </c>
      <c r="Y4" s="94" t="str">
        <f>HYPERLINK("https://pbs.twimg.com/media/FhWdWZuXwAAO13Y.jpg")</f>
        <v>https://pbs.twimg.com/media/FhWdWZuXwAAO13Y.jpg</v>
      </c>
      <c r="Z4" s="91">
        <v>44877.38689814815</v>
      </c>
      <c r="AA4" s="100">
        <v>44877</v>
      </c>
      <c r="AB4" s="97" t="s">
        <v>442</v>
      </c>
      <c r="AC4" s="94" t="str">
        <f>HYPERLINK("https://twitter.com/steelearcher/status/1591359429030858752")</f>
        <v>https://twitter.com/steelearcher/status/1591359429030858752</v>
      </c>
      <c r="AD4" s="66"/>
      <c r="AE4" s="66"/>
      <c r="AF4" s="97" t="s">
        <v>575</v>
      </c>
      <c r="AG4" s="66"/>
      <c r="AH4" s="66" t="b">
        <v>0</v>
      </c>
      <c r="AI4" s="66">
        <v>0</v>
      </c>
      <c r="AJ4" s="97" t="s">
        <v>712</v>
      </c>
      <c r="AK4" s="66" t="b">
        <v>0</v>
      </c>
      <c r="AL4" s="66" t="s">
        <v>714</v>
      </c>
      <c r="AM4" s="66"/>
      <c r="AN4" s="97" t="s">
        <v>712</v>
      </c>
      <c r="AO4" s="66" t="b">
        <v>0</v>
      </c>
      <c r="AP4" s="66">
        <v>6</v>
      </c>
      <c r="AQ4" s="97" t="s">
        <v>638</v>
      </c>
      <c r="AR4" s="97" t="s">
        <v>717</v>
      </c>
      <c r="AS4" s="66" t="b">
        <v>0</v>
      </c>
      <c r="AT4" s="97" t="s">
        <v>638</v>
      </c>
      <c r="AU4" s="66" t="s">
        <v>241</v>
      </c>
      <c r="AV4" s="66">
        <v>0</v>
      </c>
      <c r="AW4" s="66">
        <v>0</v>
      </c>
      <c r="AX4" s="66"/>
      <c r="AY4" s="66"/>
      <c r="AZ4" s="66"/>
      <c r="BA4" s="66"/>
      <c r="BB4" s="66"/>
      <c r="BC4" s="66"/>
      <c r="BD4" s="66"/>
      <c r="BE4" s="66"/>
      <c r="BF4" s="45">
        <v>0</v>
      </c>
      <c r="BG4" s="46">
        <v>0</v>
      </c>
      <c r="BH4" s="45">
        <v>0</v>
      </c>
      <c r="BI4" s="46">
        <v>0</v>
      </c>
      <c r="BJ4" s="45">
        <v>0</v>
      </c>
      <c r="BK4" s="46">
        <v>0</v>
      </c>
      <c r="BL4" s="45">
        <v>5</v>
      </c>
      <c r="BM4" s="46">
        <v>83.33333333333333</v>
      </c>
      <c r="BN4" s="45">
        <v>6</v>
      </c>
    </row>
    <row r="5" spans="1:66" ht="15">
      <c r="A5" s="62" t="s">
        <v>280</v>
      </c>
      <c r="B5" s="62" t="s">
        <v>305</v>
      </c>
      <c r="C5" s="64" t="s">
        <v>1504</v>
      </c>
      <c r="D5" s="67">
        <v>3</v>
      </c>
      <c r="E5" s="68" t="s">
        <v>132</v>
      </c>
      <c r="F5" s="69">
        <v>32</v>
      </c>
      <c r="G5" s="64"/>
      <c r="H5" s="70"/>
      <c r="I5" s="71"/>
      <c r="J5" s="71"/>
      <c r="K5" s="31" t="s">
        <v>65</v>
      </c>
      <c r="L5" s="79">
        <v>5</v>
      </c>
      <c r="M5" s="79"/>
      <c r="N5" s="73"/>
      <c r="O5" s="66">
        <v>1</v>
      </c>
      <c r="P5" s="63" t="str">
        <f>REPLACE(INDEX(GroupVertices[Group],MATCH(Edges[[#This Row],[Vertex 1]],GroupVertices[Vertex],0)),1,1,"")</f>
        <v>4</v>
      </c>
      <c r="Q5" s="63" t="str">
        <f>REPLACE(INDEX(GroupVertices[Group],MATCH(Edges[[#This Row],[Vertex 2]],GroupVertices[Vertex],0)),1,1,"")</f>
        <v>4</v>
      </c>
      <c r="R5" s="66" t="s">
        <v>315</v>
      </c>
      <c r="S5" s="91">
        <v>44877.399664351855</v>
      </c>
      <c r="T5" s="66" t="s">
        <v>319</v>
      </c>
      <c r="U5" s="94" t="str">
        <f>HYPERLINK("https://www.abc.es/sociedad/cuatro-espanoles-reposan-congelados-espera-resucitados-20221109220843-nt.html")</f>
        <v>https://www.abc.es/sociedad/cuatro-espanoles-reposan-congelados-espera-resucitados-20221109220843-nt.html</v>
      </c>
      <c r="V5" s="66" t="s">
        <v>402</v>
      </c>
      <c r="W5" s="97" t="s">
        <v>422</v>
      </c>
      <c r="X5" s="66"/>
      <c r="Y5" s="94" t="str">
        <f>HYPERLINK("https://pbs.twimg.com/profile_images/1257305529614909447/tpcVvGbz_normal.jpg")</f>
        <v>https://pbs.twimg.com/profile_images/1257305529614909447/tpcVvGbz_normal.jpg</v>
      </c>
      <c r="Z5" s="91">
        <v>44877.399664351855</v>
      </c>
      <c r="AA5" s="100">
        <v>44877</v>
      </c>
      <c r="AB5" s="97" t="s">
        <v>443</v>
      </c>
      <c r="AC5" s="94" t="str">
        <f>HYPERLINK("https://twitter.com/martin_heyam/status/1591364056849391616")</f>
        <v>https://twitter.com/martin_heyam/status/1591364056849391616</v>
      </c>
      <c r="AD5" s="66"/>
      <c r="AE5" s="66"/>
      <c r="AF5" s="97" t="s">
        <v>576</v>
      </c>
      <c r="AG5" s="66"/>
      <c r="AH5" s="66" t="b">
        <v>0</v>
      </c>
      <c r="AI5" s="66">
        <v>0</v>
      </c>
      <c r="AJ5" s="97" t="s">
        <v>712</v>
      </c>
      <c r="AK5" s="66" t="b">
        <v>0</v>
      </c>
      <c r="AL5" s="66" t="s">
        <v>715</v>
      </c>
      <c r="AM5" s="66"/>
      <c r="AN5" s="97" t="s">
        <v>712</v>
      </c>
      <c r="AO5" s="66" t="b">
        <v>0</v>
      </c>
      <c r="AP5" s="66">
        <v>2</v>
      </c>
      <c r="AQ5" s="97" t="s">
        <v>687</v>
      </c>
      <c r="AR5" s="97" t="s">
        <v>718</v>
      </c>
      <c r="AS5" s="66" t="b">
        <v>0</v>
      </c>
      <c r="AT5" s="97" t="s">
        <v>687</v>
      </c>
      <c r="AU5" s="66" t="s">
        <v>241</v>
      </c>
      <c r="AV5" s="66">
        <v>0</v>
      </c>
      <c r="AW5" s="66">
        <v>0</v>
      </c>
      <c r="AX5" s="66"/>
      <c r="AY5" s="66"/>
      <c r="AZ5" s="66"/>
      <c r="BA5" s="66"/>
      <c r="BB5" s="66"/>
      <c r="BC5" s="66"/>
      <c r="BD5" s="66"/>
      <c r="BE5" s="66"/>
      <c r="BF5" s="45">
        <v>0</v>
      </c>
      <c r="BG5" s="46">
        <v>0</v>
      </c>
      <c r="BH5" s="45">
        <v>0</v>
      </c>
      <c r="BI5" s="46">
        <v>0</v>
      </c>
      <c r="BJ5" s="45">
        <v>0</v>
      </c>
      <c r="BK5" s="46">
        <v>0</v>
      </c>
      <c r="BL5" s="45">
        <v>23</v>
      </c>
      <c r="BM5" s="46">
        <v>67.6470588235294</v>
      </c>
      <c r="BN5" s="45">
        <v>34</v>
      </c>
    </row>
    <row r="6" spans="1:66" ht="15">
      <c r="A6" s="62" t="s">
        <v>281</v>
      </c>
      <c r="B6" s="62" t="s">
        <v>305</v>
      </c>
      <c r="C6" s="64" t="s">
        <v>1504</v>
      </c>
      <c r="D6" s="67">
        <v>3</v>
      </c>
      <c r="E6" s="68" t="s">
        <v>132</v>
      </c>
      <c r="F6" s="69">
        <v>32</v>
      </c>
      <c r="G6" s="64"/>
      <c r="H6" s="70"/>
      <c r="I6" s="71"/>
      <c r="J6" s="71"/>
      <c r="K6" s="31" t="s">
        <v>65</v>
      </c>
      <c r="L6" s="79">
        <v>6</v>
      </c>
      <c r="M6" s="79"/>
      <c r="N6" s="73"/>
      <c r="O6" s="66">
        <v>1</v>
      </c>
      <c r="P6" s="63" t="str">
        <f>REPLACE(INDEX(GroupVertices[Group],MATCH(Edges[[#This Row],[Vertex 1]],GroupVertices[Vertex],0)),1,1,"")</f>
        <v>3</v>
      </c>
      <c r="Q6" s="63" t="str">
        <f>REPLACE(INDEX(GroupVertices[Group],MATCH(Edges[[#This Row],[Vertex 2]],GroupVertices[Vertex],0)),1,1,"")</f>
        <v>4</v>
      </c>
      <c r="R6" s="66" t="s">
        <v>316</v>
      </c>
      <c r="S6" s="91">
        <v>44877.433344907404</v>
      </c>
      <c r="T6" s="66" t="s">
        <v>320</v>
      </c>
      <c r="U6" s="94" t="str">
        <f>HYPERLINK("https://www.youtube.com/watch?v=xb0JCOgMsXc&amp;feature=youtu.be")</f>
        <v>https://www.youtube.com/watch?v=xb0JCOgMsXc&amp;feature=youtu.be</v>
      </c>
      <c r="V6" s="66" t="s">
        <v>403</v>
      </c>
      <c r="W6" s="97" t="s">
        <v>423</v>
      </c>
      <c r="X6" s="94" t="str">
        <f>HYPERLINK("https://pbs.twimg.com/media/FhWu7YzX0AEJMfI.png")</f>
        <v>https://pbs.twimg.com/media/FhWu7YzX0AEJMfI.png</v>
      </c>
      <c r="Y6" s="94" t="str">
        <f>HYPERLINK("https://pbs.twimg.com/media/FhWu7YzX0AEJMfI.png")</f>
        <v>https://pbs.twimg.com/media/FhWu7YzX0AEJMfI.png</v>
      </c>
      <c r="Z6" s="91">
        <v>44877.433344907404</v>
      </c>
      <c r="AA6" s="100">
        <v>44877</v>
      </c>
      <c r="AB6" s="97" t="s">
        <v>444</v>
      </c>
      <c r="AC6" s="94" t="str">
        <f>HYPERLINK("https://twitter.com/larkkarles/status/1591376258633728002")</f>
        <v>https://twitter.com/larkkarles/status/1591376258633728002</v>
      </c>
      <c r="AD6" s="66"/>
      <c r="AE6" s="66"/>
      <c r="AF6" s="97" t="s">
        <v>577</v>
      </c>
      <c r="AG6" s="66"/>
      <c r="AH6" s="66" t="b">
        <v>0</v>
      </c>
      <c r="AI6" s="66">
        <v>0</v>
      </c>
      <c r="AJ6" s="97" t="s">
        <v>712</v>
      </c>
      <c r="AK6" s="66" t="b">
        <v>0</v>
      </c>
      <c r="AL6" s="66" t="s">
        <v>715</v>
      </c>
      <c r="AM6" s="66"/>
      <c r="AN6" s="97" t="s">
        <v>712</v>
      </c>
      <c r="AO6" s="66" t="b">
        <v>0</v>
      </c>
      <c r="AP6" s="66">
        <v>5</v>
      </c>
      <c r="AQ6" s="97" t="s">
        <v>613</v>
      </c>
      <c r="AR6" s="97" t="s">
        <v>717</v>
      </c>
      <c r="AS6" s="66" t="b">
        <v>0</v>
      </c>
      <c r="AT6" s="97" t="s">
        <v>613</v>
      </c>
      <c r="AU6" s="66" t="s">
        <v>241</v>
      </c>
      <c r="AV6" s="66">
        <v>0</v>
      </c>
      <c r="AW6" s="66">
        <v>0</v>
      </c>
      <c r="AX6" s="66"/>
      <c r="AY6" s="66"/>
      <c r="AZ6" s="66"/>
      <c r="BA6" s="66"/>
      <c r="BB6" s="66"/>
      <c r="BC6" s="66"/>
      <c r="BD6" s="66"/>
      <c r="BE6" s="66"/>
      <c r="BF6" s="45"/>
      <c r="BG6" s="46"/>
      <c r="BH6" s="45"/>
      <c r="BI6" s="46"/>
      <c r="BJ6" s="45"/>
      <c r="BK6" s="46"/>
      <c r="BL6" s="45"/>
      <c r="BM6" s="46"/>
      <c r="BN6" s="45"/>
    </row>
    <row r="7" spans="1:66" ht="15">
      <c r="A7" s="62" t="s">
        <v>281</v>
      </c>
      <c r="B7" s="62" t="s">
        <v>300</v>
      </c>
      <c r="C7" s="64" t="s">
        <v>1504</v>
      </c>
      <c r="D7" s="67">
        <v>3</v>
      </c>
      <c r="E7" s="68" t="s">
        <v>132</v>
      </c>
      <c r="F7" s="69">
        <v>32</v>
      </c>
      <c r="G7" s="64"/>
      <c r="H7" s="70"/>
      <c r="I7" s="71"/>
      <c r="J7" s="71"/>
      <c r="K7" s="31" t="s">
        <v>65</v>
      </c>
      <c r="L7" s="79">
        <v>7</v>
      </c>
      <c r="M7" s="79"/>
      <c r="N7" s="73"/>
      <c r="O7" s="66">
        <v>1</v>
      </c>
      <c r="P7" s="63" t="str">
        <f>REPLACE(INDEX(GroupVertices[Group],MATCH(Edges[[#This Row],[Vertex 1]],GroupVertices[Vertex],0)),1,1,"")</f>
        <v>3</v>
      </c>
      <c r="Q7" s="63" t="str">
        <f>REPLACE(INDEX(GroupVertices[Group],MATCH(Edges[[#This Row],[Vertex 2]],GroupVertices[Vertex],0)),1,1,"")</f>
        <v>3</v>
      </c>
      <c r="R7" s="66" t="s">
        <v>316</v>
      </c>
      <c r="S7" s="91">
        <v>44877.433344907404</v>
      </c>
      <c r="T7" s="66" t="s">
        <v>320</v>
      </c>
      <c r="U7" s="94" t="str">
        <f>HYPERLINK("https://www.youtube.com/watch?v=xb0JCOgMsXc&amp;feature=youtu.be")</f>
        <v>https://www.youtube.com/watch?v=xb0JCOgMsXc&amp;feature=youtu.be</v>
      </c>
      <c r="V7" s="66" t="s">
        <v>403</v>
      </c>
      <c r="W7" s="97" t="s">
        <v>423</v>
      </c>
      <c r="X7" s="94" t="str">
        <f>HYPERLINK("https://pbs.twimg.com/media/FhWu7YzX0AEJMfI.png")</f>
        <v>https://pbs.twimg.com/media/FhWu7YzX0AEJMfI.png</v>
      </c>
      <c r="Y7" s="94" t="str">
        <f>HYPERLINK("https://pbs.twimg.com/media/FhWu7YzX0AEJMfI.png")</f>
        <v>https://pbs.twimg.com/media/FhWu7YzX0AEJMfI.png</v>
      </c>
      <c r="Z7" s="91">
        <v>44877.433344907404</v>
      </c>
      <c r="AA7" s="100">
        <v>44877</v>
      </c>
      <c r="AB7" s="97" t="s">
        <v>444</v>
      </c>
      <c r="AC7" s="94" t="str">
        <f>HYPERLINK("https://twitter.com/larkkarles/status/1591376258633728002")</f>
        <v>https://twitter.com/larkkarles/status/1591376258633728002</v>
      </c>
      <c r="AD7" s="66"/>
      <c r="AE7" s="66"/>
      <c r="AF7" s="97" t="s">
        <v>577</v>
      </c>
      <c r="AG7" s="66"/>
      <c r="AH7" s="66" t="b">
        <v>0</v>
      </c>
      <c r="AI7" s="66">
        <v>0</v>
      </c>
      <c r="AJ7" s="97" t="s">
        <v>712</v>
      </c>
      <c r="AK7" s="66" t="b">
        <v>0</v>
      </c>
      <c r="AL7" s="66" t="s">
        <v>715</v>
      </c>
      <c r="AM7" s="66"/>
      <c r="AN7" s="97" t="s">
        <v>712</v>
      </c>
      <c r="AO7" s="66" t="b">
        <v>0</v>
      </c>
      <c r="AP7" s="66">
        <v>5</v>
      </c>
      <c r="AQ7" s="97" t="s">
        <v>613</v>
      </c>
      <c r="AR7" s="97" t="s">
        <v>717</v>
      </c>
      <c r="AS7" s="66" t="b">
        <v>0</v>
      </c>
      <c r="AT7" s="97" t="s">
        <v>613</v>
      </c>
      <c r="AU7" s="66" t="s">
        <v>241</v>
      </c>
      <c r="AV7" s="66">
        <v>0</v>
      </c>
      <c r="AW7" s="66">
        <v>0</v>
      </c>
      <c r="AX7" s="66"/>
      <c r="AY7" s="66"/>
      <c r="AZ7" s="66"/>
      <c r="BA7" s="66"/>
      <c r="BB7" s="66"/>
      <c r="BC7" s="66"/>
      <c r="BD7" s="66"/>
      <c r="BE7" s="66"/>
      <c r="BF7" s="45"/>
      <c r="BG7" s="46"/>
      <c r="BH7" s="45"/>
      <c r="BI7" s="46"/>
      <c r="BJ7" s="45"/>
      <c r="BK7" s="46"/>
      <c r="BL7" s="45"/>
      <c r="BM7" s="46"/>
      <c r="BN7" s="45"/>
    </row>
    <row r="8" spans="1:66" ht="15">
      <c r="A8" s="62" t="s">
        <v>281</v>
      </c>
      <c r="B8" s="62" t="s">
        <v>301</v>
      </c>
      <c r="C8" s="64" t="s">
        <v>1504</v>
      </c>
      <c r="D8" s="67">
        <v>3</v>
      </c>
      <c r="E8" s="68" t="s">
        <v>132</v>
      </c>
      <c r="F8" s="69">
        <v>32</v>
      </c>
      <c r="G8" s="64"/>
      <c r="H8" s="70"/>
      <c r="I8" s="71"/>
      <c r="J8" s="71"/>
      <c r="K8" s="31" t="s">
        <v>65</v>
      </c>
      <c r="L8" s="79">
        <v>8</v>
      </c>
      <c r="M8" s="79"/>
      <c r="N8" s="73"/>
      <c r="O8" s="66">
        <v>1</v>
      </c>
      <c r="P8" s="63" t="str">
        <f>REPLACE(INDEX(GroupVertices[Group],MATCH(Edges[[#This Row],[Vertex 1]],GroupVertices[Vertex],0)),1,1,"")</f>
        <v>3</v>
      </c>
      <c r="Q8" s="63" t="str">
        <f>REPLACE(INDEX(GroupVertices[Group],MATCH(Edges[[#This Row],[Vertex 2]],GroupVertices[Vertex],0)),1,1,"")</f>
        <v>3</v>
      </c>
      <c r="R8" s="66" t="s">
        <v>316</v>
      </c>
      <c r="S8" s="91">
        <v>44877.433344907404</v>
      </c>
      <c r="T8" s="66" t="s">
        <v>320</v>
      </c>
      <c r="U8" s="94" t="str">
        <f>HYPERLINK("https://www.youtube.com/watch?v=xb0JCOgMsXc&amp;feature=youtu.be")</f>
        <v>https://www.youtube.com/watch?v=xb0JCOgMsXc&amp;feature=youtu.be</v>
      </c>
      <c r="V8" s="66" t="s">
        <v>403</v>
      </c>
      <c r="W8" s="97" t="s">
        <v>423</v>
      </c>
      <c r="X8" s="94" t="str">
        <f>HYPERLINK("https://pbs.twimg.com/media/FhWu7YzX0AEJMfI.png")</f>
        <v>https://pbs.twimg.com/media/FhWu7YzX0AEJMfI.png</v>
      </c>
      <c r="Y8" s="94" t="str">
        <f>HYPERLINK("https://pbs.twimg.com/media/FhWu7YzX0AEJMfI.png")</f>
        <v>https://pbs.twimg.com/media/FhWu7YzX0AEJMfI.png</v>
      </c>
      <c r="Z8" s="91">
        <v>44877.433344907404</v>
      </c>
      <c r="AA8" s="100">
        <v>44877</v>
      </c>
      <c r="AB8" s="97" t="s">
        <v>444</v>
      </c>
      <c r="AC8" s="94" t="str">
        <f>HYPERLINK("https://twitter.com/larkkarles/status/1591376258633728002")</f>
        <v>https://twitter.com/larkkarles/status/1591376258633728002</v>
      </c>
      <c r="AD8" s="66"/>
      <c r="AE8" s="66"/>
      <c r="AF8" s="97" t="s">
        <v>577</v>
      </c>
      <c r="AG8" s="66"/>
      <c r="AH8" s="66" t="b">
        <v>0</v>
      </c>
      <c r="AI8" s="66">
        <v>0</v>
      </c>
      <c r="AJ8" s="97" t="s">
        <v>712</v>
      </c>
      <c r="AK8" s="66" t="b">
        <v>0</v>
      </c>
      <c r="AL8" s="66" t="s">
        <v>715</v>
      </c>
      <c r="AM8" s="66"/>
      <c r="AN8" s="97" t="s">
        <v>712</v>
      </c>
      <c r="AO8" s="66" t="b">
        <v>0</v>
      </c>
      <c r="AP8" s="66">
        <v>5</v>
      </c>
      <c r="AQ8" s="97" t="s">
        <v>613</v>
      </c>
      <c r="AR8" s="97" t="s">
        <v>717</v>
      </c>
      <c r="AS8" s="66" t="b">
        <v>0</v>
      </c>
      <c r="AT8" s="97" t="s">
        <v>613</v>
      </c>
      <c r="AU8" s="66" t="s">
        <v>241</v>
      </c>
      <c r="AV8" s="66">
        <v>0</v>
      </c>
      <c r="AW8" s="66">
        <v>0</v>
      </c>
      <c r="AX8" s="66"/>
      <c r="AY8" s="66"/>
      <c r="AZ8" s="66"/>
      <c r="BA8" s="66"/>
      <c r="BB8" s="66"/>
      <c r="BC8" s="66"/>
      <c r="BD8" s="66"/>
      <c r="BE8" s="66"/>
      <c r="BF8" s="45"/>
      <c r="BG8" s="46"/>
      <c r="BH8" s="45"/>
      <c r="BI8" s="46"/>
      <c r="BJ8" s="45"/>
      <c r="BK8" s="46"/>
      <c r="BL8" s="45"/>
      <c r="BM8" s="46"/>
      <c r="BN8" s="45"/>
    </row>
    <row r="9" spans="1:66" ht="15">
      <c r="A9" s="62" t="s">
        <v>281</v>
      </c>
      <c r="B9" s="62" t="s">
        <v>307</v>
      </c>
      <c r="C9" s="64" t="s">
        <v>1504</v>
      </c>
      <c r="D9" s="67">
        <v>3</v>
      </c>
      <c r="E9" s="68" t="s">
        <v>132</v>
      </c>
      <c r="F9" s="69">
        <v>32</v>
      </c>
      <c r="G9" s="64"/>
      <c r="H9" s="70"/>
      <c r="I9" s="71"/>
      <c r="J9" s="71"/>
      <c r="K9" s="31" t="s">
        <v>65</v>
      </c>
      <c r="L9" s="79">
        <v>9</v>
      </c>
      <c r="M9" s="79"/>
      <c r="N9" s="73"/>
      <c r="O9" s="66">
        <v>1</v>
      </c>
      <c r="P9" s="63" t="str">
        <f>REPLACE(INDEX(GroupVertices[Group],MATCH(Edges[[#This Row],[Vertex 1]],GroupVertices[Vertex],0)),1,1,"")</f>
        <v>3</v>
      </c>
      <c r="Q9" s="63" t="str">
        <f>REPLACE(INDEX(GroupVertices[Group],MATCH(Edges[[#This Row],[Vertex 2]],GroupVertices[Vertex],0)),1,1,"")</f>
        <v>3</v>
      </c>
      <c r="R9" s="66" t="s">
        <v>316</v>
      </c>
      <c r="S9" s="91">
        <v>44877.433344907404</v>
      </c>
      <c r="T9" s="66" t="s">
        <v>320</v>
      </c>
      <c r="U9" s="94" t="str">
        <f>HYPERLINK("https://www.youtube.com/watch?v=xb0JCOgMsXc&amp;feature=youtu.be")</f>
        <v>https://www.youtube.com/watch?v=xb0JCOgMsXc&amp;feature=youtu.be</v>
      </c>
      <c r="V9" s="66" t="s">
        <v>403</v>
      </c>
      <c r="W9" s="97" t="s">
        <v>423</v>
      </c>
      <c r="X9" s="94" t="str">
        <f>HYPERLINK("https://pbs.twimg.com/media/FhWu7YzX0AEJMfI.png")</f>
        <v>https://pbs.twimg.com/media/FhWu7YzX0AEJMfI.png</v>
      </c>
      <c r="Y9" s="94" t="str">
        <f>HYPERLINK("https://pbs.twimg.com/media/FhWu7YzX0AEJMfI.png")</f>
        <v>https://pbs.twimg.com/media/FhWu7YzX0AEJMfI.png</v>
      </c>
      <c r="Z9" s="91">
        <v>44877.433344907404</v>
      </c>
      <c r="AA9" s="100">
        <v>44877</v>
      </c>
      <c r="AB9" s="97" t="s">
        <v>444</v>
      </c>
      <c r="AC9" s="94" t="str">
        <f>HYPERLINK("https://twitter.com/larkkarles/status/1591376258633728002")</f>
        <v>https://twitter.com/larkkarles/status/1591376258633728002</v>
      </c>
      <c r="AD9" s="66"/>
      <c r="AE9" s="66"/>
      <c r="AF9" s="97" t="s">
        <v>577</v>
      </c>
      <c r="AG9" s="66"/>
      <c r="AH9" s="66" t="b">
        <v>0</v>
      </c>
      <c r="AI9" s="66">
        <v>0</v>
      </c>
      <c r="AJ9" s="97" t="s">
        <v>712</v>
      </c>
      <c r="AK9" s="66" t="b">
        <v>0</v>
      </c>
      <c r="AL9" s="66" t="s">
        <v>715</v>
      </c>
      <c r="AM9" s="66"/>
      <c r="AN9" s="97" t="s">
        <v>712</v>
      </c>
      <c r="AO9" s="66" t="b">
        <v>0</v>
      </c>
      <c r="AP9" s="66">
        <v>5</v>
      </c>
      <c r="AQ9" s="97" t="s">
        <v>613</v>
      </c>
      <c r="AR9" s="97" t="s">
        <v>717</v>
      </c>
      <c r="AS9" s="66" t="b">
        <v>0</v>
      </c>
      <c r="AT9" s="97" t="s">
        <v>613</v>
      </c>
      <c r="AU9" s="66" t="s">
        <v>241</v>
      </c>
      <c r="AV9" s="66">
        <v>0</v>
      </c>
      <c r="AW9" s="66">
        <v>0</v>
      </c>
      <c r="AX9" s="66"/>
      <c r="AY9" s="66"/>
      <c r="AZ9" s="66"/>
      <c r="BA9" s="66"/>
      <c r="BB9" s="66"/>
      <c r="BC9" s="66"/>
      <c r="BD9" s="66"/>
      <c r="BE9" s="66"/>
      <c r="BF9" s="45"/>
      <c r="BG9" s="46"/>
      <c r="BH9" s="45"/>
      <c r="BI9" s="46"/>
      <c r="BJ9" s="45"/>
      <c r="BK9" s="46"/>
      <c r="BL9" s="45"/>
      <c r="BM9" s="46"/>
      <c r="BN9" s="45"/>
    </row>
    <row r="10" spans="1:66" ht="15">
      <c r="A10" s="62" t="s">
        <v>281</v>
      </c>
      <c r="B10" s="62" t="s">
        <v>308</v>
      </c>
      <c r="C10" s="64" t="s">
        <v>1504</v>
      </c>
      <c r="D10" s="67">
        <v>3</v>
      </c>
      <c r="E10" s="68" t="s">
        <v>132</v>
      </c>
      <c r="F10" s="69">
        <v>32</v>
      </c>
      <c r="G10" s="64"/>
      <c r="H10" s="70"/>
      <c r="I10" s="71"/>
      <c r="J10" s="71"/>
      <c r="K10" s="31" t="s">
        <v>65</v>
      </c>
      <c r="L10" s="79">
        <v>10</v>
      </c>
      <c r="M10" s="79"/>
      <c r="N10" s="73"/>
      <c r="O10" s="66">
        <v>1</v>
      </c>
      <c r="P10" s="63" t="str">
        <f>REPLACE(INDEX(GroupVertices[Group],MATCH(Edges[[#This Row],[Vertex 1]],GroupVertices[Vertex],0)),1,1,"")</f>
        <v>3</v>
      </c>
      <c r="Q10" s="63" t="str">
        <f>REPLACE(INDEX(GroupVertices[Group],MATCH(Edges[[#This Row],[Vertex 2]],GroupVertices[Vertex],0)),1,1,"")</f>
        <v>3</v>
      </c>
      <c r="R10" s="66" t="s">
        <v>316</v>
      </c>
      <c r="S10" s="91">
        <v>44877.433344907404</v>
      </c>
      <c r="T10" s="66" t="s">
        <v>320</v>
      </c>
      <c r="U10" s="94" t="str">
        <f>HYPERLINK("https://www.youtube.com/watch?v=xb0JCOgMsXc&amp;feature=youtu.be")</f>
        <v>https://www.youtube.com/watch?v=xb0JCOgMsXc&amp;feature=youtu.be</v>
      </c>
      <c r="V10" s="66" t="s">
        <v>403</v>
      </c>
      <c r="W10" s="97" t="s">
        <v>423</v>
      </c>
      <c r="X10" s="94" t="str">
        <f>HYPERLINK("https://pbs.twimg.com/media/FhWu7YzX0AEJMfI.png")</f>
        <v>https://pbs.twimg.com/media/FhWu7YzX0AEJMfI.png</v>
      </c>
      <c r="Y10" s="94" t="str">
        <f>HYPERLINK("https://pbs.twimg.com/media/FhWu7YzX0AEJMfI.png")</f>
        <v>https://pbs.twimg.com/media/FhWu7YzX0AEJMfI.png</v>
      </c>
      <c r="Z10" s="91">
        <v>44877.433344907404</v>
      </c>
      <c r="AA10" s="100">
        <v>44877</v>
      </c>
      <c r="AB10" s="97" t="s">
        <v>444</v>
      </c>
      <c r="AC10" s="94" t="str">
        <f>HYPERLINK("https://twitter.com/larkkarles/status/1591376258633728002")</f>
        <v>https://twitter.com/larkkarles/status/1591376258633728002</v>
      </c>
      <c r="AD10" s="66"/>
      <c r="AE10" s="66"/>
      <c r="AF10" s="97" t="s">
        <v>577</v>
      </c>
      <c r="AG10" s="66"/>
      <c r="AH10" s="66" t="b">
        <v>0</v>
      </c>
      <c r="AI10" s="66">
        <v>0</v>
      </c>
      <c r="AJ10" s="97" t="s">
        <v>712</v>
      </c>
      <c r="AK10" s="66" t="b">
        <v>0</v>
      </c>
      <c r="AL10" s="66" t="s">
        <v>715</v>
      </c>
      <c r="AM10" s="66"/>
      <c r="AN10" s="97" t="s">
        <v>712</v>
      </c>
      <c r="AO10" s="66" t="b">
        <v>0</v>
      </c>
      <c r="AP10" s="66">
        <v>5</v>
      </c>
      <c r="AQ10" s="97" t="s">
        <v>613</v>
      </c>
      <c r="AR10" s="97" t="s">
        <v>717</v>
      </c>
      <c r="AS10" s="66" t="b">
        <v>0</v>
      </c>
      <c r="AT10" s="97" t="s">
        <v>613</v>
      </c>
      <c r="AU10" s="66" t="s">
        <v>241</v>
      </c>
      <c r="AV10" s="66">
        <v>0</v>
      </c>
      <c r="AW10" s="66">
        <v>0</v>
      </c>
      <c r="AX10" s="66"/>
      <c r="AY10" s="66"/>
      <c r="AZ10" s="66"/>
      <c r="BA10" s="66"/>
      <c r="BB10" s="66"/>
      <c r="BC10" s="66"/>
      <c r="BD10" s="66"/>
      <c r="BE10" s="66"/>
      <c r="BF10" s="45"/>
      <c r="BG10" s="46"/>
      <c r="BH10" s="45"/>
      <c r="BI10" s="46"/>
      <c r="BJ10" s="45"/>
      <c r="BK10" s="46"/>
      <c r="BL10" s="45"/>
      <c r="BM10" s="46"/>
      <c r="BN10" s="45"/>
    </row>
    <row r="11" spans="1:66" ht="15">
      <c r="A11" s="62" t="s">
        <v>281</v>
      </c>
      <c r="B11" s="62" t="s">
        <v>298</v>
      </c>
      <c r="C11" s="64" t="s">
        <v>1504</v>
      </c>
      <c r="D11" s="67">
        <v>3</v>
      </c>
      <c r="E11" s="68" t="s">
        <v>132</v>
      </c>
      <c r="F11" s="69">
        <v>32</v>
      </c>
      <c r="G11" s="64"/>
      <c r="H11" s="70"/>
      <c r="I11" s="71"/>
      <c r="J11" s="71"/>
      <c r="K11" s="31" t="s">
        <v>65</v>
      </c>
      <c r="L11" s="79">
        <v>11</v>
      </c>
      <c r="M11" s="79"/>
      <c r="N11" s="73"/>
      <c r="O11" s="66">
        <v>1</v>
      </c>
      <c r="P11" s="63" t="str">
        <f>REPLACE(INDEX(GroupVertices[Group],MATCH(Edges[[#This Row],[Vertex 1]],GroupVertices[Vertex],0)),1,1,"")</f>
        <v>3</v>
      </c>
      <c r="Q11" s="63" t="str">
        <f>REPLACE(INDEX(GroupVertices[Group],MATCH(Edges[[#This Row],[Vertex 2]],GroupVertices[Vertex],0)),1,1,"")</f>
        <v>2</v>
      </c>
      <c r="R11" s="66" t="s">
        <v>315</v>
      </c>
      <c r="S11" s="91">
        <v>44877.433344907404</v>
      </c>
      <c r="T11" s="66" t="s">
        <v>320</v>
      </c>
      <c r="U11" s="94" t="str">
        <f>HYPERLINK("https://www.youtube.com/watch?v=xb0JCOgMsXc&amp;feature=youtu.be")</f>
        <v>https://www.youtube.com/watch?v=xb0JCOgMsXc&amp;feature=youtu.be</v>
      </c>
      <c r="V11" s="66" t="s">
        <v>403</v>
      </c>
      <c r="W11" s="97" t="s">
        <v>423</v>
      </c>
      <c r="X11" s="94" t="str">
        <f>HYPERLINK("https://pbs.twimg.com/media/FhWu7YzX0AEJMfI.png")</f>
        <v>https://pbs.twimg.com/media/FhWu7YzX0AEJMfI.png</v>
      </c>
      <c r="Y11" s="94" t="str">
        <f>HYPERLINK("https://pbs.twimg.com/media/FhWu7YzX0AEJMfI.png")</f>
        <v>https://pbs.twimg.com/media/FhWu7YzX0AEJMfI.png</v>
      </c>
      <c r="Z11" s="91">
        <v>44877.433344907404</v>
      </c>
      <c r="AA11" s="100">
        <v>44877</v>
      </c>
      <c r="AB11" s="97" t="s">
        <v>444</v>
      </c>
      <c r="AC11" s="94" t="str">
        <f>HYPERLINK("https://twitter.com/larkkarles/status/1591376258633728002")</f>
        <v>https://twitter.com/larkkarles/status/1591376258633728002</v>
      </c>
      <c r="AD11" s="66"/>
      <c r="AE11" s="66"/>
      <c r="AF11" s="97" t="s">
        <v>577</v>
      </c>
      <c r="AG11" s="66"/>
      <c r="AH11" s="66" t="b">
        <v>0</v>
      </c>
      <c r="AI11" s="66">
        <v>0</v>
      </c>
      <c r="AJ11" s="97" t="s">
        <v>712</v>
      </c>
      <c r="AK11" s="66" t="b">
        <v>0</v>
      </c>
      <c r="AL11" s="66" t="s">
        <v>715</v>
      </c>
      <c r="AM11" s="66"/>
      <c r="AN11" s="97" t="s">
        <v>712</v>
      </c>
      <c r="AO11" s="66" t="b">
        <v>0</v>
      </c>
      <c r="AP11" s="66">
        <v>5</v>
      </c>
      <c r="AQ11" s="97" t="s">
        <v>613</v>
      </c>
      <c r="AR11" s="97" t="s">
        <v>717</v>
      </c>
      <c r="AS11" s="66" t="b">
        <v>0</v>
      </c>
      <c r="AT11" s="97" t="s">
        <v>613</v>
      </c>
      <c r="AU11" s="66" t="s">
        <v>241</v>
      </c>
      <c r="AV11" s="66">
        <v>0</v>
      </c>
      <c r="AW11" s="66">
        <v>0</v>
      </c>
      <c r="AX11" s="66"/>
      <c r="AY11" s="66"/>
      <c r="AZ11" s="66"/>
      <c r="BA11" s="66"/>
      <c r="BB11" s="66"/>
      <c r="BC11" s="66"/>
      <c r="BD11" s="66"/>
      <c r="BE11" s="66"/>
      <c r="BF11" s="45">
        <v>0</v>
      </c>
      <c r="BG11" s="46">
        <v>0</v>
      </c>
      <c r="BH11" s="45">
        <v>0</v>
      </c>
      <c r="BI11" s="46">
        <v>0</v>
      </c>
      <c r="BJ11" s="45">
        <v>0</v>
      </c>
      <c r="BK11" s="46">
        <v>0</v>
      </c>
      <c r="BL11" s="45">
        <v>15</v>
      </c>
      <c r="BM11" s="46">
        <v>83.33333333333333</v>
      </c>
      <c r="BN11" s="45">
        <v>18</v>
      </c>
    </row>
    <row r="12" spans="1:66" ht="15">
      <c r="A12" s="62" t="s">
        <v>282</v>
      </c>
      <c r="B12" s="62" t="s">
        <v>304</v>
      </c>
      <c r="C12" s="64" t="s">
        <v>1504</v>
      </c>
      <c r="D12" s="67">
        <v>3</v>
      </c>
      <c r="E12" s="68" t="s">
        <v>132</v>
      </c>
      <c r="F12" s="69">
        <v>32</v>
      </c>
      <c r="G12" s="64"/>
      <c r="H12" s="70"/>
      <c r="I12" s="71"/>
      <c r="J12" s="71"/>
      <c r="K12" s="31" t="s">
        <v>65</v>
      </c>
      <c r="L12" s="79">
        <v>12</v>
      </c>
      <c r="M12" s="79"/>
      <c r="N12" s="73"/>
      <c r="O12" s="66">
        <v>1</v>
      </c>
      <c r="P12" s="63" t="str">
        <f>REPLACE(INDEX(GroupVertices[Group],MATCH(Edges[[#This Row],[Vertex 1]],GroupVertices[Vertex],0)),1,1,"")</f>
        <v>1</v>
      </c>
      <c r="Q12" s="63" t="str">
        <f>REPLACE(INDEX(GroupVertices[Group],MATCH(Edges[[#This Row],[Vertex 2]],GroupVertices[Vertex],0)),1,1,"")</f>
        <v>5</v>
      </c>
      <c r="R12" s="66" t="s">
        <v>316</v>
      </c>
      <c r="S12" s="91">
        <v>44877.56675925926</v>
      </c>
      <c r="T12" s="66" t="s">
        <v>321</v>
      </c>
      <c r="U12" s="94" t="str">
        <f>HYPERLINK("https://www.youtube.com/watch?v=xb0JCOgMsXc&amp;feature=youtu.be")</f>
        <v>https://www.youtube.com/watch?v=xb0JCOgMsXc&amp;feature=youtu.be</v>
      </c>
      <c r="V12" s="66" t="s">
        <v>403</v>
      </c>
      <c r="W12" s="97" t="s">
        <v>424</v>
      </c>
      <c r="X12" s="94" t="str">
        <f>HYPERLINK("https://pbs.twimg.com/media/FhW7ZTpXkAAZ4Hh.jpg")</f>
        <v>https://pbs.twimg.com/media/FhW7ZTpXkAAZ4Hh.jpg</v>
      </c>
      <c r="Y12" s="94" t="str">
        <f>HYPERLINK("https://pbs.twimg.com/media/FhW7ZTpXkAAZ4Hh.jpg")</f>
        <v>https://pbs.twimg.com/media/FhW7ZTpXkAAZ4Hh.jpg</v>
      </c>
      <c r="Z12" s="91">
        <v>44877.56675925926</v>
      </c>
      <c r="AA12" s="100">
        <v>44877</v>
      </c>
      <c r="AB12" s="97" t="s">
        <v>445</v>
      </c>
      <c r="AC12" s="94" t="str">
        <f>HYPERLINK("https://twitter.com/paoloigna1/status/1591424607005052928")</f>
        <v>https://twitter.com/paoloigna1/status/1591424607005052928</v>
      </c>
      <c r="AD12" s="66"/>
      <c r="AE12" s="66"/>
      <c r="AF12" s="97" t="s">
        <v>578</v>
      </c>
      <c r="AG12" s="66"/>
      <c r="AH12" s="66" t="b">
        <v>0</v>
      </c>
      <c r="AI12" s="66">
        <v>0</v>
      </c>
      <c r="AJ12" s="97" t="s">
        <v>712</v>
      </c>
      <c r="AK12" s="66" t="b">
        <v>0</v>
      </c>
      <c r="AL12" s="66" t="s">
        <v>715</v>
      </c>
      <c r="AM12" s="66"/>
      <c r="AN12" s="97" t="s">
        <v>712</v>
      </c>
      <c r="AO12" s="66" t="b">
        <v>0</v>
      </c>
      <c r="AP12" s="66">
        <v>5</v>
      </c>
      <c r="AQ12" s="97" t="s">
        <v>601</v>
      </c>
      <c r="AR12" s="97" t="s">
        <v>717</v>
      </c>
      <c r="AS12" s="66" t="b">
        <v>0</v>
      </c>
      <c r="AT12" s="97" t="s">
        <v>601</v>
      </c>
      <c r="AU12" s="66" t="s">
        <v>241</v>
      </c>
      <c r="AV12" s="66">
        <v>0</v>
      </c>
      <c r="AW12" s="66">
        <v>0</v>
      </c>
      <c r="AX12" s="66"/>
      <c r="AY12" s="66"/>
      <c r="AZ12" s="66"/>
      <c r="BA12" s="66"/>
      <c r="BB12" s="66"/>
      <c r="BC12" s="66"/>
      <c r="BD12" s="66"/>
      <c r="BE12" s="66"/>
      <c r="BF12" s="45"/>
      <c r="BG12" s="46"/>
      <c r="BH12" s="45"/>
      <c r="BI12" s="46"/>
      <c r="BJ12" s="45"/>
      <c r="BK12" s="46"/>
      <c r="BL12" s="45"/>
      <c r="BM12" s="46"/>
      <c r="BN12" s="45"/>
    </row>
    <row r="13" spans="1:66" ht="15">
      <c r="A13" s="62" t="s">
        <v>282</v>
      </c>
      <c r="B13" s="62" t="s">
        <v>309</v>
      </c>
      <c r="C13" s="64" t="s">
        <v>1504</v>
      </c>
      <c r="D13" s="67">
        <v>3</v>
      </c>
      <c r="E13" s="68" t="s">
        <v>132</v>
      </c>
      <c r="F13" s="69">
        <v>32</v>
      </c>
      <c r="G13" s="64"/>
      <c r="H13" s="70"/>
      <c r="I13" s="71"/>
      <c r="J13" s="71"/>
      <c r="K13" s="31" t="s">
        <v>65</v>
      </c>
      <c r="L13" s="79">
        <v>13</v>
      </c>
      <c r="M13" s="79"/>
      <c r="N13" s="73"/>
      <c r="O13" s="66">
        <v>1</v>
      </c>
      <c r="P13" s="63" t="str">
        <f>REPLACE(INDEX(GroupVertices[Group],MATCH(Edges[[#This Row],[Vertex 1]],GroupVertices[Vertex],0)),1,1,"")</f>
        <v>1</v>
      </c>
      <c r="Q13" s="63" t="str">
        <f>REPLACE(INDEX(GroupVertices[Group],MATCH(Edges[[#This Row],[Vertex 2]],GroupVertices[Vertex],0)),1,1,"")</f>
        <v>1</v>
      </c>
      <c r="R13" s="66" t="s">
        <v>316</v>
      </c>
      <c r="S13" s="91">
        <v>44877.56675925926</v>
      </c>
      <c r="T13" s="66" t="s">
        <v>321</v>
      </c>
      <c r="U13" s="94" t="str">
        <f>HYPERLINK("https://www.youtube.com/watch?v=xb0JCOgMsXc&amp;feature=youtu.be")</f>
        <v>https://www.youtube.com/watch?v=xb0JCOgMsXc&amp;feature=youtu.be</v>
      </c>
      <c r="V13" s="66" t="s">
        <v>403</v>
      </c>
      <c r="W13" s="97" t="s">
        <v>424</v>
      </c>
      <c r="X13" s="94" t="str">
        <f>HYPERLINK("https://pbs.twimg.com/media/FhW7ZTpXkAAZ4Hh.jpg")</f>
        <v>https://pbs.twimg.com/media/FhW7ZTpXkAAZ4Hh.jpg</v>
      </c>
      <c r="Y13" s="94" t="str">
        <f>HYPERLINK("https://pbs.twimg.com/media/FhW7ZTpXkAAZ4Hh.jpg")</f>
        <v>https://pbs.twimg.com/media/FhW7ZTpXkAAZ4Hh.jpg</v>
      </c>
      <c r="Z13" s="91">
        <v>44877.56675925926</v>
      </c>
      <c r="AA13" s="100">
        <v>44877</v>
      </c>
      <c r="AB13" s="97" t="s">
        <v>445</v>
      </c>
      <c r="AC13" s="94" t="str">
        <f>HYPERLINK("https://twitter.com/paoloigna1/status/1591424607005052928")</f>
        <v>https://twitter.com/paoloigna1/status/1591424607005052928</v>
      </c>
      <c r="AD13" s="66"/>
      <c r="AE13" s="66"/>
      <c r="AF13" s="97" t="s">
        <v>578</v>
      </c>
      <c r="AG13" s="66"/>
      <c r="AH13" s="66" t="b">
        <v>0</v>
      </c>
      <c r="AI13" s="66">
        <v>0</v>
      </c>
      <c r="AJ13" s="97" t="s">
        <v>712</v>
      </c>
      <c r="AK13" s="66" t="b">
        <v>0</v>
      </c>
      <c r="AL13" s="66" t="s">
        <v>715</v>
      </c>
      <c r="AM13" s="66"/>
      <c r="AN13" s="97" t="s">
        <v>712</v>
      </c>
      <c r="AO13" s="66" t="b">
        <v>0</v>
      </c>
      <c r="AP13" s="66">
        <v>5</v>
      </c>
      <c r="AQ13" s="97" t="s">
        <v>601</v>
      </c>
      <c r="AR13" s="97" t="s">
        <v>717</v>
      </c>
      <c r="AS13" s="66" t="b">
        <v>0</v>
      </c>
      <c r="AT13" s="97" t="s">
        <v>601</v>
      </c>
      <c r="AU13" s="66" t="s">
        <v>241</v>
      </c>
      <c r="AV13" s="66">
        <v>0</v>
      </c>
      <c r="AW13" s="66">
        <v>0</v>
      </c>
      <c r="AX13" s="66"/>
      <c r="AY13" s="66"/>
      <c r="AZ13" s="66"/>
      <c r="BA13" s="66"/>
      <c r="BB13" s="66"/>
      <c r="BC13" s="66"/>
      <c r="BD13" s="66"/>
      <c r="BE13" s="66"/>
      <c r="BF13" s="45"/>
      <c r="BG13" s="46"/>
      <c r="BH13" s="45"/>
      <c r="BI13" s="46"/>
      <c r="BJ13" s="45"/>
      <c r="BK13" s="46"/>
      <c r="BL13" s="45"/>
      <c r="BM13" s="46"/>
      <c r="BN13" s="45"/>
    </row>
    <row r="14" spans="1:66" ht="15">
      <c r="A14" s="62" t="s">
        <v>282</v>
      </c>
      <c r="B14" s="62" t="s">
        <v>308</v>
      </c>
      <c r="C14" s="64" t="s">
        <v>1504</v>
      </c>
      <c r="D14" s="67">
        <v>3</v>
      </c>
      <c r="E14" s="68" t="s">
        <v>132</v>
      </c>
      <c r="F14" s="69">
        <v>32</v>
      </c>
      <c r="G14" s="64"/>
      <c r="H14" s="70"/>
      <c r="I14" s="71"/>
      <c r="J14" s="71"/>
      <c r="K14" s="31" t="s">
        <v>65</v>
      </c>
      <c r="L14" s="79">
        <v>14</v>
      </c>
      <c r="M14" s="79"/>
      <c r="N14" s="73"/>
      <c r="O14" s="66">
        <v>1</v>
      </c>
      <c r="P14" s="63" t="str">
        <f>REPLACE(INDEX(GroupVertices[Group],MATCH(Edges[[#This Row],[Vertex 1]],GroupVertices[Vertex],0)),1,1,"")</f>
        <v>1</v>
      </c>
      <c r="Q14" s="63" t="str">
        <f>REPLACE(INDEX(GroupVertices[Group],MATCH(Edges[[#This Row],[Vertex 2]],GroupVertices[Vertex],0)),1,1,"")</f>
        <v>3</v>
      </c>
      <c r="R14" s="66" t="s">
        <v>316</v>
      </c>
      <c r="S14" s="91">
        <v>44877.56675925926</v>
      </c>
      <c r="T14" s="66" t="s">
        <v>321</v>
      </c>
      <c r="U14" s="94" t="str">
        <f>HYPERLINK("https://www.youtube.com/watch?v=xb0JCOgMsXc&amp;feature=youtu.be")</f>
        <v>https://www.youtube.com/watch?v=xb0JCOgMsXc&amp;feature=youtu.be</v>
      </c>
      <c r="V14" s="66" t="s">
        <v>403</v>
      </c>
      <c r="W14" s="97" t="s">
        <v>424</v>
      </c>
      <c r="X14" s="94" t="str">
        <f>HYPERLINK("https://pbs.twimg.com/media/FhW7ZTpXkAAZ4Hh.jpg")</f>
        <v>https://pbs.twimg.com/media/FhW7ZTpXkAAZ4Hh.jpg</v>
      </c>
      <c r="Y14" s="94" t="str">
        <f>HYPERLINK("https://pbs.twimg.com/media/FhW7ZTpXkAAZ4Hh.jpg")</f>
        <v>https://pbs.twimg.com/media/FhW7ZTpXkAAZ4Hh.jpg</v>
      </c>
      <c r="Z14" s="91">
        <v>44877.56675925926</v>
      </c>
      <c r="AA14" s="100">
        <v>44877</v>
      </c>
      <c r="AB14" s="97" t="s">
        <v>445</v>
      </c>
      <c r="AC14" s="94" t="str">
        <f>HYPERLINK("https://twitter.com/paoloigna1/status/1591424607005052928")</f>
        <v>https://twitter.com/paoloigna1/status/1591424607005052928</v>
      </c>
      <c r="AD14" s="66"/>
      <c r="AE14" s="66"/>
      <c r="AF14" s="97" t="s">
        <v>578</v>
      </c>
      <c r="AG14" s="66"/>
      <c r="AH14" s="66" t="b">
        <v>0</v>
      </c>
      <c r="AI14" s="66">
        <v>0</v>
      </c>
      <c r="AJ14" s="97" t="s">
        <v>712</v>
      </c>
      <c r="AK14" s="66" t="b">
        <v>0</v>
      </c>
      <c r="AL14" s="66" t="s">
        <v>715</v>
      </c>
      <c r="AM14" s="66"/>
      <c r="AN14" s="97" t="s">
        <v>712</v>
      </c>
      <c r="AO14" s="66" t="b">
        <v>0</v>
      </c>
      <c r="AP14" s="66">
        <v>5</v>
      </c>
      <c r="AQ14" s="97" t="s">
        <v>601</v>
      </c>
      <c r="AR14" s="97" t="s">
        <v>717</v>
      </c>
      <c r="AS14" s="66" t="b">
        <v>0</v>
      </c>
      <c r="AT14" s="97" t="s">
        <v>601</v>
      </c>
      <c r="AU14" s="66" t="s">
        <v>241</v>
      </c>
      <c r="AV14" s="66">
        <v>0</v>
      </c>
      <c r="AW14" s="66">
        <v>0</v>
      </c>
      <c r="AX14" s="66"/>
      <c r="AY14" s="66"/>
      <c r="AZ14" s="66"/>
      <c r="BA14" s="66"/>
      <c r="BB14" s="66"/>
      <c r="BC14" s="66"/>
      <c r="BD14" s="66"/>
      <c r="BE14" s="66"/>
      <c r="BF14" s="45"/>
      <c r="BG14" s="46"/>
      <c r="BH14" s="45"/>
      <c r="BI14" s="46"/>
      <c r="BJ14" s="45"/>
      <c r="BK14" s="46"/>
      <c r="BL14" s="45"/>
      <c r="BM14" s="46"/>
      <c r="BN14" s="45"/>
    </row>
    <row r="15" spans="1:66" ht="15">
      <c r="A15" s="62" t="s">
        <v>282</v>
      </c>
      <c r="B15" s="62" t="s">
        <v>310</v>
      </c>
      <c r="C15" s="64" t="s">
        <v>1504</v>
      </c>
      <c r="D15" s="67">
        <v>3</v>
      </c>
      <c r="E15" s="68" t="s">
        <v>132</v>
      </c>
      <c r="F15" s="69">
        <v>32</v>
      </c>
      <c r="G15" s="64"/>
      <c r="H15" s="70"/>
      <c r="I15" s="71"/>
      <c r="J15" s="71"/>
      <c r="K15" s="31" t="s">
        <v>65</v>
      </c>
      <c r="L15" s="79">
        <v>15</v>
      </c>
      <c r="M15" s="79"/>
      <c r="N15" s="73"/>
      <c r="O15" s="66">
        <v>1</v>
      </c>
      <c r="P15" s="63" t="str">
        <f>REPLACE(INDEX(GroupVertices[Group],MATCH(Edges[[#This Row],[Vertex 1]],GroupVertices[Vertex],0)),1,1,"")</f>
        <v>1</v>
      </c>
      <c r="Q15" s="63" t="str">
        <f>REPLACE(INDEX(GroupVertices[Group],MATCH(Edges[[#This Row],[Vertex 2]],GroupVertices[Vertex],0)),1,1,"")</f>
        <v>2</v>
      </c>
      <c r="R15" s="66" t="s">
        <v>316</v>
      </c>
      <c r="S15" s="91">
        <v>44877.56675925926</v>
      </c>
      <c r="T15" s="66" t="s">
        <v>321</v>
      </c>
      <c r="U15" s="94" t="str">
        <f>HYPERLINK("https://www.youtube.com/watch?v=xb0JCOgMsXc&amp;feature=youtu.be")</f>
        <v>https://www.youtube.com/watch?v=xb0JCOgMsXc&amp;feature=youtu.be</v>
      </c>
      <c r="V15" s="66" t="s">
        <v>403</v>
      </c>
      <c r="W15" s="97" t="s">
        <v>424</v>
      </c>
      <c r="X15" s="94" t="str">
        <f>HYPERLINK("https://pbs.twimg.com/media/FhW7ZTpXkAAZ4Hh.jpg")</f>
        <v>https://pbs.twimg.com/media/FhW7ZTpXkAAZ4Hh.jpg</v>
      </c>
      <c r="Y15" s="94" t="str">
        <f>HYPERLINK("https://pbs.twimg.com/media/FhW7ZTpXkAAZ4Hh.jpg")</f>
        <v>https://pbs.twimg.com/media/FhW7ZTpXkAAZ4Hh.jpg</v>
      </c>
      <c r="Z15" s="91">
        <v>44877.56675925926</v>
      </c>
      <c r="AA15" s="100">
        <v>44877</v>
      </c>
      <c r="AB15" s="97" t="s">
        <v>445</v>
      </c>
      <c r="AC15" s="94" t="str">
        <f>HYPERLINK("https://twitter.com/paoloigna1/status/1591424607005052928")</f>
        <v>https://twitter.com/paoloigna1/status/1591424607005052928</v>
      </c>
      <c r="AD15" s="66"/>
      <c r="AE15" s="66"/>
      <c r="AF15" s="97" t="s">
        <v>578</v>
      </c>
      <c r="AG15" s="66"/>
      <c r="AH15" s="66" t="b">
        <v>0</v>
      </c>
      <c r="AI15" s="66">
        <v>0</v>
      </c>
      <c r="AJ15" s="97" t="s">
        <v>712</v>
      </c>
      <c r="AK15" s="66" t="b">
        <v>0</v>
      </c>
      <c r="AL15" s="66" t="s">
        <v>715</v>
      </c>
      <c r="AM15" s="66"/>
      <c r="AN15" s="97" t="s">
        <v>712</v>
      </c>
      <c r="AO15" s="66" t="b">
        <v>0</v>
      </c>
      <c r="AP15" s="66">
        <v>5</v>
      </c>
      <c r="AQ15" s="97" t="s">
        <v>601</v>
      </c>
      <c r="AR15" s="97" t="s">
        <v>717</v>
      </c>
      <c r="AS15" s="66" t="b">
        <v>0</v>
      </c>
      <c r="AT15" s="97" t="s">
        <v>601</v>
      </c>
      <c r="AU15" s="66" t="s">
        <v>241</v>
      </c>
      <c r="AV15" s="66">
        <v>0</v>
      </c>
      <c r="AW15" s="66">
        <v>0</v>
      </c>
      <c r="AX15" s="66"/>
      <c r="AY15" s="66"/>
      <c r="AZ15" s="66"/>
      <c r="BA15" s="66"/>
      <c r="BB15" s="66"/>
      <c r="BC15" s="66"/>
      <c r="BD15" s="66"/>
      <c r="BE15" s="66"/>
      <c r="BF15" s="45"/>
      <c r="BG15" s="46"/>
      <c r="BH15" s="45"/>
      <c r="BI15" s="46"/>
      <c r="BJ15" s="45"/>
      <c r="BK15" s="46"/>
      <c r="BL15" s="45"/>
      <c r="BM15" s="46"/>
      <c r="BN15" s="45"/>
    </row>
    <row r="16" spans="1:66" ht="15">
      <c r="A16" s="62" t="s">
        <v>282</v>
      </c>
      <c r="B16" s="62" t="s">
        <v>307</v>
      </c>
      <c r="C16" s="64" t="s">
        <v>1504</v>
      </c>
      <c r="D16" s="67">
        <v>3</v>
      </c>
      <c r="E16" s="68" t="s">
        <v>132</v>
      </c>
      <c r="F16" s="69">
        <v>32</v>
      </c>
      <c r="G16" s="64"/>
      <c r="H16" s="70"/>
      <c r="I16" s="71"/>
      <c r="J16" s="71"/>
      <c r="K16" s="31" t="s">
        <v>65</v>
      </c>
      <c r="L16" s="79">
        <v>16</v>
      </c>
      <c r="M16" s="79"/>
      <c r="N16" s="73"/>
      <c r="O16" s="66">
        <v>1</v>
      </c>
      <c r="P16" s="63" t="str">
        <f>REPLACE(INDEX(GroupVertices[Group],MATCH(Edges[[#This Row],[Vertex 1]],GroupVertices[Vertex],0)),1,1,"")</f>
        <v>1</v>
      </c>
      <c r="Q16" s="63" t="str">
        <f>REPLACE(INDEX(GroupVertices[Group],MATCH(Edges[[#This Row],[Vertex 2]],GroupVertices[Vertex],0)),1,1,"")</f>
        <v>3</v>
      </c>
      <c r="R16" s="66" t="s">
        <v>316</v>
      </c>
      <c r="S16" s="91">
        <v>44877.56675925926</v>
      </c>
      <c r="T16" s="66" t="s">
        <v>321</v>
      </c>
      <c r="U16" s="94" t="str">
        <f>HYPERLINK("https://www.youtube.com/watch?v=xb0JCOgMsXc&amp;feature=youtu.be")</f>
        <v>https://www.youtube.com/watch?v=xb0JCOgMsXc&amp;feature=youtu.be</v>
      </c>
      <c r="V16" s="66" t="s">
        <v>403</v>
      </c>
      <c r="W16" s="97" t="s">
        <v>424</v>
      </c>
      <c r="X16" s="94" t="str">
        <f>HYPERLINK("https://pbs.twimg.com/media/FhW7ZTpXkAAZ4Hh.jpg")</f>
        <v>https://pbs.twimg.com/media/FhW7ZTpXkAAZ4Hh.jpg</v>
      </c>
      <c r="Y16" s="94" t="str">
        <f>HYPERLINK("https://pbs.twimg.com/media/FhW7ZTpXkAAZ4Hh.jpg")</f>
        <v>https://pbs.twimg.com/media/FhW7ZTpXkAAZ4Hh.jpg</v>
      </c>
      <c r="Z16" s="91">
        <v>44877.56675925926</v>
      </c>
      <c r="AA16" s="100">
        <v>44877</v>
      </c>
      <c r="AB16" s="97" t="s">
        <v>445</v>
      </c>
      <c r="AC16" s="94" t="str">
        <f>HYPERLINK("https://twitter.com/paoloigna1/status/1591424607005052928")</f>
        <v>https://twitter.com/paoloigna1/status/1591424607005052928</v>
      </c>
      <c r="AD16" s="66"/>
      <c r="AE16" s="66"/>
      <c r="AF16" s="97" t="s">
        <v>578</v>
      </c>
      <c r="AG16" s="66"/>
      <c r="AH16" s="66" t="b">
        <v>0</v>
      </c>
      <c r="AI16" s="66">
        <v>0</v>
      </c>
      <c r="AJ16" s="97" t="s">
        <v>712</v>
      </c>
      <c r="AK16" s="66" t="b">
        <v>0</v>
      </c>
      <c r="AL16" s="66" t="s">
        <v>715</v>
      </c>
      <c r="AM16" s="66"/>
      <c r="AN16" s="97" t="s">
        <v>712</v>
      </c>
      <c r="AO16" s="66" t="b">
        <v>0</v>
      </c>
      <c r="AP16" s="66">
        <v>5</v>
      </c>
      <c r="AQ16" s="97" t="s">
        <v>601</v>
      </c>
      <c r="AR16" s="97" t="s">
        <v>717</v>
      </c>
      <c r="AS16" s="66" t="b">
        <v>0</v>
      </c>
      <c r="AT16" s="97" t="s">
        <v>601</v>
      </c>
      <c r="AU16" s="66" t="s">
        <v>241</v>
      </c>
      <c r="AV16" s="66">
        <v>0</v>
      </c>
      <c r="AW16" s="66">
        <v>0</v>
      </c>
      <c r="AX16" s="66"/>
      <c r="AY16" s="66"/>
      <c r="AZ16" s="66"/>
      <c r="BA16" s="66"/>
      <c r="BB16" s="66"/>
      <c r="BC16" s="66"/>
      <c r="BD16" s="66"/>
      <c r="BE16" s="66"/>
      <c r="BF16" s="45"/>
      <c r="BG16" s="46"/>
      <c r="BH16" s="45"/>
      <c r="BI16" s="46"/>
      <c r="BJ16" s="45"/>
      <c r="BK16" s="46"/>
      <c r="BL16" s="45"/>
      <c r="BM16" s="46"/>
      <c r="BN16" s="45"/>
    </row>
    <row r="17" spans="1:66" ht="15">
      <c r="A17" s="62" t="s">
        <v>282</v>
      </c>
      <c r="B17" s="62" t="s">
        <v>305</v>
      </c>
      <c r="C17" s="64" t="s">
        <v>1504</v>
      </c>
      <c r="D17" s="67">
        <v>3</v>
      </c>
      <c r="E17" s="68" t="s">
        <v>132</v>
      </c>
      <c r="F17" s="69">
        <v>32</v>
      </c>
      <c r="G17" s="64"/>
      <c r="H17" s="70"/>
      <c r="I17" s="71"/>
      <c r="J17" s="71"/>
      <c r="K17" s="31" t="s">
        <v>65</v>
      </c>
      <c r="L17" s="79">
        <v>17</v>
      </c>
      <c r="M17" s="79"/>
      <c r="N17" s="73"/>
      <c r="O17" s="66">
        <v>1</v>
      </c>
      <c r="P17" s="63" t="str">
        <f>REPLACE(INDEX(GroupVertices[Group],MATCH(Edges[[#This Row],[Vertex 1]],GroupVertices[Vertex],0)),1,1,"")</f>
        <v>1</v>
      </c>
      <c r="Q17" s="63" t="str">
        <f>REPLACE(INDEX(GroupVertices[Group],MATCH(Edges[[#This Row],[Vertex 2]],GroupVertices[Vertex],0)),1,1,"")</f>
        <v>4</v>
      </c>
      <c r="R17" s="66" t="s">
        <v>316</v>
      </c>
      <c r="S17" s="91">
        <v>44877.56675925926</v>
      </c>
      <c r="T17" s="66" t="s">
        <v>321</v>
      </c>
      <c r="U17" s="94" t="str">
        <f>HYPERLINK("https://www.youtube.com/watch?v=xb0JCOgMsXc&amp;feature=youtu.be")</f>
        <v>https://www.youtube.com/watch?v=xb0JCOgMsXc&amp;feature=youtu.be</v>
      </c>
      <c r="V17" s="66" t="s">
        <v>403</v>
      </c>
      <c r="W17" s="97" t="s">
        <v>424</v>
      </c>
      <c r="X17" s="94" t="str">
        <f>HYPERLINK("https://pbs.twimg.com/media/FhW7ZTpXkAAZ4Hh.jpg")</f>
        <v>https://pbs.twimg.com/media/FhW7ZTpXkAAZ4Hh.jpg</v>
      </c>
      <c r="Y17" s="94" t="str">
        <f>HYPERLINK("https://pbs.twimg.com/media/FhW7ZTpXkAAZ4Hh.jpg")</f>
        <v>https://pbs.twimg.com/media/FhW7ZTpXkAAZ4Hh.jpg</v>
      </c>
      <c r="Z17" s="91">
        <v>44877.56675925926</v>
      </c>
      <c r="AA17" s="100">
        <v>44877</v>
      </c>
      <c r="AB17" s="97" t="s">
        <v>445</v>
      </c>
      <c r="AC17" s="94" t="str">
        <f>HYPERLINK("https://twitter.com/paoloigna1/status/1591424607005052928")</f>
        <v>https://twitter.com/paoloigna1/status/1591424607005052928</v>
      </c>
      <c r="AD17" s="66"/>
      <c r="AE17" s="66"/>
      <c r="AF17" s="97" t="s">
        <v>578</v>
      </c>
      <c r="AG17" s="66"/>
      <c r="AH17" s="66" t="b">
        <v>0</v>
      </c>
      <c r="AI17" s="66">
        <v>0</v>
      </c>
      <c r="AJ17" s="97" t="s">
        <v>712</v>
      </c>
      <c r="AK17" s="66" t="b">
        <v>0</v>
      </c>
      <c r="AL17" s="66" t="s">
        <v>715</v>
      </c>
      <c r="AM17" s="66"/>
      <c r="AN17" s="97" t="s">
        <v>712</v>
      </c>
      <c r="AO17" s="66" t="b">
        <v>0</v>
      </c>
      <c r="AP17" s="66">
        <v>5</v>
      </c>
      <c r="AQ17" s="97" t="s">
        <v>601</v>
      </c>
      <c r="AR17" s="97" t="s">
        <v>717</v>
      </c>
      <c r="AS17" s="66" t="b">
        <v>0</v>
      </c>
      <c r="AT17" s="97" t="s">
        <v>601</v>
      </c>
      <c r="AU17" s="66" t="s">
        <v>241</v>
      </c>
      <c r="AV17" s="66">
        <v>0</v>
      </c>
      <c r="AW17" s="66">
        <v>0</v>
      </c>
      <c r="AX17" s="66"/>
      <c r="AY17" s="66"/>
      <c r="AZ17" s="66"/>
      <c r="BA17" s="66"/>
      <c r="BB17" s="66"/>
      <c r="BC17" s="66"/>
      <c r="BD17" s="66"/>
      <c r="BE17" s="66"/>
      <c r="BF17" s="45"/>
      <c r="BG17" s="46"/>
      <c r="BH17" s="45"/>
      <c r="BI17" s="46"/>
      <c r="BJ17" s="45"/>
      <c r="BK17" s="46"/>
      <c r="BL17" s="45"/>
      <c r="BM17" s="46"/>
      <c r="BN17" s="45"/>
    </row>
    <row r="18" spans="1:66" ht="15">
      <c r="A18" s="62" t="s">
        <v>282</v>
      </c>
      <c r="B18" s="62" t="s">
        <v>299</v>
      </c>
      <c r="C18" s="64" t="s">
        <v>1504</v>
      </c>
      <c r="D18" s="67">
        <v>3</v>
      </c>
      <c r="E18" s="68" t="s">
        <v>132</v>
      </c>
      <c r="F18" s="69">
        <v>32</v>
      </c>
      <c r="G18" s="64"/>
      <c r="H18" s="70"/>
      <c r="I18" s="71"/>
      <c r="J18" s="71"/>
      <c r="K18" s="31" t="s">
        <v>65</v>
      </c>
      <c r="L18" s="79">
        <v>18</v>
      </c>
      <c r="M18" s="79"/>
      <c r="N18" s="73"/>
      <c r="O18" s="66">
        <v>1</v>
      </c>
      <c r="P18" s="63" t="str">
        <f>REPLACE(INDEX(GroupVertices[Group],MATCH(Edges[[#This Row],[Vertex 1]],GroupVertices[Vertex],0)),1,1,"")</f>
        <v>1</v>
      </c>
      <c r="Q18" s="63" t="str">
        <f>REPLACE(INDEX(GroupVertices[Group],MATCH(Edges[[#This Row],[Vertex 2]],GroupVertices[Vertex],0)),1,1,"")</f>
        <v>1</v>
      </c>
      <c r="R18" s="66" t="s">
        <v>316</v>
      </c>
      <c r="S18" s="91">
        <v>44877.56675925926</v>
      </c>
      <c r="T18" s="66" t="s">
        <v>321</v>
      </c>
      <c r="U18" s="94" t="str">
        <f>HYPERLINK("https://www.youtube.com/watch?v=xb0JCOgMsXc&amp;feature=youtu.be")</f>
        <v>https://www.youtube.com/watch?v=xb0JCOgMsXc&amp;feature=youtu.be</v>
      </c>
      <c r="V18" s="66" t="s">
        <v>403</v>
      </c>
      <c r="W18" s="97" t="s">
        <v>424</v>
      </c>
      <c r="X18" s="94" t="str">
        <f>HYPERLINK("https://pbs.twimg.com/media/FhW7ZTpXkAAZ4Hh.jpg")</f>
        <v>https://pbs.twimg.com/media/FhW7ZTpXkAAZ4Hh.jpg</v>
      </c>
      <c r="Y18" s="94" t="str">
        <f>HYPERLINK("https://pbs.twimg.com/media/FhW7ZTpXkAAZ4Hh.jpg")</f>
        <v>https://pbs.twimg.com/media/FhW7ZTpXkAAZ4Hh.jpg</v>
      </c>
      <c r="Z18" s="91">
        <v>44877.56675925926</v>
      </c>
      <c r="AA18" s="100">
        <v>44877</v>
      </c>
      <c r="AB18" s="97" t="s">
        <v>445</v>
      </c>
      <c r="AC18" s="94" t="str">
        <f>HYPERLINK("https://twitter.com/paoloigna1/status/1591424607005052928")</f>
        <v>https://twitter.com/paoloigna1/status/1591424607005052928</v>
      </c>
      <c r="AD18" s="66"/>
      <c r="AE18" s="66"/>
      <c r="AF18" s="97" t="s">
        <v>578</v>
      </c>
      <c r="AG18" s="66"/>
      <c r="AH18" s="66" t="b">
        <v>0</v>
      </c>
      <c r="AI18" s="66">
        <v>0</v>
      </c>
      <c r="AJ18" s="97" t="s">
        <v>712</v>
      </c>
      <c r="AK18" s="66" t="b">
        <v>0</v>
      </c>
      <c r="AL18" s="66" t="s">
        <v>715</v>
      </c>
      <c r="AM18" s="66"/>
      <c r="AN18" s="97" t="s">
        <v>712</v>
      </c>
      <c r="AO18" s="66" t="b">
        <v>0</v>
      </c>
      <c r="AP18" s="66">
        <v>5</v>
      </c>
      <c r="AQ18" s="97" t="s">
        <v>601</v>
      </c>
      <c r="AR18" s="97" t="s">
        <v>717</v>
      </c>
      <c r="AS18" s="66" t="b">
        <v>0</v>
      </c>
      <c r="AT18" s="97" t="s">
        <v>601</v>
      </c>
      <c r="AU18" s="66" t="s">
        <v>241</v>
      </c>
      <c r="AV18" s="66">
        <v>0</v>
      </c>
      <c r="AW18" s="66">
        <v>0</v>
      </c>
      <c r="AX18" s="66"/>
      <c r="AY18" s="66"/>
      <c r="AZ18" s="66"/>
      <c r="BA18" s="66"/>
      <c r="BB18" s="66"/>
      <c r="BC18" s="66"/>
      <c r="BD18" s="66"/>
      <c r="BE18" s="66"/>
      <c r="BF18" s="45"/>
      <c r="BG18" s="46"/>
      <c r="BH18" s="45"/>
      <c r="BI18" s="46"/>
      <c r="BJ18" s="45"/>
      <c r="BK18" s="46"/>
      <c r="BL18" s="45"/>
      <c r="BM18" s="46"/>
      <c r="BN18" s="45"/>
    </row>
    <row r="19" spans="1:66" ht="15">
      <c r="A19" s="62" t="s">
        <v>282</v>
      </c>
      <c r="B19" s="62" t="s">
        <v>301</v>
      </c>
      <c r="C19" s="64" t="s">
        <v>1504</v>
      </c>
      <c r="D19" s="67">
        <v>3</v>
      </c>
      <c r="E19" s="68" t="s">
        <v>132</v>
      </c>
      <c r="F19" s="69">
        <v>32</v>
      </c>
      <c r="G19" s="64"/>
      <c r="H19" s="70"/>
      <c r="I19" s="71"/>
      <c r="J19" s="71"/>
      <c r="K19" s="31" t="s">
        <v>65</v>
      </c>
      <c r="L19" s="79">
        <v>19</v>
      </c>
      <c r="M19" s="79"/>
      <c r="N19" s="73"/>
      <c r="O19" s="66">
        <v>1</v>
      </c>
      <c r="P19" s="63" t="str">
        <f>REPLACE(INDEX(GroupVertices[Group],MATCH(Edges[[#This Row],[Vertex 1]],GroupVertices[Vertex],0)),1,1,"")</f>
        <v>1</v>
      </c>
      <c r="Q19" s="63" t="str">
        <f>REPLACE(INDEX(GroupVertices[Group],MATCH(Edges[[#This Row],[Vertex 2]],GroupVertices[Vertex],0)),1,1,"")</f>
        <v>3</v>
      </c>
      <c r="R19" s="66" t="s">
        <v>316</v>
      </c>
      <c r="S19" s="91">
        <v>44877.56675925926</v>
      </c>
      <c r="T19" s="66" t="s">
        <v>321</v>
      </c>
      <c r="U19" s="94" t="str">
        <f>HYPERLINK("https://www.youtube.com/watch?v=xb0JCOgMsXc&amp;feature=youtu.be")</f>
        <v>https://www.youtube.com/watch?v=xb0JCOgMsXc&amp;feature=youtu.be</v>
      </c>
      <c r="V19" s="66" t="s">
        <v>403</v>
      </c>
      <c r="W19" s="97" t="s">
        <v>424</v>
      </c>
      <c r="X19" s="94" t="str">
        <f>HYPERLINK("https://pbs.twimg.com/media/FhW7ZTpXkAAZ4Hh.jpg")</f>
        <v>https://pbs.twimg.com/media/FhW7ZTpXkAAZ4Hh.jpg</v>
      </c>
      <c r="Y19" s="94" t="str">
        <f>HYPERLINK("https://pbs.twimg.com/media/FhW7ZTpXkAAZ4Hh.jpg")</f>
        <v>https://pbs.twimg.com/media/FhW7ZTpXkAAZ4Hh.jpg</v>
      </c>
      <c r="Z19" s="91">
        <v>44877.56675925926</v>
      </c>
      <c r="AA19" s="100">
        <v>44877</v>
      </c>
      <c r="AB19" s="97" t="s">
        <v>445</v>
      </c>
      <c r="AC19" s="94" t="str">
        <f>HYPERLINK("https://twitter.com/paoloigna1/status/1591424607005052928")</f>
        <v>https://twitter.com/paoloigna1/status/1591424607005052928</v>
      </c>
      <c r="AD19" s="66"/>
      <c r="AE19" s="66"/>
      <c r="AF19" s="97" t="s">
        <v>578</v>
      </c>
      <c r="AG19" s="66"/>
      <c r="AH19" s="66" t="b">
        <v>0</v>
      </c>
      <c r="AI19" s="66">
        <v>0</v>
      </c>
      <c r="AJ19" s="97" t="s">
        <v>712</v>
      </c>
      <c r="AK19" s="66" t="b">
        <v>0</v>
      </c>
      <c r="AL19" s="66" t="s">
        <v>715</v>
      </c>
      <c r="AM19" s="66"/>
      <c r="AN19" s="97" t="s">
        <v>712</v>
      </c>
      <c r="AO19" s="66" t="b">
        <v>0</v>
      </c>
      <c r="AP19" s="66">
        <v>5</v>
      </c>
      <c r="AQ19" s="97" t="s">
        <v>601</v>
      </c>
      <c r="AR19" s="97" t="s">
        <v>717</v>
      </c>
      <c r="AS19" s="66" t="b">
        <v>0</v>
      </c>
      <c r="AT19" s="97" t="s">
        <v>601</v>
      </c>
      <c r="AU19" s="66" t="s">
        <v>241</v>
      </c>
      <c r="AV19" s="66">
        <v>0</v>
      </c>
      <c r="AW19" s="66">
        <v>0</v>
      </c>
      <c r="AX19" s="66"/>
      <c r="AY19" s="66"/>
      <c r="AZ19" s="66"/>
      <c r="BA19" s="66"/>
      <c r="BB19" s="66"/>
      <c r="BC19" s="66"/>
      <c r="BD19" s="66"/>
      <c r="BE19" s="66"/>
      <c r="BF19" s="45"/>
      <c r="BG19" s="46"/>
      <c r="BH19" s="45"/>
      <c r="BI19" s="46"/>
      <c r="BJ19" s="45"/>
      <c r="BK19" s="46"/>
      <c r="BL19" s="45"/>
      <c r="BM19" s="46"/>
      <c r="BN19" s="45"/>
    </row>
    <row r="20" spans="1:66" ht="15">
      <c r="A20" s="62" t="s">
        <v>282</v>
      </c>
      <c r="B20" s="62" t="s">
        <v>311</v>
      </c>
      <c r="C20" s="64" t="s">
        <v>1504</v>
      </c>
      <c r="D20" s="67">
        <v>3</v>
      </c>
      <c r="E20" s="68" t="s">
        <v>132</v>
      </c>
      <c r="F20" s="69">
        <v>32</v>
      </c>
      <c r="G20" s="64"/>
      <c r="H20" s="70"/>
      <c r="I20" s="71"/>
      <c r="J20" s="71"/>
      <c r="K20" s="31" t="s">
        <v>65</v>
      </c>
      <c r="L20" s="79">
        <v>20</v>
      </c>
      <c r="M20" s="79"/>
      <c r="N20" s="73"/>
      <c r="O20" s="66">
        <v>1</v>
      </c>
      <c r="P20" s="63" t="str">
        <f>REPLACE(INDEX(GroupVertices[Group],MATCH(Edges[[#This Row],[Vertex 1]],GroupVertices[Vertex],0)),1,1,"")</f>
        <v>1</v>
      </c>
      <c r="Q20" s="63" t="str">
        <f>REPLACE(INDEX(GroupVertices[Group],MATCH(Edges[[#This Row],[Vertex 2]],GroupVertices[Vertex],0)),1,1,"")</f>
        <v>1</v>
      </c>
      <c r="R20" s="66" t="s">
        <v>316</v>
      </c>
      <c r="S20" s="91">
        <v>44877.56675925926</v>
      </c>
      <c r="T20" s="66" t="s">
        <v>321</v>
      </c>
      <c r="U20" s="94" t="str">
        <f>HYPERLINK("https://www.youtube.com/watch?v=xb0JCOgMsXc&amp;feature=youtu.be")</f>
        <v>https://www.youtube.com/watch?v=xb0JCOgMsXc&amp;feature=youtu.be</v>
      </c>
      <c r="V20" s="66" t="s">
        <v>403</v>
      </c>
      <c r="W20" s="97" t="s">
        <v>424</v>
      </c>
      <c r="X20" s="94" t="str">
        <f>HYPERLINK("https://pbs.twimg.com/media/FhW7ZTpXkAAZ4Hh.jpg")</f>
        <v>https://pbs.twimg.com/media/FhW7ZTpXkAAZ4Hh.jpg</v>
      </c>
      <c r="Y20" s="94" t="str">
        <f>HYPERLINK("https://pbs.twimg.com/media/FhW7ZTpXkAAZ4Hh.jpg")</f>
        <v>https://pbs.twimg.com/media/FhW7ZTpXkAAZ4Hh.jpg</v>
      </c>
      <c r="Z20" s="91">
        <v>44877.56675925926</v>
      </c>
      <c r="AA20" s="100">
        <v>44877</v>
      </c>
      <c r="AB20" s="97" t="s">
        <v>445</v>
      </c>
      <c r="AC20" s="94" t="str">
        <f>HYPERLINK("https://twitter.com/paoloigna1/status/1591424607005052928")</f>
        <v>https://twitter.com/paoloigna1/status/1591424607005052928</v>
      </c>
      <c r="AD20" s="66"/>
      <c r="AE20" s="66"/>
      <c r="AF20" s="97" t="s">
        <v>578</v>
      </c>
      <c r="AG20" s="66"/>
      <c r="AH20" s="66" t="b">
        <v>0</v>
      </c>
      <c r="AI20" s="66">
        <v>0</v>
      </c>
      <c r="AJ20" s="97" t="s">
        <v>712</v>
      </c>
      <c r="AK20" s="66" t="b">
        <v>0</v>
      </c>
      <c r="AL20" s="66" t="s">
        <v>715</v>
      </c>
      <c r="AM20" s="66"/>
      <c r="AN20" s="97" t="s">
        <v>712</v>
      </c>
      <c r="AO20" s="66" t="b">
        <v>0</v>
      </c>
      <c r="AP20" s="66">
        <v>5</v>
      </c>
      <c r="AQ20" s="97" t="s">
        <v>601</v>
      </c>
      <c r="AR20" s="97" t="s">
        <v>717</v>
      </c>
      <c r="AS20" s="66" t="b">
        <v>0</v>
      </c>
      <c r="AT20" s="97" t="s">
        <v>601</v>
      </c>
      <c r="AU20" s="66" t="s">
        <v>241</v>
      </c>
      <c r="AV20" s="66">
        <v>0</v>
      </c>
      <c r="AW20" s="66">
        <v>0</v>
      </c>
      <c r="AX20" s="66"/>
      <c r="AY20" s="66"/>
      <c r="AZ20" s="66"/>
      <c r="BA20" s="66"/>
      <c r="BB20" s="66"/>
      <c r="BC20" s="66"/>
      <c r="BD20" s="66"/>
      <c r="BE20" s="66"/>
      <c r="BF20" s="45"/>
      <c r="BG20" s="46"/>
      <c r="BH20" s="45"/>
      <c r="BI20" s="46"/>
      <c r="BJ20" s="45"/>
      <c r="BK20" s="46"/>
      <c r="BL20" s="45"/>
      <c r="BM20" s="46"/>
      <c r="BN20" s="45"/>
    </row>
    <row r="21" spans="1:66" ht="15">
      <c r="A21" s="62" t="s">
        <v>282</v>
      </c>
      <c r="B21" s="62" t="s">
        <v>302</v>
      </c>
      <c r="C21" s="64" t="s">
        <v>1504</v>
      </c>
      <c r="D21" s="67">
        <v>3</v>
      </c>
      <c r="E21" s="68" t="s">
        <v>132</v>
      </c>
      <c r="F21" s="69">
        <v>32</v>
      </c>
      <c r="G21" s="64"/>
      <c r="H21" s="70"/>
      <c r="I21" s="71"/>
      <c r="J21" s="71"/>
      <c r="K21" s="31" t="s">
        <v>65</v>
      </c>
      <c r="L21" s="79">
        <v>21</v>
      </c>
      <c r="M21" s="79"/>
      <c r="N21" s="73"/>
      <c r="O21" s="66">
        <v>1</v>
      </c>
      <c r="P21" s="63" t="str">
        <f>REPLACE(INDEX(GroupVertices[Group],MATCH(Edges[[#This Row],[Vertex 1]],GroupVertices[Vertex],0)),1,1,"")</f>
        <v>1</v>
      </c>
      <c r="Q21" s="63" t="str">
        <f>REPLACE(INDEX(GroupVertices[Group],MATCH(Edges[[#This Row],[Vertex 2]],GroupVertices[Vertex],0)),1,1,"")</f>
        <v>1</v>
      </c>
      <c r="R21" s="66" t="s">
        <v>316</v>
      </c>
      <c r="S21" s="91">
        <v>44877.56675925926</v>
      </c>
      <c r="T21" s="66" t="s">
        <v>321</v>
      </c>
      <c r="U21" s="94" t="str">
        <f>HYPERLINK("https://www.youtube.com/watch?v=xb0JCOgMsXc&amp;feature=youtu.be")</f>
        <v>https://www.youtube.com/watch?v=xb0JCOgMsXc&amp;feature=youtu.be</v>
      </c>
      <c r="V21" s="66" t="s">
        <v>403</v>
      </c>
      <c r="W21" s="97" t="s">
        <v>424</v>
      </c>
      <c r="X21" s="94" t="str">
        <f>HYPERLINK("https://pbs.twimg.com/media/FhW7ZTpXkAAZ4Hh.jpg")</f>
        <v>https://pbs.twimg.com/media/FhW7ZTpXkAAZ4Hh.jpg</v>
      </c>
      <c r="Y21" s="94" t="str">
        <f>HYPERLINK("https://pbs.twimg.com/media/FhW7ZTpXkAAZ4Hh.jpg")</f>
        <v>https://pbs.twimg.com/media/FhW7ZTpXkAAZ4Hh.jpg</v>
      </c>
      <c r="Z21" s="91">
        <v>44877.56675925926</v>
      </c>
      <c r="AA21" s="100">
        <v>44877</v>
      </c>
      <c r="AB21" s="97" t="s">
        <v>445</v>
      </c>
      <c r="AC21" s="94" t="str">
        <f>HYPERLINK("https://twitter.com/paoloigna1/status/1591424607005052928")</f>
        <v>https://twitter.com/paoloigna1/status/1591424607005052928</v>
      </c>
      <c r="AD21" s="66"/>
      <c r="AE21" s="66"/>
      <c r="AF21" s="97" t="s">
        <v>578</v>
      </c>
      <c r="AG21" s="66"/>
      <c r="AH21" s="66" t="b">
        <v>0</v>
      </c>
      <c r="AI21" s="66">
        <v>0</v>
      </c>
      <c r="AJ21" s="97" t="s">
        <v>712</v>
      </c>
      <c r="AK21" s="66" t="b">
        <v>0</v>
      </c>
      <c r="AL21" s="66" t="s">
        <v>715</v>
      </c>
      <c r="AM21" s="66"/>
      <c r="AN21" s="97" t="s">
        <v>712</v>
      </c>
      <c r="AO21" s="66" t="b">
        <v>0</v>
      </c>
      <c r="AP21" s="66">
        <v>5</v>
      </c>
      <c r="AQ21" s="97" t="s">
        <v>601</v>
      </c>
      <c r="AR21" s="97" t="s">
        <v>717</v>
      </c>
      <c r="AS21" s="66" t="b">
        <v>0</v>
      </c>
      <c r="AT21" s="97" t="s">
        <v>601</v>
      </c>
      <c r="AU21" s="66" t="s">
        <v>241</v>
      </c>
      <c r="AV21" s="66">
        <v>0</v>
      </c>
      <c r="AW21" s="66">
        <v>0</v>
      </c>
      <c r="AX21" s="66"/>
      <c r="AY21" s="66"/>
      <c r="AZ21" s="66"/>
      <c r="BA21" s="66"/>
      <c r="BB21" s="66"/>
      <c r="BC21" s="66"/>
      <c r="BD21" s="66"/>
      <c r="BE21" s="66"/>
      <c r="BF21" s="45"/>
      <c r="BG21" s="46"/>
      <c r="BH21" s="45"/>
      <c r="BI21" s="46"/>
      <c r="BJ21" s="45"/>
      <c r="BK21" s="46"/>
      <c r="BL21" s="45"/>
      <c r="BM21" s="46"/>
      <c r="BN21" s="45"/>
    </row>
    <row r="22" spans="1:66" ht="15">
      <c r="A22" s="62" t="s">
        <v>282</v>
      </c>
      <c r="B22" s="62" t="s">
        <v>296</v>
      </c>
      <c r="C22" s="64" t="s">
        <v>1504</v>
      </c>
      <c r="D22" s="67">
        <v>3</v>
      </c>
      <c r="E22" s="68" t="s">
        <v>132</v>
      </c>
      <c r="F22" s="69">
        <v>32</v>
      </c>
      <c r="G22" s="64"/>
      <c r="H22" s="70"/>
      <c r="I22" s="71"/>
      <c r="J22" s="71"/>
      <c r="K22" s="31" t="s">
        <v>65</v>
      </c>
      <c r="L22" s="79">
        <v>22</v>
      </c>
      <c r="M22" s="79"/>
      <c r="N22" s="73"/>
      <c r="O22" s="66">
        <v>1</v>
      </c>
      <c r="P22" s="63" t="str">
        <f>REPLACE(INDEX(GroupVertices[Group],MATCH(Edges[[#This Row],[Vertex 1]],GroupVertices[Vertex],0)),1,1,"")</f>
        <v>1</v>
      </c>
      <c r="Q22" s="63" t="str">
        <f>REPLACE(INDEX(GroupVertices[Group],MATCH(Edges[[#This Row],[Vertex 2]],GroupVertices[Vertex],0)),1,1,"")</f>
        <v>3</v>
      </c>
      <c r="R22" s="66" t="s">
        <v>316</v>
      </c>
      <c r="S22" s="91">
        <v>44877.56675925926</v>
      </c>
      <c r="T22" s="66" t="s">
        <v>321</v>
      </c>
      <c r="U22" s="94" t="str">
        <f>HYPERLINK("https://www.youtube.com/watch?v=xb0JCOgMsXc&amp;feature=youtu.be")</f>
        <v>https://www.youtube.com/watch?v=xb0JCOgMsXc&amp;feature=youtu.be</v>
      </c>
      <c r="V22" s="66" t="s">
        <v>403</v>
      </c>
      <c r="W22" s="97" t="s">
        <v>424</v>
      </c>
      <c r="X22" s="94" t="str">
        <f>HYPERLINK("https://pbs.twimg.com/media/FhW7ZTpXkAAZ4Hh.jpg")</f>
        <v>https://pbs.twimg.com/media/FhW7ZTpXkAAZ4Hh.jpg</v>
      </c>
      <c r="Y22" s="94" t="str">
        <f>HYPERLINK("https://pbs.twimg.com/media/FhW7ZTpXkAAZ4Hh.jpg")</f>
        <v>https://pbs.twimg.com/media/FhW7ZTpXkAAZ4Hh.jpg</v>
      </c>
      <c r="Z22" s="91">
        <v>44877.56675925926</v>
      </c>
      <c r="AA22" s="100">
        <v>44877</v>
      </c>
      <c r="AB22" s="97" t="s">
        <v>445</v>
      </c>
      <c r="AC22" s="94" t="str">
        <f>HYPERLINK("https://twitter.com/paoloigna1/status/1591424607005052928")</f>
        <v>https://twitter.com/paoloigna1/status/1591424607005052928</v>
      </c>
      <c r="AD22" s="66"/>
      <c r="AE22" s="66"/>
      <c r="AF22" s="97" t="s">
        <v>578</v>
      </c>
      <c r="AG22" s="66"/>
      <c r="AH22" s="66" t="b">
        <v>0</v>
      </c>
      <c r="AI22" s="66">
        <v>0</v>
      </c>
      <c r="AJ22" s="97" t="s">
        <v>712</v>
      </c>
      <c r="AK22" s="66" t="b">
        <v>0</v>
      </c>
      <c r="AL22" s="66" t="s">
        <v>715</v>
      </c>
      <c r="AM22" s="66"/>
      <c r="AN22" s="97" t="s">
        <v>712</v>
      </c>
      <c r="AO22" s="66" t="b">
        <v>0</v>
      </c>
      <c r="AP22" s="66">
        <v>5</v>
      </c>
      <c r="AQ22" s="97" t="s">
        <v>601</v>
      </c>
      <c r="AR22" s="97" t="s">
        <v>717</v>
      </c>
      <c r="AS22" s="66" t="b">
        <v>0</v>
      </c>
      <c r="AT22" s="97" t="s">
        <v>601</v>
      </c>
      <c r="AU22" s="66" t="s">
        <v>241</v>
      </c>
      <c r="AV22" s="66">
        <v>0</v>
      </c>
      <c r="AW22" s="66">
        <v>0</v>
      </c>
      <c r="AX22" s="66"/>
      <c r="AY22" s="66"/>
      <c r="AZ22" s="66"/>
      <c r="BA22" s="66"/>
      <c r="BB22" s="66"/>
      <c r="BC22" s="66"/>
      <c r="BD22" s="66"/>
      <c r="BE22" s="66"/>
      <c r="BF22" s="45"/>
      <c r="BG22" s="46"/>
      <c r="BH22" s="45"/>
      <c r="BI22" s="46"/>
      <c r="BJ22" s="45"/>
      <c r="BK22" s="46"/>
      <c r="BL22" s="45"/>
      <c r="BM22" s="46"/>
      <c r="BN22" s="45"/>
    </row>
    <row r="23" spans="1:66" ht="15">
      <c r="A23" s="62" t="s">
        <v>282</v>
      </c>
      <c r="B23" s="62" t="s">
        <v>312</v>
      </c>
      <c r="C23" s="64" t="s">
        <v>1504</v>
      </c>
      <c r="D23" s="67">
        <v>3</v>
      </c>
      <c r="E23" s="68" t="s">
        <v>132</v>
      </c>
      <c r="F23" s="69">
        <v>32</v>
      </c>
      <c r="G23" s="64"/>
      <c r="H23" s="70"/>
      <c r="I23" s="71"/>
      <c r="J23" s="71"/>
      <c r="K23" s="31" t="s">
        <v>65</v>
      </c>
      <c r="L23" s="79">
        <v>23</v>
      </c>
      <c r="M23" s="79"/>
      <c r="N23" s="73"/>
      <c r="O23" s="66">
        <v>1</v>
      </c>
      <c r="P23" s="63" t="str">
        <f>REPLACE(INDEX(GroupVertices[Group],MATCH(Edges[[#This Row],[Vertex 1]],GroupVertices[Vertex],0)),1,1,"")</f>
        <v>1</v>
      </c>
      <c r="Q23" s="63" t="str">
        <f>REPLACE(INDEX(GroupVertices[Group],MATCH(Edges[[#This Row],[Vertex 2]],GroupVertices[Vertex],0)),1,1,"")</f>
        <v>1</v>
      </c>
      <c r="R23" s="66" t="s">
        <v>316</v>
      </c>
      <c r="S23" s="91">
        <v>44877.56675925926</v>
      </c>
      <c r="T23" s="66" t="s">
        <v>321</v>
      </c>
      <c r="U23" s="94" t="str">
        <f>HYPERLINK("https://www.youtube.com/watch?v=xb0JCOgMsXc&amp;feature=youtu.be")</f>
        <v>https://www.youtube.com/watch?v=xb0JCOgMsXc&amp;feature=youtu.be</v>
      </c>
      <c r="V23" s="66" t="s">
        <v>403</v>
      </c>
      <c r="W23" s="97" t="s">
        <v>424</v>
      </c>
      <c r="X23" s="94" t="str">
        <f>HYPERLINK("https://pbs.twimg.com/media/FhW7ZTpXkAAZ4Hh.jpg")</f>
        <v>https://pbs.twimg.com/media/FhW7ZTpXkAAZ4Hh.jpg</v>
      </c>
      <c r="Y23" s="94" t="str">
        <f>HYPERLINK("https://pbs.twimg.com/media/FhW7ZTpXkAAZ4Hh.jpg")</f>
        <v>https://pbs.twimg.com/media/FhW7ZTpXkAAZ4Hh.jpg</v>
      </c>
      <c r="Z23" s="91">
        <v>44877.56675925926</v>
      </c>
      <c r="AA23" s="100">
        <v>44877</v>
      </c>
      <c r="AB23" s="97" t="s">
        <v>445</v>
      </c>
      <c r="AC23" s="94" t="str">
        <f>HYPERLINK("https://twitter.com/paoloigna1/status/1591424607005052928")</f>
        <v>https://twitter.com/paoloigna1/status/1591424607005052928</v>
      </c>
      <c r="AD23" s="66"/>
      <c r="AE23" s="66"/>
      <c r="AF23" s="97" t="s">
        <v>578</v>
      </c>
      <c r="AG23" s="66"/>
      <c r="AH23" s="66" t="b">
        <v>0</v>
      </c>
      <c r="AI23" s="66">
        <v>0</v>
      </c>
      <c r="AJ23" s="97" t="s">
        <v>712</v>
      </c>
      <c r="AK23" s="66" t="b">
        <v>0</v>
      </c>
      <c r="AL23" s="66" t="s">
        <v>715</v>
      </c>
      <c r="AM23" s="66"/>
      <c r="AN23" s="97" t="s">
        <v>712</v>
      </c>
      <c r="AO23" s="66" t="b">
        <v>0</v>
      </c>
      <c r="AP23" s="66">
        <v>5</v>
      </c>
      <c r="AQ23" s="97" t="s">
        <v>601</v>
      </c>
      <c r="AR23" s="97" t="s">
        <v>717</v>
      </c>
      <c r="AS23" s="66" t="b">
        <v>0</v>
      </c>
      <c r="AT23" s="97" t="s">
        <v>601</v>
      </c>
      <c r="AU23" s="66" t="s">
        <v>241</v>
      </c>
      <c r="AV23" s="66">
        <v>0</v>
      </c>
      <c r="AW23" s="66">
        <v>0</v>
      </c>
      <c r="AX23" s="66"/>
      <c r="AY23" s="66"/>
      <c r="AZ23" s="66"/>
      <c r="BA23" s="66"/>
      <c r="BB23" s="66"/>
      <c r="BC23" s="66"/>
      <c r="BD23" s="66"/>
      <c r="BE23" s="66"/>
      <c r="BF23" s="45"/>
      <c r="BG23" s="46"/>
      <c r="BH23" s="45"/>
      <c r="BI23" s="46"/>
      <c r="BJ23" s="45"/>
      <c r="BK23" s="46"/>
      <c r="BL23" s="45"/>
      <c r="BM23" s="46"/>
      <c r="BN23" s="45"/>
    </row>
    <row r="24" spans="1:66" ht="15">
      <c r="A24" s="62" t="s">
        <v>282</v>
      </c>
      <c r="B24" s="62" t="s">
        <v>313</v>
      </c>
      <c r="C24" s="64" t="s">
        <v>1504</v>
      </c>
      <c r="D24" s="67">
        <v>3</v>
      </c>
      <c r="E24" s="68" t="s">
        <v>132</v>
      </c>
      <c r="F24" s="69">
        <v>32</v>
      </c>
      <c r="G24" s="64"/>
      <c r="H24" s="70"/>
      <c r="I24" s="71"/>
      <c r="J24" s="71"/>
      <c r="K24" s="31" t="s">
        <v>65</v>
      </c>
      <c r="L24" s="79">
        <v>24</v>
      </c>
      <c r="M24" s="79"/>
      <c r="N24" s="73"/>
      <c r="O24" s="66">
        <v>1</v>
      </c>
      <c r="P24" s="63" t="str">
        <f>REPLACE(INDEX(GroupVertices[Group],MATCH(Edges[[#This Row],[Vertex 1]],GroupVertices[Vertex],0)),1,1,"")</f>
        <v>1</v>
      </c>
      <c r="Q24" s="63" t="str">
        <f>REPLACE(INDEX(GroupVertices[Group],MATCH(Edges[[#This Row],[Vertex 2]],GroupVertices[Vertex],0)),1,1,"")</f>
        <v>1</v>
      </c>
      <c r="R24" s="66" t="s">
        <v>316</v>
      </c>
      <c r="S24" s="91">
        <v>44877.56675925926</v>
      </c>
      <c r="T24" s="66" t="s">
        <v>321</v>
      </c>
      <c r="U24" s="94" t="str">
        <f>HYPERLINK("https://www.youtube.com/watch?v=xb0JCOgMsXc&amp;feature=youtu.be")</f>
        <v>https://www.youtube.com/watch?v=xb0JCOgMsXc&amp;feature=youtu.be</v>
      </c>
      <c r="V24" s="66" t="s">
        <v>403</v>
      </c>
      <c r="W24" s="97" t="s">
        <v>424</v>
      </c>
      <c r="X24" s="94" t="str">
        <f>HYPERLINK("https://pbs.twimg.com/media/FhW7ZTpXkAAZ4Hh.jpg")</f>
        <v>https://pbs.twimg.com/media/FhW7ZTpXkAAZ4Hh.jpg</v>
      </c>
      <c r="Y24" s="94" t="str">
        <f>HYPERLINK("https://pbs.twimg.com/media/FhW7ZTpXkAAZ4Hh.jpg")</f>
        <v>https://pbs.twimg.com/media/FhW7ZTpXkAAZ4Hh.jpg</v>
      </c>
      <c r="Z24" s="91">
        <v>44877.56675925926</v>
      </c>
      <c r="AA24" s="100">
        <v>44877</v>
      </c>
      <c r="AB24" s="97" t="s">
        <v>445</v>
      </c>
      <c r="AC24" s="94" t="str">
        <f>HYPERLINK("https://twitter.com/paoloigna1/status/1591424607005052928")</f>
        <v>https://twitter.com/paoloigna1/status/1591424607005052928</v>
      </c>
      <c r="AD24" s="66"/>
      <c r="AE24" s="66"/>
      <c r="AF24" s="97" t="s">
        <v>578</v>
      </c>
      <c r="AG24" s="66"/>
      <c r="AH24" s="66" t="b">
        <v>0</v>
      </c>
      <c r="AI24" s="66">
        <v>0</v>
      </c>
      <c r="AJ24" s="97" t="s">
        <v>712</v>
      </c>
      <c r="AK24" s="66" t="b">
        <v>0</v>
      </c>
      <c r="AL24" s="66" t="s">
        <v>715</v>
      </c>
      <c r="AM24" s="66"/>
      <c r="AN24" s="97" t="s">
        <v>712</v>
      </c>
      <c r="AO24" s="66" t="b">
        <v>0</v>
      </c>
      <c r="AP24" s="66">
        <v>5</v>
      </c>
      <c r="AQ24" s="97" t="s">
        <v>601</v>
      </c>
      <c r="AR24" s="97" t="s">
        <v>717</v>
      </c>
      <c r="AS24" s="66" t="b">
        <v>0</v>
      </c>
      <c r="AT24" s="97" t="s">
        <v>601</v>
      </c>
      <c r="AU24" s="66" t="s">
        <v>241</v>
      </c>
      <c r="AV24" s="66">
        <v>0</v>
      </c>
      <c r="AW24" s="66">
        <v>0</v>
      </c>
      <c r="AX24" s="66"/>
      <c r="AY24" s="66"/>
      <c r="AZ24" s="66"/>
      <c r="BA24" s="66"/>
      <c r="BB24" s="66"/>
      <c r="BC24" s="66"/>
      <c r="BD24" s="66"/>
      <c r="BE24" s="66"/>
      <c r="BF24" s="45"/>
      <c r="BG24" s="46"/>
      <c r="BH24" s="45"/>
      <c r="BI24" s="46"/>
      <c r="BJ24" s="45"/>
      <c r="BK24" s="46"/>
      <c r="BL24" s="45"/>
      <c r="BM24" s="46"/>
      <c r="BN24" s="45"/>
    </row>
    <row r="25" spans="1:66" ht="15">
      <c r="A25" s="62" t="s">
        <v>282</v>
      </c>
      <c r="B25" s="62" t="s">
        <v>297</v>
      </c>
      <c r="C25" s="64" t="s">
        <v>1504</v>
      </c>
      <c r="D25" s="67">
        <v>3</v>
      </c>
      <c r="E25" s="68" t="s">
        <v>132</v>
      </c>
      <c r="F25" s="69">
        <v>32</v>
      </c>
      <c r="G25" s="64"/>
      <c r="H25" s="70"/>
      <c r="I25" s="71"/>
      <c r="J25" s="71"/>
      <c r="K25" s="31" t="s">
        <v>65</v>
      </c>
      <c r="L25" s="79">
        <v>25</v>
      </c>
      <c r="M25" s="79"/>
      <c r="N25" s="73"/>
      <c r="O25" s="66">
        <v>1</v>
      </c>
      <c r="P25" s="63" t="str">
        <f>REPLACE(INDEX(GroupVertices[Group],MATCH(Edges[[#This Row],[Vertex 1]],GroupVertices[Vertex],0)),1,1,"")</f>
        <v>1</v>
      </c>
      <c r="Q25" s="63" t="str">
        <f>REPLACE(INDEX(GroupVertices[Group],MATCH(Edges[[#This Row],[Vertex 2]],GroupVertices[Vertex],0)),1,1,"")</f>
        <v>1</v>
      </c>
      <c r="R25" s="66" t="s">
        <v>315</v>
      </c>
      <c r="S25" s="91">
        <v>44877.56675925926</v>
      </c>
      <c r="T25" s="66" t="s">
        <v>321</v>
      </c>
      <c r="U25" s="94" t="str">
        <f>HYPERLINK("https://www.youtube.com/watch?v=xb0JCOgMsXc&amp;feature=youtu.be")</f>
        <v>https://www.youtube.com/watch?v=xb0JCOgMsXc&amp;feature=youtu.be</v>
      </c>
      <c r="V25" s="66" t="s">
        <v>403</v>
      </c>
      <c r="W25" s="97" t="s">
        <v>424</v>
      </c>
      <c r="X25" s="94" t="str">
        <f>HYPERLINK("https://pbs.twimg.com/media/FhW7ZTpXkAAZ4Hh.jpg")</f>
        <v>https://pbs.twimg.com/media/FhW7ZTpXkAAZ4Hh.jpg</v>
      </c>
      <c r="Y25" s="94" t="str">
        <f>HYPERLINK("https://pbs.twimg.com/media/FhW7ZTpXkAAZ4Hh.jpg")</f>
        <v>https://pbs.twimg.com/media/FhW7ZTpXkAAZ4Hh.jpg</v>
      </c>
      <c r="Z25" s="91">
        <v>44877.56675925926</v>
      </c>
      <c r="AA25" s="100">
        <v>44877</v>
      </c>
      <c r="AB25" s="97" t="s">
        <v>445</v>
      </c>
      <c r="AC25" s="94" t="str">
        <f>HYPERLINK("https://twitter.com/paoloigna1/status/1591424607005052928")</f>
        <v>https://twitter.com/paoloigna1/status/1591424607005052928</v>
      </c>
      <c r="AD25" s="66"/>
      <c r="AE25" s="66"/>
      <c r="AF25" s="97" t="s">
        <v>578</v>
      </c>
      <c r="AG25" s="66"/>
      <c r="AH25" s="66" t="b">
        <v>0</v>
      </c>
      <c r="AI25" s="66">
        <v>0</v>
      </c>
      <c r="AJ25" s="97" t="s">
        <v>712</v>
      </c>
      <c r="AK25" s="66" t="b">
        <v>0</v>
      </c>
      <c r="AL25" s="66" t="s">
        <v>715</v>
      </c>
      <c r="AM25" s="66"/>
      <c r="AN25" s="97" t="s">
        <v>712</v>
      </c>
      <c r="AO25" s="66" t="b">
        <v>0</v>
      </c>
      <c r="AP25" s="66">
        <v>5</v>
      </c>
      <c r="AQ25" s="97" t="s">
        <v>601</v>
      </c>
      <c r="AR25" s="97" t="s">
        <v>717</v>
      </c>
      <c r="AS25" s="66" t="b">
        <v>0</v>
      </c>
      <c r="AT25" s="97" t="s">
        <v>601</v>
      </c>
      <c r="AU25" s="66" t="s">
        <v>241</v>
      </c>
      <c r="AV25" s="66">
        <v>0</v>
      </c>
      <c r="AW25" s="66">
        <v>0</v>
      </c>
      <c r="AX25" s="66"/>
      <c r="AY25" s="66"/>
      <c r="AZ25" s="66"/>
      <c r="BA25" s="66"/>
      <c r="BB25" s="66"/>
      <c r="BC25" s="66"/>
      <c r="BD25" s="66"/>
      <c r="BE25" s="66"/>
      <c r="BF25" s="45">
        <v>0</v>
      </c>
      <c r="BG25" s="46">
        <v>0</v>
      </c>
      <c r="BH25" s="45">
        <v>0</v>
      </c>
      <c r="BI25" s="46">
        <v>0</v>
      </c>
      <c r="BJ25" s="45">
        <v>0</v>
      </c>
      <c r="BK25" s="46">
        <v>0</v>
      </c>
      <c r="BL25" s="45">
        <v>21</v>
      </c>
      <c r="BM25" s="46">
        <v>91.30434782608695</v>
      </c>
      <c r="BN25" s="45">
        <v>23</v>
      </c>
    </row>
    <row r="26" spans="1:66" ht="15">
      <c r="A26" s="62" t="s">
        <v>282</v>
      </c>
      <c r="B26" s="62" t="s">
        <v>298</v>
      </c>
      <c r="C26" s="64" t="s">
        <v>1504</v>
      </c>
      <c r="D26" s="67">
        <v>3</v>
      </c>
      <c r="E26" s="68" t="s">
        <v>132</v>
      </c>
      <c r="F26" s="69">
        <v>32</v>
      </c>
      <c r="G26" s="64"/>
      <c r="H26" s="70"/>
      <c r="I26" s="71"/>
      <c r="J26" s="71"/>
      <c r="K26" s="31" t="s">
        <v>65</v>
      </c>
      <c r="L26" s="79">
        <v>26</v>
      </c>
      <c r="M26" s="79"/>
      <c r="N26" s="73"/>
      <c r="O26" s="66">
        <v>1</v>
      </c>
      <c r="P26" s="63" t="str">
        <f>REPLACE(INDEX(GroupVertices[Group],MATCH(Edges[[#This Row],[Vertex 1]],GroupVertices[Vertex],0)),1,1,"")</f>
        <v>1</v>
      </c>
      <c r="Q26" s="63" t="str">
        <f>REPLACE(INDEX(GroupVertices[Group],MATCH(Edges[[#This Row],[Vertex 2]],GroupVertices[Vertex],0)),1,1,"")</f>
        <v>2</v>
      </c>
      <c r="R26" s="66" t="s">
        <v>315</v>
      </c>
      <c r="S26" s="91">
        <v>44877.56689814815</v>
      </c>
      <c r="T26" s="66" t="s">
        <v>322</v>
      </c>
      <c r="U26" s="94" t="str">
        <f>HYPERLINK("https://www.europapress.es/sociedad/noticia-madrid-acoge-fin-semana-cumbre-internacional-criopreservacion-humana-20221111121558.html")</f>
        <v>https://www.europapress.es/sociedad/noticia-madrid-acoge-fin-semana-cumbre-internacional-criopreservacion-humana-20221111121558.html</v>
      </c>
      <c r="V26" s="66" t="s">
        <v>404</v>
      </c>
      <c r="W26" s="97" t="s">
        <v>425</v>
      </c>
      <c r="X26" s="94" t="str">
        <f>HYPERLINK("https://pbs.twimg.com/media/FhXLrnHXwAAfpE5.jpg")</f>
        <v>https://pbs.twimg.com/media/FhXLrnHXwAAfpE5.jpg</v>
      </c>
      <c r="Y26" s="94" t="str">
        <f>HYPERLINK("https://pbs.twimg.com/media/FhXLrnHXwAAfpE5.jpg")</f>
        <v>https://pbs.twimg.com/media/FhXLrnHXwAAfpE5.jpg</v>
      </c>
      <c r="Z26" s="91">
        <v>44877.56689814815</v>
      </c>
      <c r="AA26" s="100">
        <v>44877</v>
      </c>
      <c r="AB26" s="97" t="s">
        <v>446</v>
      </c>
      <c r="AC26" s="94" t="str">
        <f>HYPERLINK("https://twitter.com/paoloigna1/status/1591424658418831360")</f>
        <v>https://twitter.com/paoloigna1/status/1591424658418831360</v>
      </c>
      <c r="AD26" s="66"/>
      <c r="AE26" s="66"/>
      <c r="AF26" s="97" t="s">
        <v>579</v>
      </c>
      <c r="AG26" s="66"/>
      <c r="AH26" s="66" t="b">
        <v>0</v>
      </c>
      <c r="AI26" s="66">
        <v>0</v>
      </c>
      <c r="AJ26" s="97" t="s">
        <v>712</v>
      </c>
      <c r="AK26" s="66" t="b">
        <v>0</v>
      </c>
      <c r="AL26" s="66" t="s">
        <v>715</v>
      </c>
      <c r="AM26" s="66"/>
      <c r="AN26" s="97" t="s">
        <v>712</v>
      </c>
      <c r="AO26" s="66" t="b">
        <v>0</v>
      </c>
      <c r="AP26" s="66">
        <v>1</v>
      </c>
      <c r="AQ26" s="97" t="s">
        <v>654</v>
      </c>
      <c r="AR26" s="97" t="s">
        <v>717</v>
      </c>
      <c r="AS26" s="66" t="b">
        <v>0</v>
      </c>
      <c r="AT26" s="97" t="s">
        <v>654</v>
      </c>
      <c r="AU26" s="66" t="s">
        <v>241</v>
      </c>
      <c r="AV26" s="66">
        <v>0</v>
      </c>
      <c r="AW26" s="66">
        <v>0</v>
      </c>
      <c r="AX26" s="66"/>
      <c r="AY26" s="66"/>
      <c r="AZ26" s="66"/>
      <c r="BA26" s="66"/>
      <c r="BB26" s="66"/>
      <c r="BC26" s="66"/>
      <c r="BD26" s="66"/>
      <c r="BE26" s="66"/>
      <c r="BF26" s="45">
        <v>0</v>
      </c>
      <c r="BG26" s="46">
        <v>0</v>
      </c>
      <c r="BH26" s="45">
        <v>0</v>
      </c>
      <c r="BI26" s="46">
        <v>0</v>
      </c>
      <c r="BJ26" s="45">
        <v>0</v>
      </c>
      <c r="BK26" s="46">
        <v>0</v>
      </c>
      <c r="BL26" s="45">
        <v>10</v>
      </c>
      <c r="BM26" s="46">
        <v>76.92307692307692</v>
      </c>
      <c r="BN26" s="45">
        <v>13</v>
      </c>
    </row>
    <row r="27" spans="1:66" ht="15">
      <c r="A27" s="62" t="s">
        <v>282</v>
      </c>
      <c r="B27" s="62" t="s">
        <v>305</v>
      </c>
      <c r="C27" s="64" t="s">
        <v>1504</v>
      </c>
      <c r="D27" s="67">
        <v>3</v>
      </c>
      <c r="E27" s="68" t="s">
        <v>132</v>
      </c>
      <c r="F27" s="69">
        <v>32</v>
      </c>
      <c r="G27" s="64"/>
      <c r="H27" s="70"/>
      <c r="I27" s="71"/>
      <c r="J27" s="71"/>
      <c r="K27" s="31" t="s">
        <v>65</v>
      </c>
      <c r="L27" s="79">
        <v>27</v>
      </c>
      <c r="M27" s="79"/>
      <c r="N27" s="73"/>
      <c r="O27" s="66">
        <v>1</v>
      </c>
      <c r="P27" s="63" t="str">
        <f>REPLACE(INDEX(GroupVertices[Group],MATCH(Edges[[#This Row],[Vertex 1]],GroupVertices[Vertex],0)),1,1,"")</f>
        <v>1</v>
      </c>
      <c r="Q27" s="63" t="str">
        <f>REPLACE(INDEX(GroupVertices[Group],MATCH(Edges[[#This Row],[Vertex 2]],GroupVertices[Vertex],0)),1,1,"")</f>
        <v>4</v>
      </c>
      <c r="R27" s="66" t="s">
        <v>315</v>
      </c>
      <c r="S27" s="91">
        <v>44877.56693287037</v>
      </c>
      <c r="T27" s="66" t="s">
        <v>323</v>
      </c>
      <c r="U27" s="66" t="s">
        <v>393</v>
      </c>
      <c r="V27" s="66" t="s">
        <v>405</v>
      </c>
      <c r="W27" s="97" t="s">
        <v>426</v>
      </c>
      <c r="X27" s="66"/>
      <c r="Y27" s="94" t="str">
        <f>HYPERLINK("https://pbs.twimg.com/profile_images/1060178682403266561/Kuf9_hvx_normal.jpg")</f>
        <v>https://pbs.twimg.com/profile_images/1060178682403266561/Kuf9_hvx_normal.jpg</v>
      </c>
      <c r="Z27" s="91">
        <v>44877.56693287037</v>
      </c>
      <c r="AA27" s="100">
        <v>44877</v>
      </c>
      <c r="AB27" s="97" t="s">
        <v>447</v>
      </c>
      <c r="AC27" s="94" t="str">
        <f>HYPERLINK("https://twitter.com/paoloigna1/status/1591424670167097344")</f>
        <v>https://twitter.com/paoloigna1/status/1591424670167097344</v>
      </c>
      <c r="AD27" s="66"/>
      <c r="AE27" s="66"/>
      <c r="AF27" s="97" t="s">
        <v>580</v>
      </c>
      <c r="AG27" s="66"/>
      <c r="AH27" s="66" t="b">
        <v>0</v>
      </c>
      <c r="AI27" s="66">
        <v>0</v>
      </c>
      <c r="AJ27" s="97" t="s">
        <v>712</v>
      </c>
      <c r="AK27" s="66" t="b">
        <v>0</v>
      </c>
      <c r="AL27" s="66" t="s">
        <v>715</v>
      </c>
      <c r="AM27" s="66"/>
      <c r="AN27" s="97" t="s">
        <v>712</v>
      </c>
      <c r="AO27" s="66" t="b">
        <v>0</v>
      </c>
      <c r="AP27" s="66">
        <v>1</v>
      </c>
      <c r="AQ27" s="97" t="s">
        <v>690</v>
      </c>
      <c r="AR27" s="97" t="s">
        <v>717</v>
      </c>
      <c r="AS27" s="66" t="b">
        <v>0</v>
      </c>
      <c r="AT27" s="97" t="s">
        <v>690</v>
      </c>
      <c r="AU27" s="66" t="s">
        <v>241</v>
      </c>
      <c r="AV27" s="66">
        <v>0</v>
      </c>
      <c r="AW27" s="66">
        <v>0</v>
      </c>
      <c r="AX27" s="66"/>
      <c r="AY27" s="66"/>
      <c r="AZ27" s="66"/>
      <c r="BA27" s="66"/>
      <c r="BB27" s="66"/>
      <c r="BC27" s="66"/>
      <c r="BD27" s="66"/>
      <c r="BE27" s="66"/>
      <c r="BF27" s="45">
        <v>0</v>
      </c>
      <c r="BG27" s="46">
        <v>0</v>
      </c>
      <c r="BH27" s="45">
        <v>0</v>
      </c>
      <c r="BI27" s="46">
        <v>0</v>
      </c>
      <c r="BJ27" s="45">
        <v>0</v>
      </c>
      <c r="BK27" s="46">
        <v>0</v>
      </c>
      <c r="BL27" s="45">
        <v>24</v>
      </c>
      <c r="BM27" s="46">
        <v>68.57142857142857</v>
      </c>
      <c r="BN27" s="45">
        <v>35</v>
      </c>
    </row>
    <row r="28" spans="1:66" ht="15">
      <c r="A28" s="62" t="s">
        <v>283</v>
      </c>
      <c r="B28" s="62" t="s">
        <v>304</v>
      </c>
      <c r="C28" s="64" t="s">
        <v>1504</v>
      </c>
      <c r="D28" s="67">
        <v>3</v>
      </c>
      <c r="E28" s="68" t="s">
        <v>132</v>
      </c>
      <c r="F28" s="69">
        <v>32</v>
      </c>
      <c r="G28" s="64"/>
      <c r="H28" s="70"/>
      <c r="I28" s="71"/>
      <c r="J28" s="71"/>
      <c r="K28" s="31" t="s">
        <v>65</v>
      </c>
      <c r="L28" s="79">
        <v>28</v>
      </c>
      <c r="M28" s="79"/>
      <c r="N28" s="73"/>
      <c r="O28" s="66">
        <v>1</v>
      </c>
      <c r="P28" s="63" t="str">
        <f>REPLACE(INDEX(GroupVertices[Group],MATCH(Edges[[#This Row],[Vertex 1]],GroupVertices[Vertex],0)),1,1,"")</f>
        <v>1</v>
      </c>
      <c r="Q28" s="63" t="str">
        <f>REPLACE(INDEX(GroupVertices[Group],MATCH(Edges[[#This Row],[Vertex 2]],GroupVertices[Vertex],0)),1,1,"")</f>
        <v>5</v>
      </c>
      <c r="R28" s="66" t="s">
        <v>316</v>
      </c>
      <c r="S28" s="91">
        <v>44877.56952546296</v>
      </c>
      <c r="T28" s="66" t="s">
        <v>321</v>
      </c>
      <c r="U28" s="94" t="str">
        <f>HYPERLINK("https://www.youtube.com/watch?v=xb0JCOgMsXc&amp;feature=youtu.be")</f>
        <v>https://www.youtube.com/watch?v=xb0JCOgMsXc&amp;feature=youtu.be</v>
      </c>
      <c r="V28" s="66" t="s">
        <v>403</v>
      </c>
      <c r="W28" s="97" t="s">
        <v>424</v>
      </c>
      <c r="X28" s="94" t="str">
        <f>HYPERLINK("https://pbs.twimg.com/media/FhW7ZTpXkAAZ4Hh.jpg")</f>
        <v>https://pbs.twimg.com/media/FhW7ZTpXkAAZ4Hh.jpg</v>
      </c>
      <c r="Y28" s="94" t="str">
        <f>HYPERLINK("https://pbs.twimg.com/media/FhW7ZTpXkAAZ4Hh.jpg")</f>
        <v>https://pbs.twimg.com/media/FhW7ZTpXkAAZ4Hh.jpg</v>
      </c>
      <c r="Z28" s="91">
        <v>44877.56952546296</v>
      </c>
      <c r="AA28" s="100">
        <v>44877</v>
      </c>
      <c r="AB28" s="97" t="s">
        <v>448</v>
      </c>
      <c r="AC28" s="94" t="str">
        <f>HYPERLINK("https://twitter.com/iosu_blanco/status/1591425610903068676")</f>
        <v>https://twitter.com/iosu_blanco/status/1591425610903068676</v>
      </c>
      <c r="AD28" s="66"/>
      <c r="AE28" s="66"/>
      <c r="AF28" s="97" t="s">
        <v>581</v>
      </c>
      <c r="AG28" s="66"/>
      <c r="AH28" s="66" t="b">
        <v>0</v>
      </c>
      <c r="AI28" s="66">
        <v>0</v>
      </c>
      <c r="AJ28" s="97" t="s">
        <v>712</v>
      </c>
      <c r="AK28" s="66" t="b">
        <v>0</v>
      </c>
      <c r="AL28" s="66" t="s">
        <v>715</v>
      </c>
      <c r="AM28" s="66"/>
      <c r="AN28" s="97" t="s">
        <v>712</v>
      </c>
      <c r="AO28" s="66" t="b">
        <v>0</v>
      </c>
      <c r="AP28" s="66">
        <v>5</v>
      </c>
      <c r="AQ28" s="97" t="s">
        <v>601</v>
      </c>
      <c r="AR28" s="97" t="s">
        <v>719</v>
      </c>
      <c r="AS28" s="66" t="b">
        <v>0</v>
      </c>
      <c r="AT28" s="97" t="s">
        <v>601</v>
      </c>
      <c r="AU28" s="66" t="s">
        <v>241</v>
      </c>
      <c r="AV28" s="66">
        <v>0</v>
      </c>
      <c r="AW28" s="66">
        <v>0</v>
      </c>
      <c r="AX28" s="66"/>
      <c r="AY28" s="66"/>
      <c r="AZ28" s="66"/>
      <c r="BA28" s="66"/>
      <c r="BB28" s="66"/>
      <c r="BC28" s="66"/>
      <c r="BD28" s="66"/>
      <c r="BE28" s="66"/>
      <c r="BF28" s="45"/>
      <c r="BG28" s="46"/>
      <c r="BH28" s="45"/>
      <c r="BI28" s="46"/>
      <c r="BJ28" s="45"/>
      <c r="BK28" s="46"/>
      <c r="BL28" s="45"/>
      <c r="BM28" s="46"/>
      <c r="BN28" s="45"/>
    </row>
    <row r="29" spans="1:66" ht="15">
      <c r="A29" s="62" t="s">
        <v>283</v>
      </c>
      <c r="B29" s="62" t="s">
        <v>309</v>
      </c>
      <c r="C29" s="64" t="s">
        <v>1504</v>
      </c>
      <c r="D29" s="67">
        <v>3</v>
      </c>
      <c r="E29" s="68" t="s">
        <v>132</v>
      </c>
      <c r="F29" s="69">
        <v>32</v>
      </c>
      <c r="G29" s="64"/>
      <c r="H29" s="70"/>
      <c r="I29" s="71"/>
      <c r="J29" s="71"/>
      <c r="K29" s="31" t="s">
        <v>65</v>
      </c>
      <c r="L29" s="79">
        <v>29</v>
      </c>
      <c r="M29" s="79"/>
      <c r="N29" s="73"/>
      <c r="O29" s="66">
        <v>1</v>
      </c>
      <c r="P29" s="63" t="str">
        <f>REPLACE(INDEX(GroupVertices[Group],MATCH(Edges[[#This Row],[Vertex 1]],GroupVertices[Vertex],0)),1,1,"")</f>
        <v>1</v>
      </c>
      <c r="Q29" s="63" t="str">
        <f>REPLACE(INDEX(GroupVertices[Group],MATCH(Edges[[#This Row],[Vertex 2]],GroupVertices[Vertex],0)),1,1,"")</f>
        <v>1</v>
      </c>
      <c r="R29" s="66" t="s">
        <v>316</v>
      </c>
      <c r="S29" s="91">
        <v>44877.56952546296</v>
      </c>
      <c r="T29" s="66" t="s">
        <v>321</v>
      </c>
      <c r="U29" s="94" t="str">
        <f>HYPERLINK("https://www.youtube.com/watch?v=xb0JCOgMsXc&amp;feature=youtu.be")</f>
        <v>https://www.youtube.com/watch?v=xb0JCOgMsXc&amp;feature=youtu.be</v>
      </c>
      <c r="V29" s="66" t="s">
        <v>403</v>
      </c>
      <c r="W29" s="97" t="s">
        <v>424</v>
      </c>
      <c r="X29" s="94" t="str">
        <f>HYPERLINK("https://pbs.twimg.com/media/FhW7ZTpXkAAZ4Hh.jpg")</f>
        <v>https://pbs.twimg.com/media/FhW7ZTpXkAAZ4Hh.jpg</v>
      </c>
      <c r="Y29" s="94" t="str">
        <f>HYPERLINK("https://pbs.twimg.com/media/FhW7ZTpXkAAZ4Hh.jpg")</f>
        <v>https://pbs.twimg.com/media/FhW7ZTpXkAAZ4Hh.jpg</v>
      </c>
      <c r="Z29" s="91">
        <v>44877.56952546296</v>
      </c>
      <c r="AA29" s="100">
        <v>44877</v>
      </c>
      <c r="AB29" s="97" t="s">
        <v>448</v>
      </c>
      <c r="AC29" s="94" t="str">
        <f>HYPERLINK("https://twitter.com/iosu_blanco/status/1591425610903068676")</f>
        <v>https://twitter.com/iosu_blanco/status/1591425610903068676</v>
      </c>
      <c r="AD29" s="66"/>
      <c r="AE29" s="66"/>
      <c r="AF29" s="97" t="s">
        <v>581</v>
      </c>
      <c r="AG29" s="66"/>
      <c r="AH29" s="66" t="b">
        <v>0</v>
      </c>
      <c r="AI29" s="66">
        <v>0</v>
      </c>
      <c r="AJ29" s="97" t="s">
        <v>712</v>
      </c>
      <c r="AK29" s="66" t="b">
        <v>0</v>
      </c>
      <c r="AL29" s="66" t="s">
        <v>715</v>
      </c>
      <c r="AM29" s="66"/>
      <c r="AN29" s="97" t="s">
        <v>712</v>
      </c>
      <c r="AO29" s="66" t="b">
        <v>0</v>
      </c>
      <c r="AP29" s="66">
        <v>5</v>
      </c>
      <c r="AQ29" s="97" t="s">
        <v>601</v>
      </c>
      <c r="AR29" s="97" t="s">
        <v>719</v>
      </c>
      <c r="AS29" s="66" t="b">
        <v>0</v>
      </c>
      <c r="AT29" s="97" t="s">
        <v>601</v>
      </c>
      <c r="AU29" s="66" t="s">
        <v>241</v>
      </c>
      <c r="AV29" s="66">
        <v>0</v>
      </c>
      <c r="AW29" s="66">
        <v>0</v>
      </c>
      <c r="AX29" s="66"/>
      <c r="AY29" s="66"/>
      <c r="AZ29" s="66"/>
      <c r="BA29" s="66"/>
      <c r="BB29" s="66"/>
      <c r="BC29" s="66"/>
      <c r="BD29" s="66"/>
      <c r="BE29" s="66"/>
      <c r="BF29" s="45"/>
      <c r="BG29" s="46"/>
      <c r="BH29" s="45"/>
      <c r="BI29" s="46"/>
      <c r="BJ29" s="45"/>
      <c r="BK29" s="46"/>
      <c r="BL29" s="45"/>
      <c r="BM29" s="46"/>
      <c r="BN29" s="45"/>
    </row>
    <row r="30" spans="1:66" ht="15">
      <c r="A30" s="62" t="s">
        <v>283</v>
      </c>
      <c r="B30" s="62" t="s">
        <v>308</v>
      </c>
      <c r="C30" s="64" t="s">
        <v>1504</v>
      </c>
      <c r="D30" s="67">
        <v>3</v>
      </c>
      <c r="E30" s="68" t="s">
        <v>132</v>
      </c>
      <c r="F30" s="69">
        <v>32</v>
      </c>
      <c r="G30" s="64"/>
      <c r="H30" s="70"/>
      <c r="I30" s="71"/>
      <c r="J30" s="71"/>
      <c r="K30" s="31" t="s">
        <v>65</v>
      </c>
      <c r="L30" s="79">
        <v>30</v>
      </c>
      <c r="M30" s="79"/>
      <c r="N30" s="73"/>
      <c r="O30" s="66">
        <v>1</v>
      </c>
      <c r="P30" s="63" t="str">
        <f>REPLACE(INDEX(GroupVertices[Group],MATCH(Edges[[#This Row],[Vertex 1]],GroupVertices[Vertex],0)),1,1,"")</f>
        <v>1</v>
      </c>
      <c r="Q30" s="63" t="str">
        <f>REPLACE(INDEX(GroupVertices[Group],MATCH(Edges[[#This Row],[Vertex 2]],GroupVertices[Vertex],0)),1,1,"")</f>
        <v>3</v>
      </c>
      <c r="R30" s="66" t="s">
        <v>316</v>
      </c>
      <c r="S30" s="91">
        <v>44877.56952546296</v>
      </c>
      <c r="T30" s="66" t="s">
        <v>321</v>
      </c>
      <c r="U30" s="94" t="str">
        <f>HYPERLINK("https://www.youtube.com/watch?v=xb0JCOgMsXc&amp;feature=youtu.be")</f>
        <v>https://www.youtube.com/watch?v=xb0JCOgMsXc&amp;feature=youtu.be</v>
      </c>
      <c r="V30" s="66" t="s">
        <v>403</v>
      </c>
      <c r="W30" s="97" t="s">
        <v>424</v>
      </c>
      <c r="X30" s="94" t="str">
        <f>HYPERLINK("https://pbs.twimg.com/media/FhW7ZTpXkAAZ4Hh.jpg")</f>
        <v>https://pbs.twimg.com/media/FhW7ZTpXkAAZ4Hh.jpg</v>
      </c>
      <c r="Y30" s="94" t="str">
        <f>HYPERLINK("https://pbs.twimg.com/media/FhW7ZTpXkAAZ4Hh.jpg")</f>
        <v>https://pbs.twimg.com/media/FhW7ZTpXkAAZ4Hh.jpg</v>
      </c>
      <c r="Z30" s="91">
        <v>44877.56952546296</v>
      </c>
      <c r="AA30" s="100">
        <v>44877</v>
      </c>
      <c r="AB30" s="97" t="s">
        <v>448</v>
      </c>
      <c r="AC30" s="94" t="str">
        <f>HYPERLINK("https://twitter.com/iosu_blanco/status/1591425610903068676")</f>
        <v>https://twitter.com/iosu_blanco/status/1591425610903068676</v>
      </c>
      <c r="AD30" s="66"/>
      <c r="AE30" s="66"/>
      <c r="AF30" s="97" t="s">
        <v>581</v>
      </c>
      <c r="AG30" s="66"/>
      <c r="AH30" s="66" t="b">
        <v>0</v>
      </c>
      <c r="AI30" s="66">
        <v>0</v>
      </c>
      <c r="AJ30" s="97" t="s">
        <v>712</v>
      </c>
      <c r="AK30" s="66" t="b">
        <v>0</v>
      </c>
      <c r="AL30" s="66" t="s">
        <v>715</v>
      </c>
      <c r="AM30" s="66"/>
      <c r="AN30" s="97" t="s">
        <v>712</v>
      </c>
      <c r="AO30" s="66" t="b">
        <v>0</v>
      </c>
      <c r="AP30" s="66">
        <v>5</v>
      </c>
      <c r="AQ30" s="97" t="s">
        <v>601</v>
      </c>
      <c r="AR30" s="97" t="s">
        <v>719</v>
      </c>
      <c r="AS30" s="66" t="b">
        <v>0</v>
      </c>
      <c r="AT30" s="97" t="s">
        <v>601</v>
      </c>
      <c r="AU30" s="66" t="s">
        <v>241</v>
      </c>
      <c r="AV30" s="66">
        <v>0</v>
      </c>
      <c r="AW30" s="66">
        <v>0</v>
      </c>
      <c r="AX30" s="66"/>
      <c r="AY30" s="66"/>
      <c r="AZ30" s="66"/>
      <c r="BA30" s="66"/>
      <c r="BB30" s="66"/>
      <c r="BC30" s="66"/>
      <c r="BD30" s="66"/>
      <c r="BE30" s="66"/>
      <c r="BF30" s="45"/>
      <c r="BG30" s="46"/>
      <c r="BH30" s="45"/>
      <c r="BI30" s="46"/>
      <c r="BJ30" s="45"/>
      <c r="BK30" s="46"/>
      <c r="BL30" s="45"/>
      <c r="BM30" s="46"/>
      <c r="BN30" s="45"/>
    </row>
    <row r="31" spans="1:66" ht="15">
      <c r="A31" s="62" t="s">
        <v>283</v>
      </c>
      <c r="B31" s="62" t="s">
        <v>310</v>
      </c>
      <c r="C31" s="64" t="s">
        <v>1504</v>
      </c>
      <c r="D31" s="67">
        <v>3</v>
      </c>
      <c r="E31" s="68" t="s">
        <v>132</v>
      </c>
      <c r="F31" s="69">
        <v>32</v>
      </c>
      <c r="G31" s="64"/>
      <c r="H31" s="70"/>
      <c r="I31" s="71"/>
      <c r="J31" s="71"/>
      <c r="K31" s="31" t="s">
        <v>65</v>
      </c>
      <c r="L31" s="79">
        <v>31</v>
      </c>
      <c r="M31" s="79"/>
      <c r="N31" s="73"/>
      <c r="O31" s="66">
        <v>1</v>
      </c>
      <c r="P31" s="63" t="str">
        <f>REPLACE(INDEX(GroupVertices[Group],MATCH(Edges[[#This Row],[Vertex 1]],GroupVertices[Vertex],0)),1,1,"")</f>
        <v>1</v>
      </c>
      <c r="Q31" s="63" t="str">
        <f>REPLACE(INDEX(GroupVertices[Group],MATCH(Edges[[#This Row],[Vertex 2]],GroupVertices[Vertex],0)),1,1,"")</f>
        <v>2</v>
      </c>
      <c r="R31" s="66" t="s">
        <v>316</v>
      </c>
      <c r="S31" s="91">
        <v>44877.56952546296</v>
      </c>
      <c r="T31" s="66" t="s">
        <v>321</v>
      </c>
      <c r="U31" s="94" t="str">
        <f>HYPERLINK("https://www.youtube.com/watch?v=xb0JCOgMsXc&amp;feature=youtu.be")</f>
        <v>https://www.youtube.com/watch?v=xb0JCOgMsXc&amp;feature=youtu.be</v>
      </c>
      <c r="V31" s="66" t="s">
        <v>403</v>
      </c>
      <c r="W31" s="97" t="s">
        <v>424</v>
      </c>
      <c r="X31" s="94" t="str">
        <f>HYPERLINK("https://pbs.twimg.com/media/FhW7ZTpXkAAZ4Hh.jpg")</f>
        <v>https://pbs.twimg.com/media/FhW7ZTpXkAAZ4Hh.jpg</v>
      </c>
      <c r="Y31" s="94" t="str">
        <f>HYPERLINK("https://pbs.twimg.com/media/FhW7ZTpXkAAZ4Hh.jpg")</f>
        <v>https://pbs.twimg.com/media/FhW7ZTpXkAAZ4Hh.jpg</v>
      </c>
      <c r="Z31" s="91">
        <v>44877.56952546296</v>
      </c>
      <c r="AA31" s="100">
        <v>44877</v>
      </c>
      <c r="AB31" s="97" t="s">
        <v>448</v>
      </c>
      <c r="AC31" s="94" t="str">
        <f>HYPERLINK("https://twitter.com/iosu_blanco/status/1591425610903068676")</f>
        <v>https://twitter.com/iosu_blanco/status/1591425610903068676</v>
      </c>
      <c r="AD31" s="66"/>
      <c r="AE31" s="66"/>
      <c r="AF31" s="97" t="s">
        <v>581</v>
      </c>
      <c r="AG31" s="66"/>
      <c r="AH31" s="66" t="b">
        <v>0</v>
      </c>
      <c r="AI31" s="66">
        <v>0</v>
      </c>
      <c r="AJ31" s="97" t="s">
        <v>712</v>
      </c>
      <c r="AK31" s="66" t="b">
        <v>0</v>
      </c>
      <c r="AL31" s="66" t="s">
        <v>715</v>
      </c>
      <c r="AM31" s="66"/>
      <c r="AN31" s="97" t="s">
        <v>712</v>
      </c>
      <c r="AO31" s="66" t="b">
        <v>0</v>
      </c>
      <c r="AP31" s="66">
        <v>5</v>
      </c>
      <c r="AQ31" s="97" t="s">
        <v>601</v>
      </c>
      <c r="AR31" s="97" t="s">
        <v>719</v>
      </c>
      <c r="AS31" s="66" t="b">
        <v>0</v>
      </c>
      <c r="AT31" s="97" t="s">
        <v>601</v>
      </c>
      <c r="AU31" s="66" t="s">
        <v>241</v>
      </c>
      <c r="AV31" s="66">
        <v>0</v>
      </c>
      <c r="AW31" s="66">
        <v>0</v>
      </c>
      <c r="AX31" s="66"/>
      <c r="AY31" s="66"/>
      <c r="AZ31" s="66"/>
      <c r="BA31" s="66"/>
      <c r="BB31" s="66"/>
      <c r="BC31" s="66"/>
      <c r="BD31" s="66"/>
      <c r="BE31" s="66"/>
      <c r="BF31" s="45"/>
      <c r="BG31" s="46"/>
      <c r="BH31" s="45"/>
      <c r="BI31" s="46"/>
      <c r="BJ31" s="45"/>
      <c r="BK31" s="46"/>
      <c r="BL31" s="45"/>
      <c r="BM31" s="46"/>
      <c r="BN31" s="45"/>
    </row>
    <row r="32" spans="1:66" ht="15">
      <c r="A32" s="62" t="s">
        <v>283</v>
      </c>
      <c r="B32" s="62" t="s">
        <v>307</v>
      </c>
      <c r="C32" s="64" t="s">
        <v>1504</v>
      </c>
      <c r="D32" s="67">
        <v>3</v>
      </c>
      <c r="E32" s="68" t="s">
        <v>132</v>
      </c>
      <c r="F32" s="69">
        <v>32</v>
      </c>
      <c r="G32" s="64"/>
      <c r="H32" s="70"/>
      <c r="I32" s="71"/>
      <c r="J32" s="71"/>
      <c r="K32" s="31" t="s">
        <v>65</v>
      </c>
      <c r="L32" s="79">
        <v>32</v>
      </c>
      <c r="M32" s="79"/>
      <c r="N32" s="73"/>
      <c r="O32" s="66">
        <v>1</v>
      </c>
      <c r="P32" s="63" t="str">
        <f>REPLACE(INDEX(GroupVertices[Group],MATCH(Edges[[#This Row],[Vertex 1]],GroupVertices[Vertex],0)),1,1,"")</f>
        <v>1</v>
      </c>
      <c r="Q32" s="63" t="str">
        <f>REPLACE(INDEX(GroupVertices[Group],MATCH(Edges[[#This Row],[Vertex 2]],GroupVertices[Vertex],0)),1,1,"")</f>
        <v>3</v>
      </c>
      <c r="R32" s="66" t="s">
        <v>316</v>
      </c>
      <c r="S32" s="91">
        <v>44877.56952546296</v>
      </c>
      <c r="T32" s="66" t="s">
        <v>321</v>
      </c>
      <c r="U32" s="94" t="str">
        <f>HYPERLINK("https://www.youtube.com/watch?v=xb0JCOgMsXc&amp;feature=youtu.be")</f>
        <v>https://www.youtube.com/watch?v=xb0JCOgMsXc&amp;feature=youtu.be</v>
      </c>
      <c r="V32" s="66" t="s">
        <v>403</v>
      </c>
      <c r="W32" s="97" t="s">
        <v>424</v>
      </c>
      <c r="X32" s="94" t="str">
        <f>HYPERLINK("https://pbs.twimg.com/media/FhW7ZTpXkAAZ4Hh.jpg")</f>
        <v>https://pbs.twimg.com/media/FhW7ZTpXkAAZ4Hh.jpg</v>
      </c>
      <c r="Y32" s="94" t="str">
        <f>HYPERLINK("https://pbs.twimg.com/media/FhW7ZTpXkAAZ4Hh.jpg")</f>
        <v>https://pbs.twimg.com/media/FhW7ZTpXkAAZ4Hh.jpg</v>
      </c>
      <c r="Z32" s="91">
        <v>44877.56952546296</v>
      </c>
      <c r="AA32" s="100">
        <v>44877</v>
      </c>
      <c r="AB32" s="97" t="s">
        <v>448</v>
      </c>
      <c r="AC32" s="94" t="str">
        <f>HYPERLINK("https://twitter.com/iosu_blanco/status/1591425610903068676")</f>
        <v>https://twitter.com/iosu_blanco/status/1591425610903068676</v>
      </c>
      <c r="AD32" s="66"/>
      <c r="AE32" s="66"/>
      <c r="AF32" s="97" t="s">
        <v>581</v>
      </c>
      <c r="AG32" s="66"/>
      <c r="AH32" s="66" t="b">
        <v>0</v>
      </c>
      <c r="AI32" s="66">
        <v>0</v>
      </c>
      <c r="AJ32" s="97" t="s">
        <v>712</v>
      </c>
      <c r="AK32" s="66" t="b">
        <v>0</v>
      </c>
      <c r="AL32" s="66" t="s">
        <v>715</v>
      </c>
      <c r="AM32" s="66"/>
      <c r="AN32" s="97" t="s">
        <v>712</v>
      </c>
      <c r="AO32" s="66" t="b">
        <v>0</v>
      </c>
      <c r="AP32" s="66">
        <v>5</v>
      </c>
      <c r="AQ32" s="97" t="s">
        <v>601</v>
      </c>
      <c r="AR32" s="97" t="s">
        <v>719</v>
      </c>
      <c r="AS32" s="66" t="b">
        <v>0</v>
      </c>
      <c r="AT32" s="97" t="s">
        <v>601</v>
      </c>
      <c r="AU32" s="66" t="s">
        <v>241</v>
      </c>
      <c r="AV32" s="66">
        <v>0</v>
      </c>
      <c r="AW32" s="66">
        <v>0</v>
      </c>
      <c r="AX32" s="66"/>
      <c r="AY32" s="66"/>
      <c r="AZ32" s="66"/>
      <c r="BA32" s="66"/>
      <c r="BB32" s="66"/>
      <c r="BC32" s="66"/>
      <c r="BD32" s="66"/>
      <c r="BE32" s="66"/>
      <c r="BF32" s="45"/>
      <c r="BG32" s="46"/>
      <c r="BH32" s="45"/>
      <c r="BI32" s="46"/>
      <c r="BJ32" s="45"/>
      <c r="BK32" s="46"/>
      <c r="BL32" s="45"/>
      <c r="BM32" s="46"/>
      <c r="BN32" s="45"/>
    </row>
    <row r="33" spans="1:66" ht="15">
      <c r="A33" s="62" t="s">
        <v>283</v>
      </c>
      <c r="B33" s="62" t="s">
        <v>305</v>
      </c>
      <c r="C33" s="64" t="s">
        <v>1504</v>
      </c>
      <c r="D33" s="67">
        <v>3</v>
      </c>
      <c r="E33" s="68" t="s">
        <v>132</v>
      </c>
      <c r="F33" s="69">
        <v>32</v>
      </c>
      <c r="G33" s="64"/>
      <c r="H33" s="70"/>
      <c r="I33" s="71"/>
      <c r="J33" s="71"/>
      <c r="K33" s="31" t="s">
        <v>65</v>
      </c>
      <c r="L33" s="79">
        <v>33</v>
      </c>
      <c r="M33" s="79"/>
      <c r="N33" s="73"/>
      <c r="O33" s="66">
        <v>1</v>
      </c>
      <c r="P33" s="63" t="str">
        <f>REPLACE(INDEX(GroupVertices[Group],MATCH(Edges[[#This Row],[Vertex 1]],GroupVertices[Vertex],0)),1,1,"")</f>
        <v>1</v>
      </c>
      <c r="Q33" s="63" t="str">
        <f>REPLACE(INDEX(GroupVertices[Group],MATCH(Edges[[#This Row],[Vertex 2]],GroupVertices[Vertex],0)),1,1,"")</f>
        <v>4</v>
      </c>
      <c r="R33" s="66" t="s">
        <v>316</v>
      </c>
      <c r="S33" s="91">
        <v>44877.56952546296</v>
      </c>
      <c r="T33" s="66" t="s">
        <v>321</v>
      </c>
      <c r="U33" s="94" t="str">
        <f>HYPERLINK("https://www.youtube.com/watch?v=xb0JCOgMsXc&amp;feature=youtu.be")</f>
        <v>https://www.youtube.com/watch?v=xb0JCOgMsXc&amp;feature=youtu.be</v>
      </c>
      <c r="V33" s="66" t="s">
        <v>403</v>
      </c>
      <c r="W33" s="97" t="s">
        <v>424</v>
      </c>
      <c r="X33" s="94" t="str">
        <f>HYPERLINK("https://pbs.twimg.com/media/FhW7ZTpXkAAZ4Hh.jpg")</f>
        <v>https://pbs.twimg.com/media/FhW7ZTpXkAAZ4Hh.jpg</v>
      </c>
      <c r="Y33" s="94" t="str">
        <f>HYPERLINK("https://pbs.twimg.com/media/FhW7ZTpXkAAZ4Hh.jpg")</f>
        <v>https://pbs.twimg.com/media/FhW7ZTpXkAAZ4Hh.jpg</v>
      </c>
      <c r="Z33" s="91">
        <v>44877.56952546296</v>
      </c>
      <c r="AA33" s="100">
        <v>44877</v>
      </c>
      <c r="AB33" s="97" t="s">
        <v>448</v>
      </c>
      <c r="AC33" s="94" t="str">
        <f>HYPERLINK("https://twitter.com/iosu_blanco/status/1591425610903068676")</f>
        <v>https://twitter.com/iosu_blanco/status/1591425610903068676</v>
      </c>
      <c r="AD33" s="66"/>
      <c r="AE33" s="66"/>
      <c r="AF33" s="97" t="s">
        <v>581</v>
      </c>
      <c r="AG33" s="66"/>
      <c r="AH33" s="66" t="b">
        <v>0</v>
      </c>
      <c r="AI33" s="66">
        <v>0</v>
      </c>
      <c r="AJ33" s="97" t="s">
        <v>712</v>
      </c>
      <c r="AK33" s="66" t="b">
        <v>0</v>
      </c>
      <c r="AL33" s="66" t="s">
        <v>715</v>
      </c>
      <c r="AM33" s="66"/>
      <c r="AN33" s="97" t="s">
        <v>712</v>
      </c>
      <c r="AO33" s="66" t="b">
        <v>0</v>
      </c>
      <c r="AP33" s="66">
        <v>5</v>
      </c>
      <c r="AQ33" s="97" t="s">
        <v>601</v>
      </c>
      <c r="AR33" s="97" t="s">
        <v>719</v>
      </c>
      <c r="AS33" s="66" t="b">
        <v>0</v>
      </c>
      <c r="AT33" s="97" t="s">
        <v>601</v>
      </c>
      <c r="AU33" s="66" t="s">
        <v>241</v>
      </c>
      <c r="AV33" s="66">
        <v>0</v>
      </c>
      <c r="AW33" s="66">
        <v>0</v>
      </c>
      <c r="AX33" s="66"/>
      <c r="AY33" s="66"/>
      <c r="AZ33" s="66"/>
      <c r="BA33" s="66"/>
      <c r="BB33" s="66"/>
      <c r="BC33" s="66"/>
      <c r="BD33" s="66"/>
      <c r="BE33" s="66"/>
      <c r="BF33" s="45"/>
      <c r="BG33" s="46"/>
      <c r="BH33" s="45"/>
      <c r="BI33" s="46"/>
      <c r="BJ33" s="45"/>
      <c r="BK33" s="46"/>
      <c r="BL33" s="45"/>
      <c r="BM33" s="46"/>
      <c r="BN33" s="45"/>
    </row>
    <row r="34" spans="1:66" ht="15">
      <c r="A34" s="62" t="s">
        <v>283</v>
      </c>
      <c r="B34" s="62" t="s">
        <v>299</v>
      </c>
      <c r="C34" s="64" t="s">
        <v>1504</v>
      </c>
      <c r="D34" s="67">
        <v>3</v>
      </c>
      <c r="E34" s="68" t="s">
        <v>132</v>
      </c>
      <c r="F34" s="69">
        <v>32</v>
      </c>
      <c r="G34" s="64"/>
      <c r="H34" s="70"/>
      <c r="I34" s="71"/>
      <c r="J34" s="71"/>
      <c r="K34" s="31" t="s">
        <v>65</v>
      </c>
      <c r="L34" s="79">
        <v>34</v>
      </c>
      <c r="M34" s="79"/>
      <c r="N34" s="73"/>
      <c r="O34" s="66">
        <v>1</v>
      </c>
      <c r="P34" s="63" t="str">
        <f>REPLACE(INDEX(GroupVertices[Group],MATCH(Edges[[#This Row],[Vertex 1]],GroupVertices[Vertex],0)),1,1,"")</f>
        <v>1</v>
      </c>
      <c r="Q34" s="63" t="str">
        <f>REPLACE(INDEX(GroupVertices[Group],MATCH(Edges[[#This Row],[Vertex 2]],GroupVertices[Vertex],0)),1,1,"")</f>
        <v>1</v>
      </c>
      <c r="R34" s="66" t="s">
        <v>316</v>
      </c>
      <c r="S34" s="91">
        <v>44877.56952546296</v>
      </c>
      <c r="T34" s="66" t="s">
        <v>321</v>
      </c>
      <c r="U34" s="94" t="str">
        <f>HYPERLINK("https://www.youtube.com/watch?v=xb0JCOgMsXc&amp;feature=youtu.be")</f>
        <v>https://www.youtube.com/watch?v=xb0JCOgMsXc&amp;feature=youtu.be</v>
      </c>
      <c r="V34" s="66" t="s">
        <v>403</v>
      </c>
      <c r="W34" s="97" t="s">
        <v>424</v>
      </c>
      <c r="X34" s="94" t="str">
        <f>HYPERLINK("https://pbs.twimg.com/media/FhW7ZTpXkAAZ4Hh.jpg")</f>
        <v>https://pbs.twimg.com/media/FhW7ZTpXkAAZ4Hh.jpg</v>
      </c>
      <c r="Y34" s="94" t="str">
        <f>HYPERLINK("https://pbs.twimg.com/media/FhW7ZTpXkAAZ4Hh.jpg")</f>
        <v>https://pbs.twimg.com/media/FhW7ZTpXkAAZ4Hh.jpg</v>
      </c>
      <c r="Z34" s="91">
        <v>44877.56952546296</v>
      </c>
      <c r="AA34" s="100">
        <v>44877</v>
      </c>
      <c r="AB34" s="97" t="s">
        <v>448</v>
      </c>
      <c r="AC34" s="94" t="str">
        <f>HYPERLINK("https://twitter.com/iosu_blanco/status/1591425610903068676")</f>
        <v>https://twitter.com/iosu_blanco/status/1591425610903068676</v>
      </c>
      <c r="AD34" s="66"/>
      <c r="AE34" s="66"/>
      <c r="AF34" s="97" t="s">
        <v>581</v>
      </c>
      <c r="AG34" s="66"/>
      <c r="AH34" s="66" t="b">
        <v>0</v>
      </c>
      <c r="AI34" s="66">
        <v>0</v>
      </c>
      <c r="AJ34" s="97" t="s">
        <v>712</v>
      </c>
      <c r="AK34" s="66" t="b">
        <v>0</v>
      </c>
      <c r="AL34" s="66" t="s">
        <v>715</v>
      </c>
      <c r="AM34" s="66"/>
      <c r="AN34" s="97" t="s">
        <v>712</v>
      </c>
      <c r="AO34" s="66" t="b">
        <v>0</v>
      </c>
      <c r="AP34" s="66">
        <v>5</v>
      </c>
      <c r="AQ34" s="97" t="s">
        <v>601</v>
      </c>
      <c r="AR34" s="97" t="s">
        <v>719</v>
      </c>
      <c r="AS34" s="66" t="b">
        <v>0</v>
      </c>
      <c r="AT34" s="97" t="s">
        <v>601</v>
      </c>
      <c r="AU34" s="66" t="s">
        <v>241</v>
      </c>
      <c r="AV34" s="66">
        <v>0</v>
      </c>
      <c r="AW34" s="66">
        <v>0</v>
      </c>
      <c r="AX34" s="66"/>
      <c r="AY34" s="66"/>
      <c r="AZ34" s="66"/>
      <c r="BA34" s="66"/>
      <c r="BB34" s="66"/>
      <c r="BC34" s="66"/>
      <c r="BD34" s="66"/>
      <c r="BE34" s="66"/>
      <c r="BF34" s="45"/>
      <c r="BG34" s="46"/>
      <c r="BH34" s="45"/>
      <c r="BI34" s="46"/>
      <c r="BJ34" s="45"/>
      <c r="BK34" s="46"/>
      <c r="BL34" s="45"/>
      <c r="BM34" s="46"/>
      <c r="BN34" s="45"/>
    </row>
    <row r="35" spans="1:66" ht="15">
      <c r="A35" s="62" t="s">
        <v>283</v>
      </c>
      <c r="B35" s="62" t="s">
        <v>301</v>
      </c>
      <c r="C35" s="64" t="s">
        <v>1504</v>
      </c>
      <c r="D35" s="67">
        <v>3</v>
      </c>
      <c r="E35" s="68" t="s">
        <v>132</v>
      </c>
      <c r="F35" s="69">
        <v>32</v>
      </c>
      <c r="G35" s="64"/>
      <c r="H35" s="70"/>
      <c r="I35" s="71"/>
      <c r="J35" s="71"/>
      <c r="K35" s="31" t="s">
        <v>65</v>
      </c>
      <c r="L35" s="79">
        <v>35</v>
      </c>
      <c r="M35" s="79"/>
      <c r="N35" s="73"/>
      <c r="O35" s="66">
        <v>1</v>
      </c>
      <c r="P35" s="63" t="str">
        <f>REPLACE(INDEX(GroupVertices[Group],MATCH(Edges[[#This Row],[Vertex 1]],GroupVertices[Vertex],0)),1,1,"")</f>
        <v>1</v>
      </c>
      <c r="Q35" s="63" t="str">
        <f>REPLACE(INDEX(GroupVertices[Group],MATCH(Edges[[#This Row],[Vertex 2]],GroupVertices[Vertex],0)),1,1,"")</f>
        <v>3</v>
      </c>
      <c r="R35" s="66" t="s">
        <v>316</v>
      </c>
      <c r="S35" s="91">
        <v>44877.56952546296</v>
      </c>
      <c r="T35" s="66" t="s">
        <v>321</v>
      </c>
      <c r="U35" s="94" t="str">
        <f>HYPERLINK("https://www.youtube.com/watch?v=xb0JCOgMsXc&amp;feature=youtu.be")</f>
        <v>https://www.youtube.com/watch?v=xb0JCOgMsXc&amp;feature=youtu.be</v>
      </c>
      <c r="V35" s="66" t="s">
        <v>403</v>
      </c>
      <c r="W35" s="97" t="s">
        <v>424</v>
      </c>
      <c r="X35" s="94" t="str">
        <f>HYPERLINK("https://pbs.twimg.com/media/FhW7ZTpXkAAZ4Hh.jpg")</f>
        <v>https://pbs.twimg.com/media/FhW7ZTpXkAAZ4Hh.jpg</v>
      </c>
      <c r="Y35" s="94" t="str">
        <f>HYPERLINK("https://pbs.twimg.com/media/FhW7ZTpXkAAZ4Hh.jpg")</f>
        <v>https://pbs.twimg.com/media/FhW7ZTpXkAAZ4Hh.jpg</v>
      </c>
      <c r="Z35" s="91">
        <v>44877.56952546296</v>
      </c>
      <c r="AA35" s="100">
        <v>44877</v>
      </c>
      <c r="AB35" s="97" t="s">
        <v>448</v>
      </c>
      <c r="AC35" s="94" t="str">
        <f>HYPERLINK("https://twitter.com/iosu_blanco/status/1591425610903068676")</f>
        <v>https://twitter.com/iosu_blanco/status/1591425610903068676</v>
      </c>
      <c r="AD35" s="66"/>
      <c r="AE35" s="66"/>
      <c r="AF35" s="97" t="s">
        <v>581</v>
      </c>
      <c r="AG35" s="66"/>
      <c r="AH35" s="66" t="b">
        <v>0</v>
      </c>
      <c r="AI35" s="66">
        <v>0</v>
      </c>
      <c r="AJ35" s="97" t="s">
        <v>712</v>
      </c>
      <c r="AK35" s="66" t="b">
        <v>0</v>
      </c>
      <c r="AL35" s="66" t="s">
        <v>715</v>
      </c>
      <c r="AM35" s="66"/>
      <c r="AN35" s="97" t="s">
        <v>712</v>
      </c>
      <c r="AO35" s="66" t="b">
        <v>0</v>
      </c>
      <c r="AP35" s="66">
        <v>5</v>
      </c>
      <c r="AQ35" s="97" t="s">
        <v>601</v>
      </c>
      <c r="AR35" s="97" t="s">
        <v>719</v>
      </c>
      <c r="AS35" s="66" t="b">
        <v>0</v>
      </c>
      <c r="AT35" s="97" t="s">
        <v>601</v>
      </c>
      <c r="AU35" s="66" t="s">
        <v>241</v>
      </c>
      <c r="AV35" s="66">
        <v>0</v>
      </c>
      <c r="AW35" s="66">
        <v>0</v>
      </c>
      <c r="AX35" s="66"/>
      <c r="AY35" s="66"/>
      <c r="AZ35" s="66"/>
      <c r="BA35" s="66"/>
      <c r="BB35" s="66"/>
      <c r="BC35" s="66"/>
      <c r="BD35" s="66"/>
      <c r="BE35" s="66"/>
      <c r="BF35" s="45"/>
      <c r="BG35" s="46"/>
      <c r="BH35" s="45"/>
      <c r="BI35" s="46"/>
      <c r="BJ35" s="45"/>
      <c r="BK35" s="46"/>
      <c r="BL35" s="45"/>
      <c r="BM35" s="46"/>
      <c r="BN35" s="45"/>
    </row>
    <row r="36" spans="1:66" ht="15">
      <c r="A36" s="62" t="s">
        <v>283</v>
      </c>
      <c r="B36" s="62" t="s">
        <v>311</v>
      </c>
      <c r="C36" s="64" t="s">
        <v>1504</v>
      </c>
      <c r="D36" s="67">
        <v>3</v>
      </c>
      <c r="E36" s="68" t="s">
        <v>132</v>
      </c>
      <c r="F36" s="69">
        <v>32</v>
      </c>
      <c r="G36" s="64"/>
      <c r="H36" s="70"/>
      <c r="I36" s="71"/>
      <c r="J36" s="71"/>
      <c r="K36" s="31" t="s">
        <v>65</v>
      </c>
      <c r="L36" s="79">
        <v>36</v>
      </c>
      <c r="M36" s="79"/>
      <c r="N36" s="73"/>
      <c r="O36" s="66">
        <v>1</v>
      </c>
      <c r="P36" s="63" t="str">
        <f>REPLACE(INDEX(GroupVertices[Group],MATCH(Edges[[#This Row],[Vertex 1]],GroupVertices[Vertex],0)),1,1,"")</f>
        <v>1</v>
      </c>
      <c r="Q36" s="63" t="str">
        <f>REPLACE(INDEX(GroupVertices[Group],MATCH(Edges[[#This Row],[Vertex 2]],GroupVertices[Vertex],0)),1,1,"")</f>
        <v>1</v>
      </c>
      <c r="R36" s="66" t="s">
        <v>316</v>
      </c>
      <c r="S36" s="91">
        <v>44877.56952546296</v>
      </c>
      <c r="T36" s="66" t="s">
        <v>321</v>
      </c>
      <c r="U36" s="94" t="str">
        <f>HYPERLINK("https://www.youtube.com/watch?v=xb0JCOgMsXc&amp;feature=youtu.be")</f>
        <v>https://www.youtube.com/watch?v=xb0JCOgMsXc&amp;feature=youtu.be</v>
      </c>
      <c r="V36" s="66" t="s">
        <v>403</v>
      </c>
      <c r="W36" s="97" t="s">
        <v>424</v>
      </c>
      <c r="X36" s="94" t="str">
        <f>HYPERLINK("https://pbs.twimg.com/media/FhW7ZTpXkAAZ4Hh.jpg")</f>
        <v>https://pbs.twimg.com/media/FhW7ZTpXkAAZ4Hh.jpg</v>
      </c>
      <c r="Y36" s="94" t="str">
        <f>HYPERLINK("https://pbs.twimg.com/media/FhW7ZTpXkAAZ4Hh.jpg")</f>
        <v>https://pbs.twimg.com/media/FhW7ZTpXkAAZ4Hh.jpg</v>
      </c>
      <c r="Z36" s="91">
        <v>44877.56952546296</v>
      </c>
      <c r="AA36" s="100">
        <v>44877</v>
      </c>
      <c r="AB36" s="97" t="s">
        <v>448</v>
      </c>
      <c r="AC36" s="94" t="str">
        <f>HYPERLINK("https://twitter.com/iosu_blanco/status/1591425610903068676")</f>
        <v>https://twitter.com/iosu_blanco/status/1591425610903068676</v>
      </c>
      <c r="AD36" s="66"/>
      <c r="AE36" s="66"/>
      <c r="AF36" s="97" t="s">
        <v>581</v>
      </c>
      <c r="AG36" s="66"/>
      <c r="AH36" s="66" t="b">
        <v>0</v>
      </c>
      <c r="AI36" s="66">
        <v>0</v>
      </c>
      <c r="AJ36" s="97" t="s">
        <v>712</v>
      </c>
      <c r="AK36" s="66" t="b">
        <v>0</v>
      </c>
      <c r="AL36" s="66" t="s">
        <v>715</v>
      </c>
      <c r="AM36" s="66"/>
      <c r="AN36" s="97" t="s">
        <v>712</v>
      </c>
      <c r="AO36" s="66" t="b">
        <v>0</v>
      </c>
      <c r="AP36" s="66">
        <v>5</v>
      </c>
      <c r="AQ36" s="97" t="s">
        <v>601</v>
      </c>
      <c r="AR36" s="97" t="s">
        <v>719</v>
      </c>
      <c r="AS36" s="66" t="b">
        <v>0</v>
      </c>
      <c r="AT36" s="97" t="s">
        <v>601</v>
      </c>
      <c r="AU36" s="66" t="s">
        <v>241</v>
      </c>
      <c r="AV36" s="66">
        <v>0</v>
      </c>
      <c r="AW36" s="66">
        <v>0</v>
      </c>
      <c r="AX36" s="66"/>
      <c r="AY36" s="66"/>
      <c r="AZ36" s="66"/>
      <c r="BA36" s="66"/>
      <c r="BB36" s="66"/>
      <c r="BC36" s="66"/>
      <c r="BD36" s="66"/>
      <c r="BE36" s="66"/>
      <c r="BF36" s="45"/>
      <c r="BG36" s="46"/>
      <c r="BH36" s="45"/>
      <c r="BI36" s="46"/>
      <c r="BJ36" s="45"/>
      <c r="BK36" s="46"/>
      <c r="BL36" s="45"/>
      <c r="BM36" s="46"/>
      <c r="BN36" s="45"/>
    </row>
    <row r="37" spans="1:66" ht="15">
      <c r="A37" s="62" t="s">
        <v>283</v>
      </c>
      <c r="B37" s="62" t="s">
        <v>302</v>
      </c>
      <c r="C37" s="64" t="s">
        <v>1504</v>
      </c>
      <c r="D37" s="67">
        <v>3</v>
      </c>
      <c r="E37" s="68" t="s">
        <v>132</v>
      </c>
      <c r="F37" s="69">
        <v>32</v>
      </c>
      <c r="G37" s="64"/>
      <c r="H37" s="70"/>
      <c r="I37" s="71"/>
      <c r="J37" s="71"/>
      <c r="K37" s="31" t="s">
        <v>65</v>
      </c>
      <c r="L37" s="79">
        <v>37</v>
      </c>
      <c r="M37" s="79"/>
      <c r="N37" s="73"/>
      <c r="O37" s="66">
        <v>1</v>
      </c>
      <c r="P37" s="63" t="str">
        <f>REPLACE(INDEX(GroupVertices[Group],MATCH(Edges[[#This Row],[Vertex 1]],GroupVertices[Vertex],0)),1,1,"")</f>
        <v>1</v>
      </c>
      <c r="Q37" s="63" t="str">
        <f>REPLACE(INDEX(GroupVertices[Group],MATCH(Edges[[#This Row],[Vertex 2]],GroupVertices[Vertex],0)),1,1,"")</f>
        <v>1</v>
      </c>
      <c r="R37" s="66" t="s">
        <v>316</v>
      </c>
      <c r="S37" s="91">
        <v>44877.56952546296</v>
      </c>
      <c r="T37" s="66" t="s">
        <v>321</v>
      </c>
      <c r="U37" s="94" t="str">
        <f>HYPERLINK("https://www.youtube.com/watch?v=xb0JCOgMsXc&amp;feature=youtu.be")</f>
        <v>https://www.youtube.com/watch?v=xb0JCOgMsXc&amp;feature=youtu.be</v>
      </c>
      <c r="V37" s="66" t="s">
        <v>403</v>
      </c>
      <c r="W37" s="97" t="s">
        <v>424</v>
      </c>
      <c r="X37" s="94" t="str">
        <f>HYPERLINK("https://pbs.twimg.com/media/FhW7ZTpXkAAZ4Hh.jpg")</f>
        <v>https://pbs.twimg.com/media/FhW7ZTpXkAAZ4Hh.jpg</v>
      </c>
      <c r="Y37" s="94" t="str">
        <f>HYPERLINK("https://pbs.twimg.com/media/FhW7ZTpXkAAZ4Hh.jpg")</f>
        <v>https://pbs.twimg.com/media/FhW7ZTpXkAAZ4Hh.jpg</v>
      </c>
      <c r="Z37" s="91">
        <v>44877.56952546296</v>
      </c>
      <c r="AA37" s="100">
        <v>44877</v>
      </c>
      <c r="AB37" s="97" t="s">
        <v>448</v>
      </c>
      <c r="AC37" s="94" t="str">
        <f>HYPERLINK("https://twitter.com/iosu_blanco/status/1591425610903068676")</f>
        <v>https://twitter.com/iosu_blanco/status/1591425610903068676</v>
      </c>
      <c r="AD37" s="66"/>
      <c r="AE37" s="66"/>
      <c r="AF37" s="97" t="s">
        <v>581</v>
      </c>
      <c r="AG37" s="66"/>
      <c r="AH37" s="66" t="b">
        <v>0</v>
      </c>
      <c r="AI37" s="66">
        <v>0</v>
      </c>
      <c r="AJ37" s="97" t="s">
        <v>712</v>
      </c>
      <c r="AK37" s="66" t="b">
        <v>0</v>
      </c>
      <c r="AL37" s="66" t="s">
        <v>715</v>
      </c>
      <c r="AM37" s="66"/>
      <c r="AN37" s="97" t="s">
        <v>712</v>
      </c>
      <c r="AO37" s="66" t="b">
        <v>0</v>
      </c>
      <c r="AP37" s="66">
        <v>5</v>
      </c>
      <c r="AQ37" s="97" t="s">
        <v>601</v>
      </c>
      <c r="AR37" s="97" t="s">
        <v>719</v>
      </c>
      <c r="AS37" s="66" t="b">
        <v>0</v>
      </c>
      <c r="AT37" s="97" t="s">
        <v>601</v>
      </c>
      <c r="AU37" s="66" t="s">
        <v>241</v>
      </c>
      <c r="AV37" s="66">
        <v>0</v>
      </c>
      <c r="AW37" s="66">
        <v>0</v>
      </c>
      <c r="AX37" s="66"/>
      <c r="AY37" s="66"/>
      <c r="AZ37" s="66"/>
      <c r="BA37" s="66"/>
      <c r="BB37" s="66"/>
      <c r="BC37" s="66"/>
      <c r="BD37" s="66"/>
      <c r="BE37" s="66"/>
      <c r="BF37" s="45"/>
      <c r="BG37" s="46"/>
      <c r="BH37" s="45"/>
      <c r="BI37" s="46"/>
      <c r="BJ37" s="45"/>
      <c r="BK37" s="46"/>
      <c r="BL37" s="45"/>
      <c r="BM37" s="46"/>
      <c r="BN37" s="45"/>
    </row>
    <row r="38" spans="1:66" ht="15">
      <c r="A38" s="62" t="s">
        <v>283</v>
      </c>
      <c r="B38" s="62" t="s">
        <v>296</v>
      </c>
      <c r="C38" s="64" t="s">
        <v>1504</v>
      </c>
      <c r="D38" s="67">
        <v>3</v>
      </c>
      <c r="E38" s="68" t="s">
        <v>132</v>
      </c>
      <c r="F38" s="69">
        <v>32</v>
      </c>
      <c r="G38" s="64"/>
      <c r="H38" s="70"/>
      <c r="I38" s="71"/>
      <c r="J38" s="71"/>
      <c r="K38" s="31" t="s">
        <v>65</v>
      </c>
      <c r="L38" s="79">
        <v>38</v>
      </c>
      <c r="M38" s="79"/>
      <c r="N38" s="73"/>
      <c r="O38" s="66">
        <v>1</v>
      </c>
      <c r="P38" s="63" t="str">
        <f>REPLACE(INDEX(GroupVertices[Group],MATCH(Edges[[#This Row],[Vertex 1]],GroupVertices[Vertex],0)),1,1,"")</f>
        <v>1</v>
      </c>
      <c r="Q38" s="63" t="str">
        <f>REPLACE(INDEX(GroupVertices[Group],MATCH(Edges[[#This Row],[Vertex 2]],GroupVertices[Vertex],0)),1,1,"")</f>
        <v>3</v>
      </c>
      <c r="R38" s="66" t="s">
        <v>316</v>
      </c>
      <c r="S38" s="91">
        <v>44877.56952546296</v>
      </c>
      <c r="T38" s="66" t="s">
        <v>321</v>
      </c>
      <c r="U38" s="94" t="str">
        <f>HYPERLINK("https://www.youtube.com/watch?v=xb0JCOgMsXc&amp;feature=youtu.be")</f>
        <v>https://www.youtube.com/watch?v=xb0JCOgMsXc&amp;feature=youtu.be</v>
      </c>
      <c r="V38" s="66" t="s">
        <v>403</v>
      </c>
      <c r="W38" s="97" t="s">
        <v>424</v>
      </c>
      <c r="X38" s="94" t="str">
        <f>HYPERLINK("https://pbs.twimg.com/media/FhW7ZTpXkAAZ4Hh.jpg")</f>
        <v>https://pbs.twimg.com/media/FhW7ZTpXkAAZ4Hh.jpg</v>
      </c>
      <c r="Y38" s="94" t="str">
        <f>HYPERLINK("https://pbs.twimg.com/media/FhW7ZTpXkAAZ4Hh.jpg")</f>
        <v>https://pbs.twimg.com/media/FhW7ZTpXkAAZ4Hh.jpg</v>
      </c>
      <c r="Z38" s="91">
        <v>44877.56952546296</v>
      </c>
      <c r="AA38" s="100">
        <v>44877</v>
      </c>
      <c r="AB38" s="97" t="s">
        <v>448</v>
      </c>
      <c r="AC38" s="94" t="str">
        <f>HYPERLINK("https://twitter.com/iosu_blanco/status/1591425610903068676")</f>
        <v>https://twitter.com/iosu_blanco/status/1591425610903068676</v>
      </c>
      <c r="AD38" s="66"/>
      <c r="AE38" s="66"/>
      <c r="AF38" s="97" t="s">
        <v>581</v>
      </c>
      <c r="AG38" s="66"/>
      <c r="AH38" s="66" t="b">
        <v>0</v>
      </c>
      <c r="AI38" s="66">
        <v>0</v>
      </c>
      <c r="AJ38" s="97" t="s">
        <v>712</v>
      </c>
      <c r="AK38" s="66" t="b">
        <v>0</v>
      </c>
      <c r="AL38" s="66" t="s">
        <v>715</v>
      </c>
      <c r="AM38" s="66"/>
      <c r="AN38" s="97" t="s">
        <v>712</v>
      </c>
      <c r="AO38" s="66" t="b">
        <v>0</v>
      </c>
      <c r="AP38" s="66">
        <v>5</v>
      </c>
      <c r="AQ38" s="97" t="s">
        <v>601</v>
      </c>
      <c r="AR38" s="97" t="s">
        <v>719</v>
      </c>
      <c r="AS38" s="66" t="b">
        <v>0</v>
      </c>
      <c r="AT38" s="97" t="s">
        <v>601</v>
      </c>
      <c r="AU38" s="66" t="s">
        <v>241</v>
      </c>
      <c r="AV38" s="66">
        <v>0</v>
      </c>
      <c r="AW38" s="66">
        <v>0</v>
      </c>
      <c r="AX38" s="66"/>
      <c r="AY38" s="66"/>
      <c r="AZ38" s="66"/>
      <c r="BA38" s="66"/>
      <c r="BB38" s="66"/>
      <c r="BC38" s="66"/>
      <c r="BD38" s="66"/>
      <c r="BE38" s="66"/>
      <c r="BF38" s="45"/>
      <c r="BG38" s="46"/>
      <c r="BH38" s="45"/>
      <c r="BI38" s="46"/>
      <c r="BJ38" s="45"/>
      <c r="BK38" s="46"/>
      <c r="BL38" s="45"/>
      <c r="BM38" s="46"/>
      <c r="BN38" s="45"/>
    </row>
    <row r="39" spans="1:66" ht="15">
      <c r="A39" s="62" t="s">
        <v>283</v>
      </c>
      <c r="B39" s="62" t="s">
        <v>312</v>
      </c>
      <c r="C39" s="64" t="s">
        <v>1504</v>
      </c>
      <c r="D39" s="67">
        <v>3</v>
      </c>
      <c r="E39" s="68" t="s">
        <v>132</v>
      </c>
      <c r="F39" s="69">
        <v>32</v>
      </c>
      <c r="G39" s="64"/>
      <c r="H39" s="70"/>
      <c r="I39" s="71"/>
      <c r="J39" s="71"/>
      <c r="K39" s="31" t="s">
        <v>65</v>
      </c>
      <c r="L39" s="79">
        <v>39</v>
      </c>
      <c r="M39" s="79"/>
      <c r="N39" s="73"/>
      <c r="O39" s="66">
        <v>1</v>
      </c>
      <c r="P39" s="63" t="str">
        <f>REPLACE(INDEX(GroupVertices[Group],MATCH(Edges[[#This Row],[Vertex 1]],GroupVertices[Vertex],0)),1,1,"")</f>
        <v>1</v>
      </c>
      <c r="Q39" s="63" t="str">
        <f>REPLACE(INDEX(GroupVertices[Group],MATCH(Edges[[#This Row],[Vertex 2]],GroupVertices[Vertex],0)),1,1,"")</f>
        <v>1</v>
      </c>
      <c r="R39" s="66" t="s">
        <v>316</v>
      </c>
      <c r="S39" s="91">
        <v>44877.56952546296</v>
      </c>
      <c r="T39" s="66" t="s">
        <v>321</v>
      </c>
      <c r="U39" s="94" t="str">
        <f>HYPERLINK("https://www.youtube.com/watch?v=xb0JCOgMsXc&amp;feature=youtu.be")</f>
        <v>https://www.youtube.com/watch?v=xb0JCOgMsXc&amp;feature=youtu.be</v>
      </c>
      <c r="V39" s="66" t="s">
        <v>403</v>
      </c>
      <c r="W39" s="97" t="s">
        <v>424</v>
      </c>
      <c r="X39" s="94" t="str">
        <f>HYPERLINK("https://pbs.twimg.com/media/FhW7ZTpXkAAZ4Hh.jpg")</f>
        <v>https://pbs.twimg.com/media/FhW7ZTpXkAAZ4Hh.jpg</v>
      </c>
      <c r="Y39" s="94" t="str">
        <f>HYPERLINK("https://pbs.twimg.com/media/FhW7ZTpXkAAZ4Hh.jpg")</f>
        <v>https://pbs.twimg.com/media/FhW7ZTpXkAAZ4Hh.jpg</v>
      </c>
      <c r="Z39" s="91">
        <v>44877.56952546296</v>
      </c>
      <c r="AA39" s="100">
        <v>44877</v>
      </c>
      <c r="AB39" s="97" t="s">
        <v>448</v>
      </c>
      <c r="AC39" s="94" t="str">
        <f>HYPERLINK("https://twitter.com/iosu_blanco/status/1591425610903068676")</f>
        <v>https://twitter.com/iosu_blanco/status/1591425610903068676</v>
      </c>
      <c r="AD39" s="66"/>
      <c r="AE39" s="66"/>
      <c r="AF39" s="97" t="s">
        <v>581</v>
      </c>
      <c r="AG39" s="66"/>
      <c r="AH39" s="66" t="b">
        <v>0</v>
      </c>
      <c r="AI39" s="66">
        <v>0</v>
      </c>
      <c r="AJ39" s="97" t="s">
        <v>712</v>
      </c>
      <c r="AK39" s="66" t="b">
        <v>0</v>
      </c>
      <c r="AL39" s="66" t="s">
        <v>715</v>
      </c>
      <c r="AM39" s="66"/>
      <c r="AN39" s="97" t="s">
        <v>712</v>
      </c>
      <c r="AO39" s="66" t="b">
        <v>0</v>
      </c>
      <c r="AP39" s="66">
        <v>5</v>
      </c>
      <c r="AQ39" s="97" t="s">
        <v>601</v>
      </c>
      <c r="AR39" s="97" t="s">
        <v>719</v>
      </c>
      <c r="AS39" s="66" t="b">
        <v>0</v>
      </c>
      <c r="AT39" s="97" t="s">
        <v>601</v>
      </c>
      <c r="AU39" s="66" t="s">
        <v>241</v>
      </c>
      <c r="AV39" s="66">
        <v>0</v>
      </c>
      <c r="AW39" s="66">
        <v>0</v>
      </c>
      <c r="AX39" s="66"/>
      <c r="AY39" s="66"/>
      <c r="AZ39" s="66"/>
      <c r="BA39" s="66"/>
      <c r="BB39" s="66"/>
      <c r="BC39" s="66"/>
      <c r="BD39" s="66"/>
      <c r="BE39" s="66"/>
      <c r="BF39" s="45"/>
      <c r="BG39" s="46"/>
      <c r="BH39" s="45"/>
      <c r="BI39" s="46"/>
      <c r="BJ39" s="45"/>
      <c r="BK39" s="46"/>
      <c r="BL39" s="45"/>
      <c r="BM39" s="46"/>
      <c r="BN39" s="45"/>
    </row>
    <row r="40" spans="1:66" ht="15">
      <c r="A40" s="62" t="s">
        <v>283</v>
      </c>
      <c r="B40" s="62" t="s">
        <v>313</v>
      </c>
      <c r="C40" s="64" t="s">
        <v>1504</v>
      </c>
      <c r="D40" s="67">
        <v>3</v>
      </c>
      <c r="E40" s="68" t="s">
        <v>132</v>
      </c>
      <c r="F40" s="69">
        <v>32</v>
      </c>
      <c r="G40" s="64"/>
      <c r="H40" s="70"/>
      <c r="I40" s="71"/>
      <c r="J40" s="71"/>
      <c r="K40" s="31" t="s">
        <v>65</v>
      </c>
      <c r="L40" s="79">
        <v>40</v>
      </c>
      <c r="M40" s="79"/>
      <c r="N40" s="73"/>
      <c r="O40" s="66">
        <v>1</v>
      </c>
      <c r="P40" s="63" t="str">
        <f>REPLACE(INDEX(GroupVertices[Group],MATCH(Edges[[#This Row],[Vertex 1]],GroupVertices[Vertex],0)),1,1,"")</f>
        <v>1</v>
      </c>
      <c r="Q40" s="63" t="str">
        <f>REPLACE(INDEX(GroupVertices[Group],MATCH(Edges[[#This Row],[Vertex 2]],GroupVertices[Vertex],0)),1,1,"")</f>
        <v>1</v>
      </c>
      <c r="R40" s="66" t="s">
        <v>316</v>
      </c>
      <c r="S40" s="91">
        <v>44877.56952546296</v>
      </c>
      <c r="T40" s="66" t="s">
        <v>321</v>
      </c>
      <c r="U40" s="94" t="str">
        <f>HYPERLINK("https://www.youtube.com/watch?v=xb0JCOgMsXc&amp;feature=youtu.be")</f>
        <v>https://www.youtube.com/watch?v=xb0JCOgMsXc&amp;feature=youtu.be</v>
      </c>
      <c r="V40" s="66" t="s">
        <v>403</v>
      </c>
      <c r="W40" s="97" t="s">
        <v>424</v>
      </c>
      <c r="X40" s="94" t="str">
        <f>HYPERLINK("https://pbs.twimg.com/media/FhW7ZTpXkAAZ4Hh.jpg")</f>
        <v>https://pbs.twimg.com/media/FhW7ZTpXkAAZ4Hh.jpg</v>
      </c>
      <c r="Y40" s="94" t="str">
        <f>HYPERLINK("https://pbs.twimg.com/media/FhW7ZTpXkAAZ4Hh.jpg")</f>
        <v>https://pbs.twimg.com/media/FhW7ZTpXkAAZ4Hh.jpg</v>
      </c>
      <c r="Z40" s="91">
        <v>44877.56952546296</v>
      </c>
      <c r="AA40" s="100">
        <v>44877</v>
      </c>
      <c r="AB40" s="97" t="s">
        <v>448</v>
      </c>
      <c r="AC40" s="94" t="str">
        <f>HYPERLINK("https://twitter.com/iosu_blanco/status/1591425610903068676")</f>
        <v>https://twitter.com/iosu_blanco/status/1591425610903068676</v>
      </c>
      <c r="AD40" s="66"/>
      <c r="AE40" s="66"/>
      <c r="AF40" s="97" t="s">
        <v>581</v>
      </c>
      <c r="AG40" s="66"/>
      <c r="AH40" s="66" t="b">
        <v>0</v>
      </c>
      <c r="AI40" s="66">
        <v>0</v>
      </c>
      <c r="AJ40" s="97" t="s">
        <v>712</v>
      </c>
      <c r="AK40" s="66" t="b">
        <v>0</v>
      </c>
      <c r="AL40" s="66" t="s">
        <v>715</v>
      </c>
      <c r="AM40" s="66"/>
      <c r="AN40" s="97" t="s">
        <v>712</v>
      </c>
      <c r="AO40" s="66" t="b">
        <v>0</v>
      </c>
      <c r="AP40" s="66">
        <v>5</v>
      </c>
      <c r="AQ40" s="97" t="s">
        <v>601</v>
      </c>
      <c r="AR40" s="97" t="s">
        <v>719</v>
      </c>
      <c r="AS40" s="66" t="b">
        <v>0</v>
      </c>
      <c r="AT40" s="97" t="s">
        <v>601</v>
      </c>
      <c r="AU40" s="66" t="s">
        <v>241</v>
      </c>
      <c r="AV40" s="66">
        <v>0</v>
      </c>
      <c r="AW40" s="66">
        <v>0</v>
      </c>
      <c r="AX40" s="66"/>
      <c r="AY40" s="66"/>
      <c r="AZ40" s="66"/>
      <c r="BA40" s="66"/>
      <c r="BB40" s="66"/>
      <c r="BC40" s="66"/>
      <c r="BD40" s="66"/>
      <c r="BE40" s="66"/>
      <c r="BF40" s="45"/>
      <c r="BG40" s="46"/>
      <c r="BH40" s="45"/>
      <c r="BI40" s="46"/>
      <c r="BJ40" s="45"/>
      <c r="BK40" s="46"/>
      <c r="BL40" s="45"/>
      <c r="BM40" s="46"/>
      <c r="BN40" s="45"/>
    </row>
    <row r="41" spans="1:66" ht="15">
      <c r="A41" s="62" t="s">
        <v>283</v>
      </c>
      <c r="B41" s="62" t="s">
        <v>297</v>
      </c>
      <c r="C41" s="64" t="s">
        <v>1505</v>
      </c>
      <c r="D41" s="67">
        <v>4.75</v>
      </c>
      <c r="E41" s="68" t="s">
        <v>136</v>
      </c>
      <c r="F41" s="69">
        <v>31.235294117647058</v>
      </c>
      <c r="G41" s="64"/>
      <c r="H41" s="70"/>
      <c r="I41" s="71"/>
      <c r="J41" s="71"/>
      <c r="K41" s="31" t="s">
        <v>65</v>
      </c>
      <c r="L41" s="79">
        <v>41</v>
      </c>
      <c r="M41" s="79"/>
      <c r="N41" s="73"/>
      <c r="O41" s="66">
        <v>2</v>
      </c>
      <c r="P41" s="63" t="str">
        <f>REPLACE(INDEX(GroupVertices[Group],MATCH(Edges[[#This Row],[Vertex 1]],GroupVertices[Vertex],0)),1,1,"")</f>
        <v>1</v>
      </c>
      <c r="Q41" s="63" t="str">
        <f>REPLACE(INDEX(GroupVertices[Group],MATCH(Edges[[#This Row],[Vertex 2]],GroupVertices[Vertex],0)),1,1,"")</f>
        <v>1</v>
      </c>
      <c r="R41" s="66" t="s">
        <v>315</v>
      </c>
      <c r="S41" s="91">
        <v>44877.56952546296</v>
      </c>
      <c r="T41" s="66" t="s">
        <v>321</v>
      </c>
      <c r="U41" s="94" t="str">
        <f>HYPERLINK("https://www.youtube.com/watch?v=xb0JCOgMsXc&amp;feature=youtu.be")</f>
        <v>https://www.youtube.com/watch?v=xb0JCOgMsXc&amp;feature=youtu.be</v>
      </c>
      <c r="V41" s="66" t="s">
        <v>403</v>
      </c>
      <c r="W41" s="97" t="s">
        <v>424</v>
      </c>
      <c r="X41" s="94" t="str">
        <f>HYPERLINK("https://pbs.twimg.com/media/FhW7ZTpXkAAZ4Hh.jpg")</f>
        <v>https://pbs.twimg.com/media/FhW7ZTpXkAAZ4Hh.jpg</v>
      </c>
      <c r="Y41" s="94" t="str">
        <f>HYPERLINK("https://pbs.twimg.com/media/FhW7ZTpXkAAZ4Hh.jpg")</f>
        <v>https://pbs.twimg.com/media/FhW7ZTpXkAAZ4Hh.jpg</v>
      </c>
      <c r="Z41" s="91">
        <v>44877.56952546296</v>
      </c>
      <c r="AA41" s="100">
        <v>44877</v>
      </c>
      <c r="AB41" s="97" t="s">
        <v>448</v>
      </c>
      <c r="AC41" s="94" t="str">
        <f>HYPERLINK("https://twitter.com/iosu_blanco/status/1591425610903068676")</f>
        <v>https://twitter.com/iosu_blanco/status/1591425610903068676</v>
      </c>
      <c r="AD41" s="66"/>
      <c r="AE41" s="66"/>
      <c r="AF41" s="97" t="s">
        <v>581</v>
      </c>
      <c r="AG41" s="66"/>
      <c r="AH41" s="66" t="b">
        <v>0</v>
      </c>
      <c r="AI41" s="66">
        <v>0</v>
      </c>
      <c r="AJ41" s="97" t="s">
        <v>712</v>
      </c>
      <c r="AK41" s="66" t="b">
        <v>0</v>
      </c>
      <c r="AL41" s="66" t="s">
        <v>715</v>
      </c>
      <c r="AM41" s="66"/>
      <c r="AN41" s="97" t="s">
        <v>712</v>
      </c>
      <c r="AO41" s="66" t="b">
        <v>0</v>
      </c>
      <c r="AP41" s="66">
        <v>5</v>
      </c>
      <c r="AQ41" s="97" t="s">
        <v>601</v>
      </c>
      <c r="AR41" s="97" t="s">
        <v>719</v>
      </c>
      <c r="AS41" s="66" t="b">
        <v>0</v>
      </c>
      <c r="AT41" s="97" t="s">
        <v>601</v>
      </c>
      <c r="AU41" s="66" t="s">
        <v>241</v>
      </c>
      <c r="AV41" s="66">
        <v>0</v>
      </c>
      <c r="AW41" s="66">
        <v>0</v>
      </c>
      <c r="AX41" s="66"/>
      <c r="AY41" s="66"/>
      <c r="AZ41" s="66"/>
      <c r="BA41" s="66"/>
      <c r="BB41" s="66"/>
      <c r="BC41" s="66"/>
      <c r="BD41" s="66"/>
      <c r="BE41" s="66"/>
      <c r="BF41" s="45">
        <v>0</v>
      </c>
      <c r="BG41" s="46">
        <v>0</v>
      </c>
      <c r="BH41" s="45">
        <v>0</v>
      </c>
      <c r="BI41" s="46">
        <v>0</v>
      </c>
      <c r="BJ41" s="45">
        <v>0</v>
      </c>
      <c r="BK41" s="46">
        <v>0</v>
      </c>
      <c r="BL41" s="45">
        <v>21</v>
      </c>
      <c r="BM41" s="46">
        <v>91.30434782608695</v>
      </c>
      <c r="BN41" s="45">
        <v>23</v>
      </c>
    </row>
    <row r="42" spans="1:66" ht="15">
      <c r="A42" s="62" t="s">
        <v>283</v>
      </c>
      <c r="B42" s="62" t="s">
        <v>297</v>
      </c>
      <c r="C42" s="64" t="s">
        <v>1505</v>
      </c>
      <c r="D42" s="67">
        <v>4.75</v>
      </c>
      <c r="E42" s="68" t="s">
        <v>136</v>
      </c>
      <c r="F42" s="69">
        <v>31.235294117647058</v>
      </c>
      <c r="G42" s="64"/>
      <c r="H42" s="70"/>
      <c r="I42" s="71"/>
      <c r="J42" s="71"/>
      <c r="K42" s="31" t="s">
        <v>65</v>
      </c>
      <c r="L42" s="79">
        <v>42</v>
      </c>
      <c r="M42" s="79"/>
      <c r="N42" s="73"/>
      <c r="O42" s="66">
        <v>2</v>
      </c>
      <c r="P42" s="63" t="str">
        <f>REPLACE(INDEX(GroupVertices[Group],MATCH(Edges[[#This Row],[Vertex 1]],GroupVertices[Vertex],0)),1,1,"")</f>
        <v>1</v>
      </c>
      <c r="Q42" s="63" t="str">
        <f>REPLACE(INDEX(GroupVertices[Group],MATCH(Edges[[#This Row],[Vertex 2]],GroupVertices[Vertex],0)),1,1,"")</f>
        <v>1</v>
      </c>
      <c r="R42" s="66" t="s">
        <v>315</v>
      </c>
      <c r="S42" s="91">
        <v>44877.59400462963</v>
      </c>
      <c r="T42" s="66" t="s">
        <v>324</v>
      </c>
      <c r="U42" s="94" t="str">
        <f>HYPERLINK("https://www.youtube.com/watch?v=erkbGlWtX3Q&amp;feature=youtu.be")</f>
        <v>https://www.youtube.com/watch?v=erkbGlWtX3Q&amp;feature=youtu.be</v>
      </c>
      <c r="V42" s="66" t="s">
        <v>403</v>
      </c>
      <c r="W42" s="97" t="s">
        <v>423</v>
      </c>
      <c r="X42" s="66"/>
      <c r="Y42" s="94" t="str">
        <f>HYPERLINK("https://pbs.twimg.com/profile_images/1575211829978071041/Dv1L40sv_normal.jpg")</f>
        <v>https://pbs.twimg.com/profile_images/1575211829978071041/Dv1L40sv_normal.jpg</v>
      </c>
      <c r="Z42" s="91">
        <v>44877.59400462963</v>
      </c>
      <c r="AA42" s="100">
        <v>44877</v>
      </c>
      <c r="AB42" s="97" t="s">
        <v>449</v>
      </c>
      <c r="AC42" s="94" t="str">
        <f>HYPERLINK("https://twitter.com/iosu_blanco/status/1591434481411690496")</f>
        <v>https://twitter.com/iosu_blanco/status/1591434481411690496</v>
      </c>
      <c r="AD42" s="66"/>
      <c r="AE42" s="66"/>
      <c r="AF42" s="97" t="s">
        <v>582</v>
      </c>
      <c r="AG42" s="66"/>
      <c r="AH42" s="66" t="b">
        <v>0</v>
      </c>
      <c r="AI42" s="66">
        <v>0</v>
      </c>
      <c r="AJ42" s="97" t="s">
        <v>712</v>
      </c>
      <c r="AK42" s="66" t="b">
        <v>0</v>
      </c>
      <c r="AL42" s="66" t="s">
        <v>715</v>
      </c>
      <c r="AM42" s="66"/>
      <c r="AN42" s="97" t="s">
        <v>712</v>
      </c>
      <c r="AO42" s="66" t="b">
        <v>0</v>
      </c>
      <c r="AP42" s="66">
        <v>1</v>
      </c>
      <c r="AQ42" s="97" t="s">
        <v>624</v>
      </c>
      <c r="AR42" s="97" t="s">
        <v>719</v>
      </c>
      <c r="AS42" s="66" t="b">
        <v>0</v>
      </c>
      <c r="AT42" s="97" t="s">
        <v>624</v>
      </c>
      <c r="AU42" s="66" t="s">
        <v>241</v>
      </c>
      <c r="AV42" s="66">
        <v>0</v>
      </c>
      <c r="AW42" s="66">
        <v>0</v>
      </c>
      <c r="AX42" s="66"/>
      <c r="AY42" s="66"/>
      <c r="AZ42" s="66"/>
      <c r="BA42" s="66"/>
      <c r="BB42" s="66"/>
      <c r="BC42" s="66"/>
      <c r="BD42" s="66"/>
      <c r="BE42" s="66"/>
      <c r="BF42" s="45">
        <v>0</v>
      </c>
      <c r="BG42" s="46">
        <v>0</v>
      </c>
      <c r="BH42" s="45">
        <v>0</v>
      </c>
      <c r="BI42" s="46">
        <v>0</v>
      </c>
      <c r="BJ42" s="45">
        <v>0</v>
      </c>
      <c r="BK42" s="46">
        <v>0</v>
      </c>
      <c r="BL42" s="45">
        <v>11</v>
      </c>
      <c r="BM42" s="46">
        <v>78.57142857142857</v>
      </c>
      <c r="BN42" s="45">
        <v>14</v>
      </c>
    </row>
    <row r="43" spans="1:66" ht="15">
      <c r="A43" s="62" t="s">
        <v>284</v>
      </c>
      <c r="B43" s="62" t="s">
        <v>297</v>
      </c>
      <c r="C43" s="64" t="s">
        <v>1504</v>
      </c>
      <c r="D43" s="67">
        <v>3</v>
      </c>
      <c r="E43" s="68" t="s">
        <v>132</v>
      </c>
      <c r="F43" s="69">
        <v>32</v>
      </c>
      <c r="G43" s="64"/>
      <c r="H43" s="70"/>
      <c r="I43" s="71"/>
      <c r="J43" s="71"/>
      <c r="K43" s="31" t="s">
        <v>65</v>
      </c>
      <c r="L43" s="79">
        <v>43</v>
      </c>
      <c r="M43" s="79"/>
      <c r="N43" s="73"/>
      <c r="O43" s="66">
        <v>1</v>
      </c>
      <c r="P43" s="63" t="str">
        <f>REPLACE(INDEX(GroupVertices[Group],MATCH(Edges[[#This Row],[Vertex 1]],GroupVertices[Vertex],0)),1,1,"")</f>
        <v>1</v>
      </c>
      <c r="Q43" s="63" t="str">
        <f>REPLACE(INDEX(GroupVertices[Group],MATCH(Edges[[#This Row],[Vertex 2]],GroupVertices[Vertex],0)),1,1,"")</f>
        <v>1</v>
      </c>
      <c r="R43" s="66" t="s">
        <v>315</v>
      </c>
      <c r="S43" s="91">
        <v>44877.611493055556</v>
      </c>
      <c r="T43" s="66" t="s">
        <v>325</v>
      </c>
      <c r="U43" s="94" t="str">
        <f>HYPERLINK("https://youtu.be/erkbGlWtX3Q")</f>
        <v>https://youtu.be/erkbGlWtX3Q</v>
      </c>
      <c r="V43" s="66" t="s">
        <v>406</v>
      </c>
      <c r="W43" s="97" t="s">
        <v>427</v>
      </c>
      <c r="X43" s="66"/>
      <c r="Y43" s="94" t="str">
        <f>HYPERLINK("https://pbs.twimg.com/profile_images/1593167753799643136/KYKFKsS__normal.jpg")</f>
        <v>https://pbs.twimg.com/profile_images/1593167753799643136/KYKFKsS__normal.jpg</v>
      </c>
      <c r="Z43" s="91">
        <v>44877.611493055556</v>
      </c>
      <c r="AA43" s="100">
        <v>44877</v>
      </c>
      <c r="AB43" s="97" t="s">
        <v>450</v>
      </c>
      <c r="AC43" s="94" t="str">
        <f>HYPERLINK("https://twitter.com/vinitra5/status/1591440819596460032")</f>
        <v>https://twitter.com/vinitra5/status/1591440819596460032</v>
      </c>
      <c r="AD43" s="66"/>
      <c r="AE43" s="66"/>
      <c r="AF43" s="97" t="s">
        <v>583</v>
      </c>
      <c r="AG43" s="66"/>
      <c r="AH43" s="66" t="b">
        <v>0</v>
      </c>
      <c r="AI43" s="66">
        <v>0</v>
      </c>
      <c r="AJ43" s="97" t="s">
        <v>712</v>
      </c>
      <c r="AK43" s="66" t="b">
        <v>0</v>
      </c>
      <c r="AL43" s="66" t="s">
        <v>714</v>
      </c>
      <c r="AM43" s="66"/>
      <c r="AN43" s="97" t="s">
        <v>712</v>
      </c>
      <c r="AO43" s="66" t="b">
        <v>0</v>
      </c>
      <c r="AP43" s="66">
        <v>3</v>
      </c>
      <c r="AQ43" s="97" t="s">
        <v>626</v>
      </c>
      <c r="AR43" s="97" t="s">
        <v>720</v>
      </c>
      <c r="AS43" s="66" t="b">
        <v>0</v>
      </c>
      <c r="AT43" s="97" t="s">
        <v>626</v>
      </c>
      <c r="AU43" s="66" t="s">
        <v>241</v>
      </c>
      <c r="AV43" s="66">
        <v>0</v>
      </c>
      <c r="AW43" s="66">
        <v>0</v>
      </c>
      <c r="AX43" s="66"/>
      <c r="AY43" s="66"/>
      <c r="AZ43" s="66"/>
      <c r="BA43" s="66"/>
      <c r="BB43" s="66"/>
      <c r="BC43" s="66"/>
      <c r="BD43" s="66"/>
      <c r="BE43" s="66"/>
      <c r="BF43" s="45">
        <v>0</v>
      </c>
      <c r="BG43" s="46">
        <v>0</v>
      </c>
      <c r="BH43" s="45">
        <v>0</v>
      </c>
      <c r="BI43" s="46">
        <v>0</v>
      </c>
      <c r="BJ43" s="45">
        <v>0</v>
      </c>
      <c r="BK43" s="46">
        <v>0</v>
      </c>
      <c r="BL43" s="45">
        <v>8</v>
      </c>
      <c r="BM43" s="46">
        <v>80</v>
      </c>
      <c r="BN43" s="45">
        <v>10</v>
      </c>
    </row>
    <row r="44" spans="1:66" ht="15">
      <c r="A44" s="62" t="s">
        <v>285</v>
      </c>
      <c r="B44" s="62" t="s">
        <v>297</v>
      </c>
      <c r="C44" s="64" t="s">
        <v>1504</v>
      </c>
      <c r="D44" s="67">
        <v>3</v>
      </c>
      <c r="E44" s="68" t="s">
        <v>132</v>
      </c>
      <c r="F44" s="69">
        <v>32</v>
      </c>
      <c r="G44" s="64"/>
      <c r="H44" s="70"/>
      <c r="I44" s="71"/>
      <c r="J44" s="71"/>
      <c r="K44" s="31" t="s">
        <v>65</v>
      </c>
      <c r="L44" s="79">
        <v>44</v>
      </c>
      <c r="M44" s="79"/>
      <c r="N44" s="73"/>
      <c r="O44" s="66">
        <v>1</v>
      </c>
      <c r="P44" s="63" t="str">
        <f>REPLACE(INDEX(GroupVertices[Group],MATCH(Edges[[#This Row],[Vertex 1]],GroupVertices[Vertex],0)),1,1,"")</f>
        <v>1</v>
      </c>
      <c r="Q44" s="63" t="str">
        <f>REPLACE(INDEX(GroupVertices[Group],MATCH(Edges[[#This Row],[Vertex 2]],GroupVertices[Vertex],0)),1,1,"")</f>
        <v>1</v>
      </c>
      <c r="R44" s="66" t="s">
        <v>315</v>
      </c>
      <c r="S44" s="91">
        <v>44877.97864583333</v>
      </c>
      <c r="T44" s="66" t="s">
        <v>325</v>
      </c>
      <c r="U44" s="94" t="str">
        <f>HYPERLINK("https://youtu.be/erkbGlWtX3Q")</f>
        <v>https://youtu.be/erkbGlWtX3Q</v>
      </c>
      <c r="V44" s="66" t="s">
        <v>406</v>
      </c>
      <c r="W44" s="97" t="s">
        <v>427</v>
      </c>
      <c r="X44" s="66"/>
      <c r="Y44" s="94" t="str">
        <f>HYPERLINK("https://pbs.twimg.com/profile_images/875829647790964737/mJLoGN7N_normal.jpg")</f>
        <v>https://pbs.twimg.com/profile_images/875829647790964737/mJLoGN7N_normal.jpg</v>
      </c>
      <c r="Z44" s="91">
        <v>44877.97864583333</v>
      </c>
      <c r="AA44" s="100">
        <v>44877</v>
      </c>
      <c r="AB44" s="97" t="s">
        <v>451</v>
      </c>
      <c r="AC44" s="94" t="str">
        <f>HYPERLINK("https://twitter.com/daya1angel/status/1591573871622295553")</f>
        <v>https://twitter.com/daya1angel/status/1591573871622295553</v>
      </c>
      <c r="AD44" s="66"/>
      <c r="AE44" s="66"/>
      <c r="AF44" s="97" t="s">
        <v>584</v>
      </c>
      <c r="AG44" s="66"/>
      <c r="AH44" s="66" t="b">
        <v>0</v>
      </c>
      <c r="AI44" s="66">
        <v>0</v>
      </c>
      <c r="AJ44" s="97" t="s">
        <v>712</v>
      </c>
      <c r="AK44" s="66" t="b">
        <v>0</v>
      </c>
      <c r="AL44" s="66" t="s">
        <v>714</v>
      </c>
      <c r="AM44" s="66"/>
      <c r="AN44" s="97" t="s">
        <v>712</v>
      </c>
      <c r="AO44" s="66" t="b">
        <v>0</v>
      </c>
      <c r="AP44" s="66">
        <v>3</v>
      </c>
      <c r="AQ44" s="97" t="s">
        <v>626</v>
      </c>
      <c r="AR44" s="97" t="s">
        <v>719</v>
      </c>
      <c r="AS44" s="66" t="b">
        <v>0</v>
      </c>
      <c r="AT44" s="97" t="s">
        <v>626</v>
      </c>
      <c r="AU44" s="66" t="s">
        <v>241</v>
      </c>
      <c r="AV44" s="66">
        <v>0</v>
      </c>
      <c r="AW44" s="66">
        <v>0</v>
      </c>
      <c r="AX44" s="66"/>
      <c r="AY44" s="66"/>
      <c r="AZ44" s="66"/>
      <c r="BA44" s="66"/>
      <c r="BB44" s="66"/>
      <c r="BC44" s="66"/>
      <c r="BD44" s="66"/>
      <c r="BE44" s="66"/>
      <c r="BF44" s="45">
        <v>0</v>
      </c>
      <c r="BG44" s="46">
        <v>0</v>
      </c>
      <c r="BH44" s="45">
        <v>0</v>
      </c>
      <c r="BI44" s="46">
        <v>0</v>
      </c>
      <c r="BJ44" s="45">
        <v>0</v>
      </c>
      <c r="BK44" s="46">
        <v>0</v>
      </c>
      <c r="BL44" s="45">
        <v>8</v>
      </c>
      <c r="BM44" s="46">
        <v>80</v>
      </c>
      <c r="BN44" s="45">
        <v>10</v>
      </c>
    </row>
    <row r="45" spans="1:66" ht="15">
      <c r="A45" s="62" t="s">
        <v>286</v>
      </c>
      <c r="B45" s="62" t="s">
        <v>298</v>
      </c>
      <c r="C45" s="64" t="s">
        <v>1504</v>
      </c>
      <c r="D45" s="67">
        <v>3</v>
      </c>
      <c r="E45" s="68" t="s">
        <v>132</v>
      </c>
      <c r="F45" s="69">
        <v>32</v>
      </c>
      <c r="G45" s="64"/>
      <c r="H45" s="70"/>
      <c r="I45" s="71"/>
      <c r="J45" s="71"/>
      <c r="K45" s="31" t="s">
        <v>65</v>
      </c>
      <c r="L45" s="79">
        <v>45</v>
      </c>
      <c r="M45" s="79"/>
      <c r="N45" s="73"/>
      <c r="O45" s="66">
        <v>1</v>
      </c>
      <c r="P45" s="63" t="str">
        <f>REPLACE(INDEX(GroupVertices[Group],MATCH(Edges[[#This Row],[Vertex 1]],GroupVertices[Vertex],0)),1,1,"")</f>
        <v>2</v>
      </c>
      <c r="Q45" s="63" t="str">
        <f>REPLACE(INDEX(GroupVertices[Group],MATCH(Edges[[#This Row],[Vertex 2]],GroupVertices[Vertex],0)),1,1,"")</f>
        <v>2</v>
      </c>
      <c r="R45" s="66" t="s">
        <v>315</v>
      </c>
      <c r="S45" s="91">
        <v>44878.314108796294</v>
      </c>
      <c r="T45" s="66" t="s">
        <v>326</v>
      </c>
      <c r="U45" s="94" t="str">
        <f>HYPERLINK("https://www.abc.es/sociedad/cuatro-espanoles-reposan-congelados-espera-resucitados-20221109220843-nt.html")</f>
        <v>https://www.abc.es/sociedad/cuatro-espanoles-reposan-congelados-espera-resucitados-20221109220843-nt.html</v>
      </c>
      <c r="V45" s="66" t="s">
        <v>402</v>
      </c>
      <c r="W45" s="97" t="s">
        <v>422</v>
      </c>
      <c r="X45" s="66"/>
      <c r="Y45" s="94" t="str">
        <f>HYPERLINK("https://pbs.twimg.com/profile_images/1557013058689671170/qRQLHJjl_normal.jpg")</f>
        <v>https://pbs.twimg.com/profile_images/1557013058689671170/qRQLHJjl_normal.jpg</v>
      </c>
      <c r="Z45" s="91">
        <v>44878.314108796294</v>
      </c>
      <c r="AA45" s="100">
        <v>44878</v>
      </c>
      <c r="AB45" s="97" t="s">
        <v>452</v>
      </c>
      <c r="AC45" s="94" t="str">
        <f>HYPERLINK("https://twitter.com/gul_insidious/status/1591695440382418947")</f>
        <v>https://twitter.com/gul_insidious/status/1591695440382418947</v>
      </c>
      <c r="AD45" s="66"/>
      <c r="AE45" s="66"/>
      <c r="AF45" s="97" t="s">
        <v>585</v>
      </c>
      <c r="AG45" s="66"/>
      <c r="AH45" s="66" t="b">
        <v>0</v>
      </c>
      <c r="AI45" s="66">
        <v>0</v>
      </c>
      <c r="AJ45" s="97" t="s">
        <v>712</v>
      </c>
      <c r="AK45" s="66" t="b">
        <v>0</v>
      </c>
      <c r="AL45" s="66" t="s">
        <v>715</v>
      </c>
      <c r="AM45" s="66"/>
      <c r="AN45" s="97" t="s">
        <v>712</v>
      </c>
      <c r="AO45" s="66" t="b">
        <v>0</v>
      </c>
      <c r="AP45" s="66">
        <v>1</v>
      </c>
      <c r="AQ45" s="97" t="s">
        <v>660</v>
      </c>
      <c r="AR45" s="97" t="s">
        <v>721</v>
      </c>
      <c r="AS45" s="66" t="b">
        <v>0</v>
      </c>
      <c r="AT45" s="97" t="s">
        <v>660</v>
      </c>
      <c r="AU45" s="66" t="s">
        <v>241</v>
      </c>
      <c r="AV45" s="66">
        <v>0</v>
      </c>
      <c r="AW45" s="66">
        <v>0</v>
      </c>
      <c r="AX45" s="66"/>
      <c r="AY45" s="66"/>
      <c r="AZ45" s="66"/>
      <c r="BA45" s="66"/>
      <c r="BB45" s="66"/>
      <c r="BC45" s="66"/>
      <c r="BD45" s="66"/>
      <c r="BE45" s="66"/>
      <c r="BF45" s="45">
        <v>0</v>
      </c>
      <c r="BG45" s="46">
        <v>0</v>
      </c>
      <c r="BH45" s="45">
        <v>0</v>
      </c>
      <c r="BI45" s="46">
        <v>0</v>
      </c>
      <c r="BJ45" s="45">
        <v>0</v>
      </c>
      <c r="BK45" s="46">
        <v>0</v>
      </c>
      <c r="BL45" s="45">
        <v>23</v>
      </c>
      <c r="BM45" s="46">
        <v>67.6470588235294</v>
      </c>
      <c r="BN45" s="45">
        <v>34</v>
      </c>
    </row>
    <row r="46" spans="1:66" ht="15">
      <c r="A46" s="62" t="s">
        <v>287</v>
      </c>
      <c r="B46" s="62" t="s">
        <v>298</v>
      </c>
      <c r="C46" s="64" t="s">
        <v>1504</v>
      </c>
      <c r="D46" s="67">
        <v>3</v>
      </c>
      <c r="E46" s="68" t="s">
        <v>132</v>
      </c>
      <c r="F46" s="69">
        <v>32</v>
      </c>
      <c r="G46" s="64"/>
      <c r="H46" s="70"/>
      <c r="I46" s="71"/>
      <c r="J46" s="71"/>
      <c r="K46" s="31" t="s">
        <v>65</v>
      </c>
      <c r="L46" s="79">
        <v>46</v>
      </c>
      <c r="M46" s="79"/>
      <c r="N46" s="73"/>
      <c r="O46" s="66">
        <v>1</v>
      </c>
      <c r="P46" s="63" t="str">
        <f>REPLACE(INDEX(GroupVertices[Group],MATCH(Edges[[#This Row],[Vertex 1]],GroupVertices[Vertex],0)),1,1,"")</f>
        <v>5</v>
      </c>
      <c r="Q46" s="63" t="str">
        <f>REPLACE(INDEX(GroupVertices[Group],MATCH(Edges[[#This Row],[Vertex 2]],GroupVertices[Vertex],0)),1,1,"")</f>
        <v>2</v>
      </c>
      <c r="R46" s="66" t="s">
        <v>315</v>
      </c>
      <c r="S46" s="91">
        <v>44877.03939814815</v>
      </c>
      <c r="T46" s="66" t="s">
        <v>327</v>
      </c>
      <c r="U46" s="94" t="str">
        <f>HYPERLINK("http://transvisionmadrid.com")</f>
        <v>http://transvisionmadrid.com</v>
      </c>
      <c r="V46" s="66" t="s">
        <v>407</v>
      </c>
      <c r="W46" s="97" t="s">
        <v>428</v>
      </c>
      <c r="X46" s="94" t="str">
        <f>HYPERLINK("https://pbs.twimg.com/media/FhTvgAiXgBAb2MX.jpg")</f>
        <v>https://pbs.twimg.com/media/FhTvgAiXgBAb2MX.jpg</v>
      </c>
      <c r="Y46" s="94" t="str">
        <f>HYPERLINK("https://pbs.twimg.com/media/FhTvgAiXgBAb2MX.jpg")</f>
        <v>https://pbs.twimg.com/media/FhTvgAiXgBAb2MX.jpg</v>
      </c>
      <c r="Z46" s="91">
        <v>44877.03939814815</v>
      </c>
      <c r="AA46" s="100">
        <v>44877</v>
      </c>
      <c r="AB46" s="97" t="s">
        <v>453</v>
      </c>
      <c r="AC46" s="94" t="str">
        <f>HYPERLINK("https://twitter.com/peterxing/status/1591233499889307648")</f>
        <v>https://twitter.com/peterxing/status/1591233499889307648</v>
      </c>
      <c r="AD46" s="66"/>
      <c r="AE46" s="66"/>
      <c r="AF46" s="97" t="s">
        <v>586</v>
      </c>
      <c r="AG46" s="66"/>
      <c r="AH46" s="66" t="b">
        <v>0</v>
      </c>
      <c r="AI46" s="66">
        <v>0</v>
      </c>
      <c r="AJ46" s="97" t="s">
        <v>712</v>
      </c>
      <c r="AK46" s="66" t="b">
        <v>0</v>
      </c>
      <c r="AL46" s="66" t="s">
        <v>714</v>
      </c>
      <c r="AM46" s="66"/>
      <c r="AN46" s="97" t="s">
        <v>712</v>
      </c>
      <c r="AO46" s="66" t="b">
        <v>0</v>
      </c>
      <c r="AP46" s="66">
        <v>1</v>
      </c>
      <c r="AQ46" s="97" t="s">
        <v>648</v>
      </c>
      <c r="AR46" s="97" t="s">
        <v>718</v>
      </c>
      <c r="AS46" s="66" t="b">
        <v>0</v>
      </c>
      <c r="AT46" s="97" t="s">
        <v>648</v>
      </c>
      <c r="AU46" s="66" t="s">
        <v>241</v>
      </c>
      <c r="AV46" s="66">
        <v>0</v>
      </c>
      <c r="AW46" s="66">
        <v>0</v>
      </c>
      <c r="AX46" s="66"/>
      <c r="AY46" s="66"/>
      <c r="AZ46" s="66"/>
      <c r="BA46" s="66"/>
      <c r="BB46" s="66"/>
      <c r="BC46" s="66"/>
      <c r="BD46" s="66"/>
      <c r="BE46" s="66"/>
      <c r="BF46" s="45">
        <v>0</v>
      </c>
      <c r="BG46" s="46">
        <v>0</v>
      </c>
      <c r="BH46" s="45">
        <v>0</v>
      </c>
      <c r="BI46" s="46">
        <v>0</v>
      </c>
      <c r="BJ46" s="45">
        <v>0</v>
      </c>
      <c r="BK46" s="46">
        <v>0</v>
      </c>
      <c r="BL46" s="45">
        <v>16</v>
      </c>
      <c r="BM46" s="46">
        <v>84.21052631578948</v>
      </c>
      <c r="BN46" s="45">
        <v>19</v>
      </c>
    </row>
    <row r="47" spans="1:66" ht="15">
      <c r="A47" s="62" t="s">
        <v>287</v>
      </c>
      <c r="B47" s="62" t="s">
        <v>304</v>
      </c>
      <c r="C47" s="64" t="s">
        <v>1505</v>
      </c>
      <c r="D47" s="67">
        <v>4.75</v>
      </c>
      <c r="E47" s="68" t="s">
        <v>136</v>
      </c>
      <c r="F47" s="69">
        <v>31.235294117647058</v>
      </c>
      <c r="G47" s="64"/>
      <c r="H47" s="70"/>
      <c r="I47" s="71"/>
      <c r="J47" s="71"/>
      <c r="K47" s="31" t="s">
        <v>65</v>
      </c>
      <c r="L47" s="79">
        <v>47</v>
      </c>
      <c r="M47" s="79"/>
      <c r="N47" s="73"/>
      <c r="O47" s="66">
        <v>2</v>
      </c>
      <c r="P47" s="63" t="str">
        <f>REPLACE(INDEX(GroupVertices[Group],MATCH(Edges[[#This Row],[Vertex 1]],GroupVertices[Vertex],0)),1,1,"")</f>
        <v>5</v>
      </c>
      <c r="Q47" s="63" t="str">
        <f>REPLACE(INDEX(GroupVertices[Group],MATCH(Edges[[#This Row],[Vertex 2]],GroupVertices[Vertex],0)),1,1,"")</f>
        <v>5</v>
      </c>
      <c r="R47" s="66" t="s">
        <v>315</v>
      </c>
      <c r="S47" s="91">
        <v>44877.473703703705</v>
      </c>
      <c r="T47" s="66" t="s">
        <v>318</v>
      </c>
      <c r="U47" s="66"/>
      <c r="V47" s="66"/>
      <c r="W47" s="97" t="s">
        <v>421</v>
      </c>
      <c r="X47" s="94" t="str">
        <f>HYPERLINK("https://pbs.twimg.com/media/FhWdWZuXwAAO13Y.jpg")</f>
        <v>https://pbs.twimg.com/media/FhWdWZuXwAAO13Y.jpg</v>
      </c>
      <c r="Y47" s="94" t="str">
        <f>HYPERLINK("https://pbs.twimg.com/media/FhWdWZuXwAAO13Y.jpg")</f>
        <v>https://pbs.twimg.com/media/FhWdWZuXwAAO13Y.jpg</v>
      </c>
      <c r="Z47" s="91">
        <v>44877.473703703705</v>
      </c>
      <c r="AA47" s="100">
        <v>44877</v>
      </c>
      <c r="AB47" s="97" t="s">
        <v>454</v>
      </c>
      <c r="AC47" s="94" t="str">
        <f>HYPERLINK("https://twitter.com/peterxing/status/1591390885899833345")</f>
        <v>https://twitter.com/peterxing/status/1591390885899833345</v>
      </c>
      <c r="AD47" s="66"/>
      <c r="AE47" s="66"/>
      <c r="AF47" s="97" t="s">
        <v>587</v>
      </c>
      <c r="AG47" s="66"/>
      <c r="AH47" s="66" t="b">
        <v>0</v>
      </c>
      <c r="AI47" s="66">
        <v>0</v>
      </c>
      <c r="AJ47" s="97" t="s">
        <v>712</v>
      </c>
      <c r="AK47" s="66" t="b">
        <v>0</v>
      </c>
      <c r="AL47" s="66" t="s">
        <v>714</v>
      </c>
      <c r="AM47" s="66"/>
      <c r="AN47" s="97" t="s">
        <v>712</v>
      </c>
      <c r="AO47" s="66" t="b">
        <v>0</v>
      </c>
      <c r="AP47" s="66">
        <v>6</v>
      </c>
      <c r="AQ47" s="97" t="s">
        <v>638</v>
      </c>
      <c r="AR47" s="97" t="s">
        <v>718</v>
      </c>
      <c r="AS47" s="66" t="b">
        <v>0</v>
      </c>
      <c r="AT47" s="97" t="s">
        <v>638</v>
      </c>
      <c r="AU47" s="66" t="s">
        <v>241</v>
      </c>
      <c r="AV47" s="66">
        <v>0</v>
      </c>
      <c r="AW47" s="66">
        <v>0</v>
      </c>
      <c r="AX47" s="66"/>
      <c r="AY47" s="66"/>
      <c r="AZ47" s="66"/>
      <c r="BA47" s="66"/>
      <c r="BB47" s="66"/>
      <c r="BC47" s="66"/>
      <c r="BD47" s="66"/>
      <c r="BE47" s="66"/>
      <c r="BF47" s="45">
        <v>0</v>
      </c>
      <c r="BG47" s="46">
        <v>0</v>
      </c>
      <c r="BH47" s="45">
        <v>0</v>
      </c>
      <c r="BI47" s="46">
        <v>0</v>
      </c>
      <c r="BJ47" s="45">
        <v>0</v>
      </c>
      <c r="BK47" s="46">
        <v>0</v>
      </c>
      <c r="BL47" s="45">
        <v>5</v>
      </c>
      <c r="BM47" s="46">
        <v>83.33333333333333</v>
      </c>
      <c r="BN47" s="45">
        <v>6</v>
      </c>
    </row>
    <row r="48" spans="1:66" ht="15">
      <c r="A48" s="62" t="s">
        <v>287</v>
      </c>
      <c r="B48" s="62" t="s">
        <v>304</v>
      </c>
      <c r="C48" s="64" t="s">
        <v>1505</v>
      </c>
      <c r="D48" s="67">
        <v>4.75</v>
      </c>
      <c r="E48" s="68" t="s">
        <v>136</v>
      </c>
      <c r="F48" s="69">
        <v>31.235294117647058</v>
      </c>
      <c r="G48" s="64"/>
      <c r="H48" s="70"/>
      <c r="I48" s="71"/>
      <c r="J48" s="71"/>
      <c r="K48" s="31" t="s">
        <v>65</v>
      </c>
      <c r="L48" s="79">
        <v>48</v>
      </c>
      <c r="M48" s="79"/>
      <c r="N48" s="73"/>
      <c r="O48" s="66">
        <v>2</v>
      </c>
      <c r="P48" s="63" t="str">
        <f>REPLACE(INDEX(GroupVertices[Group],MATCH(Edges[[#This Row],[Vertex 1]],GroupVertices[Vertex],0)),1,1,"")</f>
        <v>5</v>
      </c>
      <c r="Q48" s="63" t="str">
        <f>REPLACE(INDEX(GroupVertices[Group],MATCH(Edges[[#This Row],[Vertex 2]],GroupVertices[Vertex],0)),1,1,"")</f>
        <v>5</v>
      </c>
      <c r="R48" s="66" t="s">
        <v>315</v>
      </c>
      <c r="S48" s="91">
        <v>44877.494375</v>
      </c>
      <c r="T48" s="66" t="s">
        <v>328</v>
      </c>
      <c r="U48" s="94" t="str">
        <f>HYPERLINK("https://www.transvisionmadrid.com/en/2022.html")</f>
        <v>https://www.transvisionmadrid.com/en/2022.html</v>
      </c>
      <c r="V48" s="66" t="s">
        <v>407</v>
      </c>
      <c r="W48" s="97" t="s">
        <v>421</v>
      </c>
      <c r="X48" s="94" t="str">
        <f>HYPERLINK("https://pbs.twimg.com/media/FhN2si8XwAIi1Du.jpg")</f>
        <v>https://pbs.twimg.com/media/FhN2si8XwAIi1Du.jpg</v>
      </c>
      <c r="Y48" s="94" t="str">
        <f>HYPERLINK("https://pbs.twimg.com/media/FhN2si8XwAIi1Du.jpg")</f>
        <v>https://pbs.twimg.com/media/FhN2si8XwAIi1Du.jpg</v>
      </c>
      <c r="Z48" s="91">
        <v>44877.494375</v>
      </c>
      <c r="AA48" s="100">
        <v>44877</v>
      </c>
      <c r="AB48" s="97" t="s">
        <v>455</v>
      </c>
      <c r="AC48" s="94" t="str">
        <f>HYPERLINK("https://twitter.com/peterxing/status/1591398376918380548")</f>
        <v>https://twitter.com/peterxing/status/1591398376918380548</v>
      </c>
      <c r="AD48" s="66"/>
      <c r="AE48" s="66"/>
      <c r="AF48" s="97" t="s">
        <v>588</v>
      </c>
      <c r="AG48" s="66"/>
      <c r="AH48" s="66" t="b">
        <v>0</v>
      </c>
      <c r="AI48" s="66">
        <v>0</v>
      </c>
      <c r="AJ48" s="97" t="s">
        <v>712</v>
      </c>
      <c r="AK48" s="66" t="b">
        <v>0</v>
      </c>
      <c r="AL48" s="66" t="s">
        <v>714</v>
      </c>
      <c r="AM48" s="66"/>
      <c r="AN48" s="97" t="s">
        <v>712</v>
      </c>
      <c r="AO48" s="66" t="b">
        <v>0</v>
      </c>
      <c r="AP48" s="66">
        <v>2</v>
      </c>
      <c r="AQ48" s="97" t="s">
        <v>637</v>
      </c>
      <c r="AR48" s="97" t="s">
        <v>718</v>
      </c>
      <c r="AS48" s="66" t="b">
        <v>0</v>
      </c>
      <c r="AT48" s="97" t="s">
        <v>637</v>
      </c>
      <c r="AU48" s="66" t="s">
        <v>241</v>
      </c>
      <c r="AV48" s="66">
        <v>0</v>
      </c>
      <c r="AW48" s="66">
        <v>0</v>
      </c>
      <c r="AX48" s="66"/>
      <c r="AY48" s="66"/>
      <c r="AZ48" s="66"/>
      <c r="BA48" s="66"/>
      <c r="BB48" s="66"/>
      <c r="BC48" s="66"/>
      <c r="BD48" s="66"/>
      <c r="BE48" s="66"/>
      <c r="BF48" s="45">
        <v>0</v>
      </c>
      <c r="BG48" s="46">
        <v>0</v>
      </c>
      <c r="BH48" s="45">
        <v>0</v>
      </c>
      <c r="BI48" s="46">
        <v>0</v>
      </c>
      <c r="BJ48" s="45">
        <v>0</v>
      </c>
      <c r="BK48" s="46">
        <v>0</v>
      </c>
      <c r="BL48" s="45">
        <v>17</v>
      </c>
      <c r="BM48" s="46">
        <v>62.96296296296296</v>
      </c>
      <c r="BN48" s="45">
        <v>27</v>
      </c>
    </row>
    <row r="49" spans="1:66" ht="15">
      <c r="A49" s="62" t="s">
        <v>287</v>
      </c>
      <c r="B49" s="62" t="s">
        <v>305</v>
      </c>
      <c r="C49" s="64" t="s">
        <v>1504</v>
      </c>
      <c r="D49" s="67">
        <v>3</v>
      </c>
      <c r="E49" s="68" t="s">
        <v>132</v>
      </c>
      <c r="F49" s="69">
        <v>32</v>
      </c>
      <c r="G49" s="64"/>
      <c r="H49" s="70"/>
      <c r="I49" s="71"/>
      <c r="J49" s="71"/>
      <c r="K49" s="31" t="s">
        <v>65</v>
      </c>
      <c r="L49" s="79">
        <v>49</v>
      </c>
      <c r="M49" s="79"/>
      <c r="N49" s="73"/>
      <c r="O49" s="66">
        <v>1</v>
      </c>
      <c r="P49" s="63" t="str">
        <f>REPLACE(INDEX(GroupVertices[Group],MATCH(Edges[[#This Row],[Vertex 1]],GroupVertices[Vertex],0)),1,1,"")</f>
        <v>5</v>
      </c>
      <c r="Q49" s="63" t="str">
        <f>REPLACE(INDEX(GroupVertices[Group],MATCH(Edges[[#This Row],[Vertex 2]],GroupVertices[Vertex],0)),1,1,"")</f>
        <v>4</v>
      </c>
      <c r="R49" s="66" t="s">
        <v>315</v>
      </c>
      <c r="S49" s="91">
        <v>44878.360451388886</v>
      </c>
      <c r="T49" s="66" t="s">
        <v>329</v>
      </c>
      <c r="U49" s="66" t="s">
        <v>394</v>
      </c>
      <c r="V49" s="66" t="s">
        <v>408</v>
      </c>
      <c r="W49" s="97" t="s">
        <v>429</v>
      </c>
      <c r="X49" s="66"/>
      <c r="Y49" s="94" t="str">
        <f>HYPERLINK("https://pbs.twimg.com/profile_images/1444816137166852102/McN2-LTK_normal.jpg")</f>
        <v>https://pbs.twimg.com/profile_images/1444816137166852102/McN2-LTK_normal.jpg</v>
      </c>
      <c r="Z49" s="91">
        <v>44878.360451388886</v>
      </c>
      <c r="AA49" s="100">
        <v>44878</v>
      </c>
      <c r="AB49" s="97" t="s">
        <v>456</v>
      </c>
      <c r="AC49" s="94" t="str">
        <f>HYPERLINK("https://twitter.com/peterxing/status/1591712232328826880")</f>
        <v>https://twitter.com/peterxing/status/1591712232328826880</v>
      </c>
      <c r="AD49" s="66"/>
      <c r="AE49" s="66"/>
      <c r="AF49" s="97" t="s">
        <v>589</v>
      </c>
      <c r="AG49" s="66"/>
      <c r="AH49" s="66" t="b">
        <v>0</v>
      </c>
      <c r="AI49" s="66">
        <v>0</v>
      </c>
      <c r="AJ49" s="97" t="s">
        <v>712</v>
      </c>
      <c r="AK49" s="66" t="b">
        <v>0</v>
      </c>
      <c r="AL49" s="66" t="s">
        <v>714</v>
      </c>
      <c r="AM49" s="66"/>
      <c r="AN49" s="97" t="s">
        <v>712</v>
      </c>
      <c r="AO49" s="66" t="b">
        <v>0</v>
      </c>
      <c r="AP49" s="66">
        <v>5</v>
      </c>
      <c r="AQ49" s="97" t="s">
        <v>699</v>
      </c>
      <c r="AR49" s="97" t="s">
        <v>718</v>
      </c>
      <c r="AS49" s="66" t="b">
        <v>0</v>
      </c>
      <c r="AT49" s="97" t="s">
        <v>699</v>
      </c>
      <c r="AU49" s="66" t="s">
        <v>241</v>
      </c>
      <c r="AV49" s="66">
        <v>0</v>
      </c>
      <c r="AW49" s="66">
        <v>0</v>
      </c>
      <c r="AX49" s="66"/>
      <c r="AY49" s="66"/>
      <c r="AZ49" s="66"/>
      <c r="BA49" s="66"/>
      <c r="BB49" s="66"/>
      <c r="BC49" s="66"/>
      <c r="BD49" s="66"/>
      <c r="BE49" s="66"/>
      <c r="BF49" s="45">
        <v>0</v>
      </c>
      <c r="BG49" s="46">
        <v>0</v>
      </c>
      <c r="BH49" s="45">
        <v>0</v>
      </c>
      <c r="BI49" s="46">
        <v>0</v>
      </c>
      <c r="BJ49" s="45">
        <v>0</v>
      </c>
      <c r="BK49" s="46">
        <v>0</v>
      </c>
      <c r="BL49" s="45">
        <v>16</v>
      </c>
      <c r="BM49" s="46">
        <v>51.61290322580645</v>
      </c>
      <c r="BN49" s="45">
        <v>31</v>
      </c>
    </row>
    <row r="50" spans="1:66" ht="15">
      <c r="A50" s="62" t="s">
        <v>288</v>
      </c>
      <c r="B50" s="62" t="s">
        <v>298</v>
      </c>
      <c r="C50" s="64" t="s">
        <v>1504</v>
      </c>
      <c r="D50" s="67">
        <v>3</v>
      </c>
      <c r="E50" s="68" t="s">
        <v>132</v>
      </c>
      <c r="F50" s="69">
        <v>32</v>
      </c>
      <c r="G50" s="64"/>
      <c r="H50" s="70"/>
      <c r="I50" s="71"/>
      <c r="J50" s="71"/>
      <c r="K50" s="31" t="s">
        <v>65</v>
      </c>
      <c r="L50" s="79">
        <v>50</v>
      </c>
      <c r="M50" s="79"/>
      <c r="N50" s="73"/>
      <c r="O50" s="66">
        <v>1</v>
      </c>
      <c r="P50" s="63" t="str">
        <f>REPLACE(INDEX(GroupVertices[Group],MATCH(Edges[[#This Row],[Vertex 1]],GroupVertices[Vertex],0)),1,1,"")</f>
        <v>2</v>
      </c>
      <c r="Q50" s="63" t="str">
        <f>REPLACE(INDEX(GroupVertices[Group],MATCH(Edges[[#This Row],[Vertex 2]],GroupVertices[Vertex],0)),1,1,"")</f>
        <v>2</v>
      </c>
      <c r="R50" s="66" t="s">
        <v>315</v>
      </c>
      <c r="S50" s="91">
        <v>44878.42042824074</v>
      </c>
      <c r="T50" s="66" t="s">
        <v>330</v>
      </c>
      <c r="U50" s="94" t="str">
        <f>HYPERLINK("http://transvisionmadrid.com")</f>
        <v>http://transvisionmadrid.com</v>
      </c>
      <c r="V50" s="66" t="s">
        <v>407</v>
      </c>
      <c r="W50" s="97" t="s">
        <v>428</v>
      </c>
      <c r="X50" s="94" t="str">
        <f>HYPERLINK("https://pbs.twimg.com/media/Fhb3hI6WAAIZ67S.jpg")</f>
        <v>https://pbs.twimg.com/media/Fhb3hI6WAAIZ67S.jpg</v>
      </c>
      <c r="Y50" s="94" t="str">
        <f>HYPERLINK("https://pbs.twimg.com/media/Fhb3hI6WAAIZ67S.jpg")</f>
        <v>https://pbs.twimg.com/media/Fhb3hI6WAAIZ67S.jpg</v>
      </c>
      <c r="Z50" s="91">
        <v>44878.42042824074</v>
      </c>
      <c r="AA50" s="100">
        <v>44878</v>
      </c>
      <c r="AB50" s="97" t="s">
        <v>457</v>
      </c>
      <c r="AC50" s="94" t="str">
        <f>HYPERLINK("https://twitter.com/piroworldwide/status/1591733967438614529")</f>
        <v>https://twitter.com/piroworldwide/status/1591733967438614529</v>
      </c>
      <c r="AD50" s="66"/>
      <c r="AE50" s="66"/>
      <c r="AF50" s="97" t="s">
        <v>590</v>
      </c>
      <c r="AG50" s="66"/>
      <c r="AH50" s="66" t="b">
        <v>0</v>
      </c>
      <c r="AI50" s="66">
        <v>0</v>
      </c>
      <c r="AJ50" s="97" t="s">
        <v>712</v>
      </c>
      <c r="AK50" s="66" t="b">
        <v>0</v>
      </c>
      <c r="AL50" s="66" t="s">
        <v>714</v>
      </c>
      <c r="AM50" s="66"/>
      <c r="AN50" s="97" t="s">
        <v>712</v>
      </c>
      <c r="AO50" s="66" t="b">
        <v>0</v>
      </c>
      <c r="AP50" s="66">
        <v>2</v>
      </c>
      <c r="AQ50" s="97" t="s">
        <v>663</v>
      </c>
      <c r="AR50" s="97" t="s">
        <v>718</v>
      </c>
      <c r="AS50" s="66" t="b">
        <v>0</v>
      </c>
      <c r="AT50" s="97" t="s">
        <v>663</v>
      </c>
      <c r="AU50" s="66" t="s">
        <v>241</v>
      </c>
      <c r="AV50" s="66">
        <v>0</v>
      </c>
      <c r="AW50" s="66">
        <v>0</v>
      </c>
      <c r="AX50" s="66"/>
      <c r="AY50" s="66"/>
      <c r="AZ50" s="66"/>
      <c r="BA50" s="66"/>
      <c r="BB50" s="66"/>
      <c r="BC50" s="66"/>
      <c r="BD50" s="66"/>
      <c r="BE50" s="66"/>
      <c r="BF50" s="45">
        <v>0</v>
      </c>
      <c r="BG50" s="46">
        <v>0</v>
      </c>
      <c r="BH50" s="45">
        <v>0</v>
      </c>
      <c r="BI50" s="46">
        <v>0</v>
      </c>
      <c r="BJ50" s="45">
        <v>0</v>
      </c>
      <c r="BK50" s="46">
        <v>0</v>
      </c>
      <c r="BL50" s="45">
        <v>16</v>
      </c>
      <c r="BM50" s="46">
        <v>84.21052631578948</v>
      </c>
      <c r="BN50" s="45">
        <v>19</v>
      </c>
    </row>
    <row r="51" spans="1:66" ht="15">
      <c r="A51" s="62" t="s">
        <v>289</v>
      </c>
      <c r="B51" s="62" t="s">
        <v>310</v>
      </c>
      <c r="C51" s="64" t="s">
        <v>1504</v>
      </c>
      <c r="D51" s="67">
        <v>3</v>
      </c>
      <c r="E51" s="68" t="s">
        <v>132</v>
      </c>
      <c r="F51" s="69">
        <v>32</v>
      </c>
      <c r="G51" s="64"/>
      <c r="H51" s="70"/>
      <c r="I51" s="71"/>
      <c r="J51" s="71"/>
      <c r="K51" s="31" t="s">
        <v>65</v>
      </c>
      <c r="L51" s="79">
        <v>51</v>
      </c>
      <c r="M51" s="79"/>
      <c r="N51" s="73"/>
      <c r="O51" s="66">
        <v>1</v>
      </c>
      <c r="P51" s="63" t="str">
        <f>REPLACE(INDEX(GroupVertices[Group],MATCH(Edges[[#This Row],[Vertex 1]],GroupVertices[Vertex],0)),1,1,"")</f>
        <v>2</v>
      </c>
      <c r="Q51" s="63" t="str">
        <f>REPLACE(INDEX(GroupVertices[Group],MATCH(Edges[[#This Row],[Vertex 2]],GroupVertices[Vertex],0)),1,1,"")</f>
        <v>2</v>
      </c>
      <c r="R51" s="66" t="s">
        <v>316</v>
      </c>
      <c r="S51" s="91">
        <v>44878.63033564815</v>
      </c>
      <c r="T51" s="66" t="s">
        <v>331</v>
      </c>
      <c r="U51" s="94" t="str">
        <f>HYPERLINK("https://www.youtube.com/watch?v=3JK84n-jsMU")</f>
        <v>https://www.youtube.com/watch?v=3JK84n-jsMU</v>
      </c>
      <c r="V51" s="66" t="s">
        <v>403</v>
      </c>
      <c r="W51" s="97" t="s">
        <v>430</v>
      </c>
      <c r="X51" s="94" t="str">
        <f>HYPERLINK("https://pbs.twimg.com/media/Fhb4i56WIAEBmHG.jpg")</f>
        <v>https://pbs.twimg.com/media/Fhb4i56WIAEBmHG.jpg</v>
      </c>
      <c r="Y51" s="94" t="str">
        <f>HYPERLINK("https://pbs.twimg.com/media/Fhb4i56WIAEBmHG.jpg")</f>
        <v>https://pbs.twimg.com/media/Fhb4i56WIAEBmHG.jpg</v>
      </c>
      <c r="Z51" s="91">
        <v>44878.63033564815</v>
      </c>
      <c r="AA51" s="100">
        <v>44878</v>
      </c>
      <c r="AB51" s="97" t="s">
        <v>458</v>
      </c>
      <c r="AC51" s="94" t="str">
        <f>HYPERLINK("https://twitter.com/chris_armstrong/status/1591810036141289472")</f>
        <v>https://twitter.com/chris_armstrong/status/1591810036141289472</v>
      </c>
      <c r="AD51" s="66"/>
      <c r="AE51" s="66"/>
      <c r="AF51" s="97" t="s">
        <v>591</v>
      </c>
      <c r="AG51" s="66"/>
      <c r="AH51" s="66" t="b">
        <v>0</v>
      </c>
      <c r="AI51" s="66">
        <v>0</v>
      </c>
      <c r="AJ51" s="97" t="s">
        <v>712</v>
      </c>
      <c r="AK51" s="66" t="b">
        <v>0</v>
      </c>
      <c r="AL51" s="66" t="s">
        <v>714</v>
      </c>
      <c r="AM51" s="66"/>
      <c r="AN51" s="97" t="s">
        <v>712</v>
      </c>
      <c r="AO51" s="66" t="b">
        <v>0</v>
      </c>
      <c r="AP51" s="66">
        <v>1</v>
      </c>
      <c r="AQ51" s="97" t="s">
        <v>664</v>
      </c>
      <c r="AR51" s="97" t="s">
        <v>718</v>
      </c>
      <c r="AS51" s="66" t="b">
        <v>0</v>
      </c>
      <c r="AT51" s="97" t="s">
        <v>664</v>
      </c>
      <c r="AU51" s="66" t="s">
        <v>241</v>
      </c>
      <c r="AV51" s="66">
        <v>0</v>
      </c>
      <c r="AW51" s="66">
        <v>0</v>
      </c>
      <c r="AX51" s="66"/>
      <c r="AY51" s="66"/>
      <c r="AZ51" s="66"/>
      <c r="BA51" s="66"/>
      <c r="BB51" s="66"/>
      <c r="BC51" s="66"/>
      <c r="BD51" s="66"/>
      <c r="BE51" s="66"/>
      <c r="BF51" s="45"/>
      <c r="BG51" s="46"/>
      <c r="BH51" s="45"/>
      <c r="BI51" s="46"/>
      <c r="BJ51" s="45"/>
      <c r="BK51" s="46"/>
      <c r="BL51" s="45"/>
      <c r="BM51" s="46"/>
      <c r="BN51" s="45"/>
    </row>
    <row r="52" spans="1:66" ht="15">
      <c r="A52" s="62" t="s">
        <v>289</v>
      </c>
      <c r="B52" s="62" t="s">
        <v>298</v>
      </c>
      <c r="C52" s="64" t="s">
        <v>1504</v>
      </c>
      <c r="D52" s="67">
        <v>3</v>
      </c>
      <c r="E52" s="68" t="s">
        <v>132</v>
      </c>
      <c r="F52" s="69">
        <v>32</v>
      </c>
      <c r="G52" s="64"/>
      <c r="H52" s="70"/>
      <c r="I52" s="71"/>
      <c r="J52" s="71"/>
      <c r="K52" s="31" t="s">
        <v>65</v>
      </c>
      <c r="L52" s="79">
        <v>52</v>
      </c>
      <c r="M52" s="79"/>
      <c r="N52" s="73"/>
      <c r="O52" s="66">
        <v>1</v>
      </c>
      <c r="P52" s="63" t="str">
        <f>REPLACE(INDEX(GroupVertices[Group],MATCH(Edges[[#This Row],[Vertex 1]],GroupVertices[Vertex],0)),1,1,"")</f>
        <v>2</v>
      </c>
      <c r="Q52" s="63" t="str">
        <f>REPLACE(INDEX(GroupVertices[Group],MATCH(Edges[[#This Row],[Vertex 2]],GroupVertices[Vertex],0)),1,1,"")</f>
        <v>2</v>
      </c>
      <c r="R52" s="66" t="s">
        <v>315</v>
      </c>
      <c r="S52" s="91">
        <v>44878.63033564815</v>
      </c>
      <c r="T52" s="66" t="s">
        <v>331</v>
      </c>
      <c r="U52" s="94" t="str">
        <f>HYPERLINK("https://www.youtube.com/watch?v=3JK84n-jsMU")</f>
        <v>https://www.youtube.com/watch?v=3JK84n-jsMU</v>
      </c>
      <c r="V52" s="66" t="s">
        <v>403</v>
      </c>
      <c r="W52" s="97" t="s">
        <v>430</v>
      </c>
      <c r="X52" s="94" t="str">
        <f>HYPERLINK("https://pbs.twimg.com/media/Fhb4i56WIAEBmHG.jpg")</f>
        <v>https://pbs.twimg.com/media/Fhb4i56WIAEBmHG.jpg</v>
      </c>
      <c r="Y52" s="94" t="str">
        <f>HYPERLINK("https://pbs.twimg.com/media/Fhb4i56WIAEBmHG.jpg")</f>
        <v>https://pbs.twimg.com/media/Fhb4i56WIAEBmHG.jpg</v>
      </c>
      <c r="Z52" s="91">
        <v>44878.63033564815</v>
      </c>
      <c r="AA52" s="100">
        <v>44878</v>
      </c>
      <c r="AB52" s="97" t="s">
        <v>458</v>
      </c>
      <c r="AC52" s="94" t="str">
        <f>HYPERLINK("https://twitter.com/chris_armstrong/status/1591810036141289472")</f>
        <v>https://twitter.com/chris_armstrong/status/1591810036141289472</v>
      </c>
      <c r="AD52" s="66"/>
      <c r="AE52" s="66"/>
      <c r="AF52" s="97" t="s">
        <v>591</v>
      </c>
      <c r="AG52" s="66"/>
      <c r="AH52" s="66" t="b">
        <v>0</v>
      </c>
      <c r="AI52" s="66">
        <v>0</v>
      </c>
      <c r="AJ52" s="97" t="s">
        <v>712</v>
      </c>
      <c r="AK52" s="66" t="b">
        <v>0</v>
      </c>
      <c r="AL52" s="66" t="s">
        <v>714</v>
      </c>
      <c r="AM52" s="66"/>
      <c r="AN52" s="97" t="s">
        <v>712</v>
      </c>
      <c r="AO52" s="66" t="b">
        <v>0</v>
      </c>
      <c r="AP52" s="66">
        <v>1</v>
      </c>
      <c r="AQ52" s="97" t="s">
        <v>664</v>
      </c>
      <c r="AR52" s="97" t="s">
        <v>718</v>
      </c>
      <c r="AS52" s="66" t="b">
        <v>0</v>
      </c>
      <c r="AT52" s="97" t="s">
        <v>664</v>
      </c>
      <c r="AU52" s="66" t="s">
        <v>241</v>
      </c>
      <c r="AV52" s="66">
        <v>0</v>
      </c>
      <c r="AW52" s="66">
        <v>0</v>
      </c>
      <c r="AX52" s="66"/>
      <c r="AY52" s="66"/>
      <c r="AZ52" s="66"/>
      <c r="BA52" s="66"/>
      <c r="BB52" s="66"/>
      <c r="BC52" s="66"/>
      <c r="BD52" s="66"/>
      <c r="BE52" s="66"/>
      <c r="BF52" s="45">
        <v>0</v>
      </c>
      <c r="BG52" s="46">
        <v>0</v>
      </c>
      <c r="BH52" s="45">
        <v>0</v>
      </c>
      <c r="BI52" s="46">
        <v>0</v>
      </c>
      <c r="BJ52" s="45">
        <v>0</v>
      </c>
      <c r="BK52" s="46">
        <v>0</v>
      </c>
      <c r="BL52" s="45">
        <v>9</v>
      </c>
      <c r="BM52" s="46">
        <v>64.28571428571429</v>
      </c>
      <c r="BN52" s="45">
        <v>14</v>
      </c>
    </row>
    <row r="53" spans="1:66" ht="15">
      <c r="A53" s="62" t="s">
        <v>290</v>
      </c>
      <c r="B53" s="62" t="s">
        <v>304</v>
      </c>
      <c r="C53" s="64" t="s">
        <v>1504</v>
      </c>
      <c r="D53" s="67">
        <v>3</v>
      </c>
      <c r="E53" s="68" t="s">
        <v>132</v>
      </c>
      <c r="F53" s="69">
        <v>32</v>
      </c>
      <c r="G53" s="64"/>
      <c r="H53" s="70"/>
      <c r="I53" s="71"/>
      <c r="J53" s="71"/>
      <c r="K53" s="31" t="s">
        <v>65</v>
      </c>
      <c r="L53" s="79">
        <v>53</v>
      </c>
      <c r="M53" s="79"/>
      <c r="N53" s="73"/>
      <c r="O53" s="66">
        <v>1</v>
      </c>
      <c r="P53" s="63" t="str">
        <f>REPLACE(INDEX(GroupVertices[Group],MATCH(Edges[[#This Row],[Vertex 1]],GroupVertices[Vertex],0)),1,1,"")</f>
        <v>1</v>
      </c>
      <c r="Q53" s="63" t="str">
        <f>REPLACE(INDEX(GroupVertices[Group],MATCH(Edges[[#This Row],[Vertex 2]],GroupVertices[Vertex],0)),1,1,"")</f>
        <v>5</v>
      </c>
      <c r="R53" s="66" t="s">
        <v>316</v>
      </c>
      <c r="S53" s="91">
        <v>44877.665914351855</v>
      </c>
      <c r="T53" s="66" t="s">
        <v>321</v>
      </c>
      <c r="U53" s="94" t="str">
        <f>HYPERLINK("https://www.youtube.com/watch?v=xb0JCOgMsXc&amp;feature=youtu.be")</f>
        <v>https://www.youtube.com/watch?v=xb0JCOgMsXc&amp;feature=youtu.be</v>
      </c>
      <c r="V53" s="66" t="s">
        <v>403</v>
      </c>
      <c r="W53" s="97" t="s">
        <v>424</v>
      </c>
      <c r="X53" s="94" t="str">
        <f>HYPERLINK("https://pbs.twimg.com/media/FhW7ZTpXkAAZ4Hh.jpg")</f>
        <v>https://pbs.twimg.com/media/FhW7ZTpXkAAZ4Hh.jpg</v>
      </c>
      <c r="Y53" s="94" t="str">
        <f>HYPERLINK("https://pbs.twimg.com/media/FhW7ZTpXkAAZ4Hh.jpg")</f>
        <v>https://pbs.twimg.com/media/FhW7ZTpXkAAZ4Hh.jpg</v>
      </c>
      <c r="Z53" s="91">
        <v>44877.665914351855</v>
      </c>
      <c r="AA53" s="100">
        <v>44877</v>
      </c>
      <c r="AB53" s="97" t="s">
        <v>459</v>
      </c>
      <c r="AC53" s="94" t="str">
        <f>HYPERLINK("https://twitter.com/jordisandalinas/status/1591460542652219395")</f>
        <v>https://twitter.com/jordisandalinas/status/1591460542652219395</v>
      </c>
      <c r="AD53" s="66"/>
      <c r="AE53" s="66"/>
      <c r="AF53" s="97" t="s">
        <v>592</v>
      </c>
      <c r="AG53" s="66"/>
      <c r="AH53" s="66" t="b">
        <v>0</v>
      </c>
      <c r="AI53" s="66">
        <v>0</v>
      </c>
      <c r="AJ53" s="97" t="s">
        <v>712</v>
      </c>
      <c r="AK53" s="66" t="b">
        <v>0</v>
      </c>
      <c r="AL53" s="66" t="s">
        <v>715</v>
      </c>
      <c r="AM53" s="66"/>
      <c r="AN53" s="97" t="s">
        <v>712</v>
      </c>
      <c r="AO53" s="66" t="b">
        <v>0</v>
      </c>
      <c r="AP53" s="66">
        <v>5</v>
      </c>
      <c r="AQ53" s="97" t="s">
        <v>601</v>
      </c>
      <c r="AR53" s="97" t="s">
        <v>719</v>
      </c>
      <c r="AS53" s="66" t="b">
        <v>0</v>
      </c>
      <c r="AT53" s="97" t="s">
        <v>601</v>
      </c>
      <c r="AU53" s="66" t="s">
        <v>241</v>
      </c>
      <c r="AV53" s="66">
        <v>0</v>
      </c>
      <c r="AW53" s="66">
        <v>0</v>
      </c>
      <c r="AX53" s="66"/>
      <c r="AY53" s="66"/>
      <c r="AZ53" s="66"/>
      <c r="BA53" s="66"/>
      <c r="BB53" s="66"/>
      <c r="BC53" s="66"/>
      <c r="BD53" s="66"/>
      <c r="BE53" s="66"/>
      <c r="BF53" s="45"/>
      <c r="BG53" s="46"/>
      <c r="BH53" s="45"/>
      <c r="BI53" s="46"/>
      <c r="BJ53" s="45"/>
      <c r="BK53" s="46"/>
      <c r="BL53" s="45"/>
      <c r="BM53" s="46"/>
      <c r="BN53" s="45"/>
    </row>
    <row r="54" spans="1:66" ht="15">
      <c r="A54" s="62" t="s">
        <v>290</v>
      </c>
      <c r="B54" s="62" t="s">
        <v>309</v>
      </c>
      <c r="C54" s="64" t="s">
        <v>1504</v>
      </c>
      <c r="D54" s="67">
        <v>3</v>
      </c>
      <c r="E54" s="68" t="s">
        <v>132</v>
      </c>
      <c r="F54" s="69">
        <v>32</v>
      </c>
      <c r="G54" s="64"/>
      <c r="H54" s="70"/>
      <c r="I54" s="71"/>
      <c r="J54" s="71"/>
      <c r="K54" s="31" t="s">
        <v>65</v>
      </c>
      <c r="L54" s="79">
        <v>54</v>
      </c>
      <c r="M54" s="79"/>
      <c r="N54" s="73"/>
      <c r="O54" s="66">
        <v>1</v>
      </c>
      <c r="P54" s="63" t="str">
        <f>REPLACE(INDEX(GroupVertices[Group],MATCH(Edges[[#This Row],[Vertex 1]],GroupVertices[Vertex],0)),1,1,"")</f>
        <v>1</v>
      </c>
      <c r="Q54" s="63" t="str">
        <f>REPLACE(INDEX(GroupVertices[Group],MATCH(Edges[[#This Row],[Vertex 2]],GroupVertices[Vertex],0)),1,1,"")</f>
        <v>1</v>
      </c>
      <c r="R54" s="66" t="s">
        <v>316</v>
      </c>
      <c r="S54" s="91">
        <v>44877.665914351855</v>
      </c>
      <c r="T54" s="66" t="s">
        <v>321</v>
      </c>
      <c r="U54" s="94" t="str">
        <f>HYPERLINK("https://www.youtube.com/watch?v=xb0JCOgMsXc&amp;feature=youtu.be")</f>
        <v>https://www.youtube.com/watch?v=xb0JCOgMsXc&amp;feature=youtu.be</v>
      </c>
      <c r="V54" s="66" t="s">
        <v>403</v>
      </c>
      <c r="W54" s="97" t="s">
        <v>424</v>
      </c>
      <c r="X54" s="94" t="str">
        <f>HYPERLINK("https://pbs.twimg.com/media/FhW7ZTpXkAAZ4Hh.jpg")</f>
        <v>https://pbs.twimg.com/media/FhW7ZTpXkAAZ4Hh.jpg</v>
      </c>
      <c r="Y54" s="94" t="str">
        <f>HYPERLINK("https://pbs.twimg.com/media/FhW7ZTpXkAAZ4Hh.jpg")</f>
        <v>https://pbs.twimg.com/media/FhW7ZTpXkAAZ4Hh.jpg</v>
      </c>
      <c r="Z54" s="91">
        <v>44877.665914351855</v>
      </c>
      <c r="AA54" s="100">
        <v>44877</v>
      </c>
      <c r="AB54" s="97" t="s">
        <v>459</v>
      </c>
      <c r="AC54" s="94" t="str">
        <f>HYPERLINK("https://twitter.com/jordisandalinas/status/1591460542652219395")</f>
        <v>https://twitter.com/jordisandalinas/status/1591460542652219395</v>
      </c>
      <c r="AD54" s="66"/>
      <c r="AE54" s="66"/>
      <c r="AF54" s="97" t="s">
        <v>592</v>
      </c>
      <c r="AG54" s="66"/>
      <c r="AH54" s="66" t="b">
        <v>0</v>
      </c>
      <c r="AI54" s="66">
        <v>0</v>
      </c>
      <c r="AJ54" s="97" t="s">
        <v>712</v>
      </c>
      <c r="AK54" s="66" t="b">
        <v>0</v>
      </c>
      <c r="AL54" s="66" t="s">
        <v>715</v>
      </c>
      <c r="AM54" s="66"/>
      <c r="AN54" s="97" t="s">
        <v>712</v>
      </c>
      <c r="AO54" s="66" t="b">
        <v>0</v>
      </c>
      <c r="AP54" s="66">
        <v>5</v>
      </c>
      <c r="AQ54" s="97" t="s">
        <v>601</v>
      </c>
      <c r="AR54" s="97" t="s">
        <v>719</v>
      </c>
      <c r="AS54" s="66" t="b">
        <v>0</v>
      </c>
      <c r="AT54" s="97" t="s">
        <v>601</v>
      </c>
      <c r="AU54" s="66" t="s">
        <v>241</v>
      </c>
      <c r="AV54" s="66">
        <v>0</v>
      </c>
      <c r="AW54" s="66">
        <v>0</v>
      </c>
      <c r="AX54" s="66"/>
      <c r="AY54" s="66"/>
      <c r="AZ54" s="66"/>
      <c r="BA54" s="66"/>
      <c r="BB54" s="66"/>
      <c r="BC54" s="66"/>
      <c r="BD54" s="66"/>
      <c r="BE54" s="66"/>
      <c r="BF54" s="45"/>
      <c r="BG54" s="46"/>
      <c r="BH54" s="45"/>
      <c r="BI54" s="46"/>
      <c r="BJ54" s="45"/>
      <c r="BK54" s="46"/>
      <c r="BL54" s="45"/>
      <c r="BM54" s="46"/>
      <c r="BN54" s="45"/>
    </row>
    <row r="55" spans="1:66" ht="15">
      <c r="A55" s="62" t="s">
        <v>290</v>
      </c>
      <c r="B55" s="62" t="s">
        <v>308</v>
      </c>
      <c r="C55" s="64" t="s">
        <v>1504</v>
      </c>
      <c r="D55" s="67">
        <v>3</v>
      </c>
      <c r="E55" s="68" t="s">
        <v>132</v>
      </c>
      <c r="F55" s="69">
        <v>32</v>
      </c>
      <c r="G55" s="64"/>
      <c r="H55" s="70"/>
      <c r="I55" s="71"/>
      <c r="J55" s="71"/>
      <c r="K55" s="31" t="s">
        <v>65</v>
      </c>
      <c r="L55" s="79">
        <v>55</v>
      </c>
      <c r="M55" s="79"/>
      <c r="N55" s="73"/>
      <c r="O55" s="66">
        <v>1</v>
      </c>
      <c r="P55" s="63" t="str">
        <f>REPLACE(INDEX(GroupVertices[Group],MATCH(Edges[[#This Row],[Vertex 1]],GroupVertices[Vertex],0)),1,1,"")</f>
        <v>1</v>
      </c>
      <c r="Q55" s="63" t="str">
        <f>REPLACE(INDEX(GroupVertices[Group],MATCH(Edges[[#This Row],[Vertex 2]],GroupVertices[Vertex],0)),1,1,"")</f>
        <v>3</v>
      </c>
      <c r="R55" s="66" t="s">
        <v>316</v>
      </c>
      <c r="S55" s="91">
        <v>44877.665914351855</v>
      </c>
      <c r="T55" s="66" t="s">
        <v>321</v>
      </c>
      <c r="U55" s="94" t="str">
        <f>HYPERLINK("https://www.youtube.com/watch?v=xb0JCOgMsXc&amp;feature=youtu.be")</f>
        <v>https://www.youtube.com/watch?v=xb0JCOgMsXc&amp;feature=youtu.be</v>
      </c>
      <c r="V55" s="66" t="s">
        <v>403</v>
      </c>
      <c r="W55" s="97" t="s">
        <v>424</v>
      </c>
      <c r="X55" s="94" t="str">
        <f>HYPERLINK("https://pbs.twimg.com/media/FhW7ZTpXkAAZ4Hh.jpg")</f>
        <v>https://pbs.twimg.com/media/FhW7ZTpXkAAZ4Hh.jpg</v>
      </c>
      <c r="Y55" s="94" t="str">
        <f>HYPERLINK("https://pbs.twimg.com/media/FhW7ZTpXkAAZ4Hh.jpg")</f>
        <v>https://pbs.twimg.com/media/FhW7ZTpXkAAZ4Hh.jpg</v>
      </c>
      <c r="Z55" s="91">
        <v>44877.665914351855</v>
      </c>
      <c r="AA55" s="100">
        <v>44877</v>
      </c>
      <c r="AB55" s="97" t="s">
        <v>459</v>
      </c>
      <c r="AC55" s="94" t="str">
        <f>HYPERLINK("https://twitter.com/jordisandalinas/status/1591460542652219395")</f>
        <v>https://twitter.com/jordisandalinas/status/1591460542652219395</v>
      </c>
      <c r="AD55" s="66"/>
      <c r="AE55" s="66"/>
      <c r="AF55" s="97" t="s">
        <v>592</v>
      </c>
      <c r="AG55" s="66"/>
      <c r="AH55" s="66" t="b">
        <v>0</v>
      </c>
      <c r="AI55" s="66">
        <v>0</v>
      </c>
      <c r="AJ55" s="97" t="s">
        <v>712</v>
      </c>
      <c r="AK55" s="66" t="b">
        <v>0</v>
      </c>
      <c r="AL55" s="66" t="s">
        <v>715</v>
      </c>
      <c r="AM55" s="66"/>
      <c r="AN55" s="97" t="s">
        <v>712</v>
      </c>
      <c r="AO55" s="66" t="b">
        <v>0</v>
      </c>
      <c r="AP55" s="66">
        <v>5</v>
      </c>
      <c r="AQ55" s="97" t="s">
        <v>601</v>
      </c>
      <c r="AR55" s="97" t="s">
        <v>719</v>
      </c>
      <c r="AS55" s="66" t="b">
        <v>0</v>
      </c>
      <c r="AT55" s="97" t="s">
        <v>601</v>
      </c>
      <c r="AU55" s="66" t="s">
        <v>241</v>
      </c>
      <c r="AV55" s="66">
        <v>0</v>
      </c>
      <c r="AW55" s="66">
        <v>0</v>
      </c>
      <c r="AX55" s="66"/>
      <c r="AY55" s="66"/>
      <c r="AZ55" s="66"/>
      <c r="BA55" s="66"/>
      <c r="BB55" s="66"/>
      <c r="BC55" s="66"/>
      <c r="BD55" s="66"/>
      <c r="BE55" s="66"/>
      <c r="BF55" s="45"/>
      <c r="BG55" s="46"/>
      <c r="BH55" s="45"/>
      <c r="BI55" s="46"/>
      <c r="BJ55" s="45"/>
      <c r="BK55" s="46"/>
      <c r="BL55" s="45"/>
      <c r="BM55" s="46"/>
      <c r="BN55" s="45"/>
    </row>
    <row r="56" spans="1:66" ht="15">
      <c r="A56" s="62" t="s">
        <v>290</v>
      </c>
      <c r="B56" s="62" t="s">
        <v>310</v>
      </c>
      <c r="C56" s="64" t="s">
        <v>1504</v>
      </c>
      <c r="D56" s="67">
        <v>3</v>
      </c>
      <c r="E56" s="68" t="s">
        <v>132</v>
      </c>
      <c r="F56" s="69">
        <v>32</v>
      </c>
      <c r="G56" s="64"/>
      <c r="H56" s="70"/>
      <c r="I56" s="71"/>
      <c r="J56" s="71"/>
      <c r="K56" s="31" t="s">
        <v>65</v>
      </c>
      <c r="L56" s="79">
        <v>56</v>
      </c>
      <c r="M56" s="79"/>
      <c r="N56" s="73"/>
      <c r="O56" s="66">
        <v>1</v>
      </c>
      <c r="P56" s="63" t="str">
        <f>REPLACE(INDEX(GroupVertices[Group],MATCH(Edges[[#This Row],[Vertex 1]],GroupVertices[Vertex],0)),1,1,"")</f>
        <v>1</v>
      </c>
      <c r="Q56" s="63" t="str">
        <f>REPLACE(INDEX(GroupVertices[Group],MATCH(Edges[[#This Row],[Vertex 2]],GroupVertices[Vertex],0)),1,1,"")</f>
        <v>2</v>
      </c>
      <c r="R56" s="66" t="s">
        <v>316</v>
      </c>
      <c r="S56" s="91">
        <v>44877.665914351855</v>
      </c>
      <c r="T56" s="66" t="s">
        <v>321</v>
      </c>
      <c r="U56" s="94" t="str">
        <f>HYPERLINK("https://www.youtube.com/watch?v=xb0JCOgMsXc&amp;feature=youtu.be")</f>
        <v>https://www.youtube.com/watch?v=xb0JCOgMsXc&amp;feature=youtu.be</v>
      </c>
      <c r="V56" s="66" t="s">
        <v>403</v>
      </c>
      <c r="W56" s="97" t="s">
        <v>424</v>
      </c>
      <c r="X56" s="94" t="str">
        <f>HYPERLINK("https://pbs.twimg.com/media/FhW7ZTpXkAAZ4Hh.jpg")</f>
        <v>https://pbs.twimg.com/media/FhW7ZTpXkAAZ4Hh.jpg</v>
      </c>
      <c r="Y56" s="94" t="str">
        <f>HYPERLINK("https://pbs.twimg.com/media/FhW7ZTpXkAAZ4Hh.jpg")</f>
        <v>https://pbs.twimg.com/media/FhW7ZTpXkAAZ4Hh.jpg</v>
      </c>
      <c r="Z56" s="91">
        <v>44877.665914351855</v>
      </c>
      <c r="AA56" s="100">
        <v>44877</v>
      </c>
      <c r="AB56" s="97" t="s">
        <v>459</v>
      </c>
      <c r="AC56" s="94" t="str">
        <f>HYPERLINK("https://twitter.com/jordisandalinas/status/1591460542652219395")</f>
        <v>https://twitter.com/jordisandalinas/status/1591460542652219395</v>
      </c>
      <c r="AD56" s="66"/>
      <c r="AE56" s="66"/>
      <c r="AF56" s="97" t="s">
        <v>592</v>
      </c>
      <c r="AG56" s="66"/>
      <c r="AH56" s="66" t="b">
        <v>0</v>
      </c>
      <c r="AI56" s="66">
        <v>0</v>
      </c>
      <c r="AJ56" s="97" t="s">
        <v>712</v>
      </c>
      <c r="AK56" s="66" t="b">
        <v>0</v>
      </c>
      <c r="AL56" s="66" t="s">
        <v>715</v>
      </c>
      <c r="AM56" s="66"/>
      <c r="AN56" s="97" t="s">
        <v>712</v>
      </c>
      <c r="AO56" s="66" t="b">
        <v>0</v>
      </c>
      <c r="AP56" s="66">
        <v>5</v>
      </c>
      <c r="AQ56" s="97" t="s">
        <v>601</v>
      </c>
      <c r="AR56" s="97" t="s">
        <v>719</v>
      </c>
      <c r="AS56" s="66" t="b">
        <v>0</v>
      </c>
      <c r="AT56" s="97" t="s">
        <v>601</v>
      </c>
      <c r="AU56" s="66" t="s">
        <v>241</v>
      </c>
      <c r="AV56" s="66">
        <v>0</v>
      </c>
      <c r="AW56" s="66">
        <v>0</v>
      </c>
      <c r="AX56" s="66"/>
      <c r="AY56" s="66"/>
      <c r="AZ56" s="66"/>
      <c r="BA56" s="66"/>
      <c r="BB56" s="66"/>
      <c r="BC56" s="66"/>
      <c r="BD56" s="66"/>
      <c r="BE56" s="66"/>
      <c r="BF56" s="45"/>
      <c r="BG56" s="46"/>
      <c r="BH56" s="45"/>
      <c r="BI56" s="46"/>
      <c r="BJ56" s="45"/>
      <c r="BK56" s="46"/>
      <c r="BL56" s="45"/>
      <c r="BM56" s="46"/>
      <c r="BN56" s="45"/>
    </row>
    <row r="57" spans="1:66" ht="15">
      <c r="A57" s="62" t="s">
        <v>290</v>
      </c>
      <c r="B57" s="62" t="s">
        <v>307</v>
      </c>
      <c r="C57" s="64" t="s">
        <v>1504</v>
      </c>
      <c r="D57" s="67">
        <v>3</v>
      </c>
      <c r="E57" s="68" t="s">
        <v>132</v>
      </c>
      <c r="F57" s="69">
        <v>32</v>
      </c>
      <c r="G57" s="64"/>
      <c r="H57" s="70"/>
      <c r="I57" s="71"/>
      <c r="J57" s="71"/>
      <c r="K57" s="31" t="s">
        <v>65</v>
      </c>
      <c r="L57" s="79">
        <v>57</v>
      </c>
      <c r="M57" s="79"/>
      <c r="N57" s="73"/>
      <c r="O57" s="66">
        <v>1</v>
      </c>
      <c r="P57" s="63" t="str">
        <f>REPLACE(INDEX(GroupVertices[Group],MATCH(Edges[[#This Row],[Vertex 1]],GroupVertices[Vertex],0)),1,1,"")</f>
        <v>1</v>
      </c>
      <c r="Q57" s="63" t="str">
        <f>REPLACE(INDEX(GroupVertices[Group],MATCH(Edges[[#This Row],[Vertex 2]],GroupVertices[Vertex],0)),1,1,"")</f>
        <v>3</v>
      </c>
      <c r="R57" s="66" t="s">
        <v>316</v>
      </c>
      <c r="S57" s="91">
        <v>44877.665914351855</v>
      </c>
      <c r="T57" s="66" t="s">
        <v>321</v>
      </c>
      <c r="U57" s="94" t="str">
        <f>HYPERLINK("https://www.youtube.com/watch?v=xb0JCOgMsXc&amp;feature=youtu.be")</f>
        <v>https://www.youtube.com/watch?v=xb0JCOgMsXc&amp;feature=youtu.be</v>
      </c>
      <c r="V57" s="66" t="s">
        <v>403</v>
      </c>
      <c r="W57" s="97" t="s">
        <v>424</v>
      </c>
      <c r="X57" s="94" t="str">
        <f>HYPERLINK("https://pbs.twimg.com/media/FhW7ZTpXkAAZ4Hh.jpg")</f>
        <v>https://pbs.twimg.com/media/FhW7ZTpXkAAZ4Hh.jpg</v>
      </c>
      <c r="Y57" s="94" t="str">
        <f>HYPERLINK("https://pbs.twimg.com/media/FhW7ZTpXkAAZ4Hh.jpg")</f>
        <v>https://pbs.twimg.com/media/FhW7ZTpXkAAZ4Hh.jpg</v>
      </c>
      <c r="Z57" s="91">
        <v>44877.665914351855</v>
      </c>
      <c r="AA57" s="100">
        <v>44877</v>
      </c>
      <c r="AB57" s="97" t="s">
        <v>459</v>
      </c>
      <c r="AC57" s="94" t="str">
        <f>HYPERLINK("https://twitter.com/jordisandalinas/status/1591460542652219395")</f>
        <v>https://twitter.com/jordisandalinas/status/1591460542652219395</v>
      </c>
      <c r="AD57" s="66"/>
      <c r="AE57" s="66"/>
      <c r="AF57" s="97" t="s">
        <v>592</v>
      </c>
      <c r="AG57" s="66"/>
      <c r="AH57" s="66" t="b">
        <v>0</v>
      </c>
      <c r="AI57" s="66">
        <v>0</v>
      </c>
      <c r="AJ57" s="97" t="s">
        <v>712</v>
      </c>
      <c r="AK57" s="66" t="b">
        <v>0</v>
      </c>
      <c r="AL57" s="66" t="s">
        <v>715</v>
      </c>
      <c r="AM57" s="66"/>
      <c r="AN57" s="97" t="s">
        <v>712</v>
      </c>
      <c r="AO57" s="66" t="b">
        <v>0</v>
      </c>
      <c r="AP57" s="66">
        <v>5</v>
      </c>
      <c r="AQ57" s="97" t="s">
        <v>601</v>
      </c>
      <c r="AR57" s="97" t="s">
        <v>719</v>
      </c>
      <c r="AS57" s="66" t="b">
        <v>0</v>
      </c>
      <c r="AT57" s="97" t="s">
        <v>601</v>
      </c>
      <c r="AU57" s="66" t="s">
        <v>241</v>
      </c>
      <c r="AV57" s="66">
        <v>0</v>
      </c>
      <c r="AW57" s="66">
        <v>0</v>
      </c>
      <c r="AX57" s="66"/>
      <c r="AY57" s="66"/>
      <c r="AZ57" s="66"/>
      <c r="BA57" s="66"/>
      <c r="BB57" s="66"/>
      <c r="BC57" s="66"/>
      <c r="BD57" s="66"/>
      <c r="BE57" s="66"/>
      <c r="BF57" s="45"/>
      <c r="BG57" s="46"/>
      <c r="BH57" s="45"/>
      <c r="BI57" s="46"/>
      <c r="BJ57" s="45"/>
      <c r="BK57" s="46"/>
      <c r="BL57" s="45"/>
      <c r="BM57" s="46"/>
      <c r="BN57" s="45"/>
    </row>
    <row r="58" spans="1:66" ht="15">
      <c r="A58" s="62" t="s">
        <v>290</v>
      </c>
      <c r="B58" s="62" t="s">
        <v>305</v>
      </c>
      <c r="C58" s="64" t="s">
        <v>1504</v>
      </c>
      <c r="D58" s="67">
        <v>3</v>
      </c>
      <c r="E58" s="68" t="s">
        <v>132</v>
      </c>
      <c r="F58" s="69">
        <v>32</v>
      </c>
      <c r="G58" s="64"/>
      <c r="H58" s="70"/>
      <c r="I58" s="71"/>
      <c r="J58" s="71"/>
      <c r="K58" s="31" t="s">
        <v>65</v>
      </c>
      <c r="L58" s="79">
        <v>58</v>
      </c>
      <c r="M58" s="79"/>
      <c r="N58" s="73"/>
      <c r="O58" s="66">
        <v>1</v>
      </c>
      <c r="P58" s="63" t="str">
        <f>REPLACE(INDEX(GroupVertices[Group],MATCH(Edges[[#This Row],[Vertex 1]],GroupVertices[Vertex],0)),1,1,"")</f>
        <v>1</v>
      </c>
      <c r="Q58" s="63" t="str">
        <f>REPLACE(INDEX(GroupVertices[Group],MATCH(Edges[[#This Row],[Vertex 2]],GroupVertices[Vertex],0)),1,1,"")</f>
        <v>4</v>
      </c>
      <c r="R58" s="66" t="s">
        <v>316</v>
      </c>
      <c r="S58" s="91">
        <v>44877.665914351855</v>
      </c>
      <c r="T58" s="66" t="s">
        <v>321</v>
      </c>
      <c r="U58" s="94" t="str">
        <f>HYPERLINK("https://www.youtube.com/watch?v=xb0JCOgMsXc&amp;feature=youtu.be")</f>
        <v>https://www.youtube.com/watch?v=xb0JCOgMsXc&amp;feature=youtu.be</v>
      </c>
      <c r="V58" s="66" t="s">
        <v>403</v>
      </c>
      <c r="W58" s="97" t="s">
        <v>424</v>
      </c>
      <c r="X58" s="94" t="str">
        <f>HYPERLINK("https://pbs.twimg.com/media/FhW7ZTpXkAAZ4Hh.jpg")</f>
        <v>https://pbs.twimg.com/media/FhW7ZTpXkAAZ4Hh.jpg</v>
      </c>
      <c r="Y58" s="94" t="str">
        <f>HYPERLINK("https://pbs.twimg.com/media/FhW7ZTpXkAAZ4Hh.jpg")</f>
        <v>https://pbs.twimg.com/media/FhW7ZTpXkAAZ4Hh.jpg</v>
      </c>
      <c r="Z58" s="91">
        <v>44877.665914351855</v>
      </c>
      <c r="AA58" s="100">
        <v>44877</v>
      </c>
      <c r="AB58" s="97" t="s">
        <v>459</v>
      </c>
      <c r="AC58" s="94" t="str">
        <f>HYPERLINK("https://twitter.com/jordisandalinas/status/1591460542652219395")</f>
        <v>https://twitter.com/jordisandalinas/status/1591460542652219395</v>
      </c>
      <c r="AD58" s="66"/>
      <c r="AE58" s="66"/>
      <c r="AF58" s="97" t="s">
        <v>592</v>
      </c>
      <c r="AG58" s="66"/>
      <c r="AH58" s="66" t="b">
        <v>0</v>
      </c>
      <c r="AI58" s="66">
        <v>0</v>
      </c>
      <c r="AJ58" s="97" t="s">
        <v>712</v>
      </c>
      <c r="AK58" s="66" t="b">
        <v>0</v>
      </c>
      <c r="AL58" s="66" t="s">
        <v>715</v>
      </c>
      <c r="AM58" s="66"/>
      <c r="AN58" s="97" t="s">
        <v>712</v>
      </c>
      <c r="AO58" s="66" t="b">
        <v>0</v>
      </c>
      <c r="AP58" s="66">
        <v>5</v>
      </c>
      <c r="AQ58" s="97" t="s">
        <v>601</v>
      </c>
      <c r="AR58" s="97" t="s">
        <v>719</v>
      </c>
      <c r="AS58" s="66" t="b">
        <v>0</v>
      </c>
      <c r="AT58" s="97" t="s">
        <v>601</v>
      </c>
      <c r="AU58" s="66" t="s">
        <v>241</v>
      </c>
      <c r="AV58" s="66">
        <v>0</v>
      </c>
      <c r="AW58" s="66">
        <v>0</v>
      </c>
      <c r="AX58" s="66"/>
      <c r="AY58" s="66"/>
      <c r="AZ58" s="66"/>
      <c r="BA58" s="66"/>
      <c r="BB58" s="66"/>
      <c r="BC58" s="66"/>
      <c r="BD58" s="66"/>
      <c r="BE58" s="66"/>
      <c r="BF58" s="45"/>
      <c r="BG58" s="46"/>
      <c r="BH58" s="45"/>
      <c r="BI58" s="46"/>
      <c r="BJ58" s="45"/>
      <c r="BK58" s="46"/>
      <c r="BL58" s="45"/>
      <c r="BM58" s="46"/>
      <c r="BN58" s="45"/>
    </row>
    <row r="59" spans="1:66" ht="15">
      <c r="A59" s="62" t="s">
        <v>290</v>
      </c>
      <c r="B59" s="62" t="s">
        <v>299</v>
      </c>
      <c r="C59" s="64" t="s">
        <v>1504</v>
      </c>
      <c r="D59" s="67">
        <v>3</v>
      </c>
      <c r="E59" s="68" t="s">
        <v>132</v>
      </c>
      <c r="F59" s="69">
        <v>32</v>
      </c>
      <c r="G59" s="64"/>
      <c r="H59" s="70"/>
      <c r="I59" s="71"/>
      <c r="J59" s="71"/>
      <c r="K59" s="31" t="s">
        <v>65</v>
      </c>
      <c r="L59" s="79">
        <v>59</v>
      </c>
      <c r="M59" s="79"/>
      <c r="N59" s="73"/>
      <c r="O59" s="66">
        <v>1</v>
      </c>
      <c r="P59" s="63" t="str">
        <f>REPLACE(INDEX(GroupVertices[Group],MATCH(Edges[[#This Row],[Vertex 1]],GroupVertices[Vertex],0)),1,1,"")</f>
        <v>1</v>
      </c>
      <c r="Q59" s="63" t="str">
        <f>REPLACE(INDEX(GroupVertices[Group],MATCH(Edges[[#This Row],[Vertex 2]],GroupVertices[Vertex],0)),1,1,"")</f>
        <v>1</v>
      </c>
      <c r="R59" s="66" t="s">
        <v>316</v>
      </c>
      <c r="S59" s="91">
        <v>44877.665914351855</v>
      </c>
      <c r="T59" s="66" t="s">
        <v>321</v>
      </c>
      <c r="U59" s="94" t="str">
        <f>HYPERLINK("https://www.youtube.com/watch?v=xb0JCOgMsXc&amp;feature=youtu.be")</f>
        <v>https://www.youtube.com/watch?v=xb0JCOgMsXc&amp;feature=youtu.be</v>
      </c>
      <c r="V59" s="66" t="s">
        <v>403</v>
      </c>
      <c r="W59" s="97" t="s">
        <v>424</v>
      </c>
      <c r="X59" s="94" t="str">
        <f>HYPERLINK("https://pbs.twimg.com/media/FhW7ZTpXkAAZ4Hh.jpg")</f>
        <v>https://pbs.twimg.com/media/FhW7ZTpXkAAZ4Hh.jpg</v>
      </c>
      <c r="Y59" s="94" t="str">
        <f>HYPERLINK("https://pbs.twimg.com/media/FhW7ZTpXkAAZ4Hh.jpg")</f>
        <v>https://pbs.twimg.com/media/FhW7ZTpXkAAZ4Hh.jpg</v>
      </c>
      <c r="Z59" s="91">
        <v>44877.665914351855</v>
      </c>
      <c r="AA59" s="100">
        <v>44877</v>
      </c>
      <c r="AB59" s="97" t="s">
        <v>459</v>
      </c>
      <c r="AC59" s="94" t="str">
        <f>HYPERLINK("https://twitter.com/jordisandalinas/status/1591460542652219395")</f>
        <v>https://twitter.com/jordisandalinas/status/1591460542652219395</v>
      </c>
      <c r="AD59" s="66"/>
      <c r="AE59" s="66"/>
      <c r="AF59" s="97" t="s">
        <v>592</v>
      </c>
      <c r="AG59" s="66"/>
      <c r="AH59" s="66" t="b">
        <v>0</v>
      </c>
      <c r="AI59" s="66">
        <v>0</v>
      </c>
      <c r="AJ59" s="97" t="s">
        <v>712</v>
      </c>
      <c r="AK59" s="66" t="b">
        <v>0</v>
      </c>
      <c r="AL59" s="66" t="s">
        <v>715</v>
      </c>
      <c r="AM59" s="66"/>
      <c r="AN59" s="97" t="s">
        <v>712</v>
      </c>
      <c r="AO59" s="66" t="b">
        <v>0</v>
      </c>
      <c r="AP59" s="66">
        <v>5</v>
      </c>
      <c r="AQ59" s="97" t="s">
        <v>601</v>
      </c>
      <c r="AR59" s="97" t="s">
        <v>719</v>
      </c>
      <c r="AS59" s="66" t="b">
        <v>0</v>
      </c>
      <c r="AT59" s="97" t="s">
        <v>601</v>
      </c>
      <c r="AU59" s="66" t="s">
        <v>241</v>
      </c>
      <c r="AV59" s="66">
        <v>0</v>
      </c>
      <c r="AW59" s="66">
        <v>0</v>
      </c>
      <c r="AX59" s="66"/>
      <c r="AY59" s="66"/>
      <c r="AZ59" s="66"/>
      <c r="BA59" s="66"/>
      <c r="BB59" s="66"/>
      <c r="BC59" s="66"/>
      <c r="BD59" s="66"/>
      <c r="BE59" s="66"/>
      <c r="BF59" s="45"/>
      <c r="BG59" s="46"/>
      <c r="BH59" s="45"/>
      <c r="BI59" s="46"/>
      <c r="BJ59" s="45"/>
      <c r="BK59" s="46"/>
      <c r="BL59" s="45"/>
      <c r="BM59" s="46"/>
      <c r="BN59" s="45"/>
    </row>
    <row r="60" spans="1:66" ht="15">
      <c r="A60" s="62" t="s">
        <v>290</v>
      </c>
      <c r="B60" s="62" t="s">
        <v>301</v>
      </c>
      <c r="C60" s="64" t="s">
        <v>1504</v>
      </c>
      <c r="D60" s="67">
        <v>3</v>
      </c>
      <c r="E60" s="68" t="s">
        <v>132</v>
      </c>
      <c r="F60" s="69">
        <v>32</v>
      </c>
      <c r="G60" s="64"/>
      <c r="H60" s="70"/>
      <c r="I60" s="71"/>
      <c r="J60" s="71"/>
      <c r="K60" s="31" t="s">
        <v>65</v>
      </c>
      <c r="L60" s="79">
        <v>60</v>
      </c>
      <c r="M60" s="79"/>
      <c r="N60" s="73"/>
      <c r="O60" s="66">
        <v>1</v>
      </c>
      <c r="P60" s="63" t="str">
        <f>REPLACE(INDEX(GroupVertices[Group],MATCH(Edges[[#This Row],[Vertex 1]],GroupVertices[Vertex],0)),1,1,"")</f>
        <v>1</v>
      </c>
      <c r="Q60" s="63" t="str">
        <f>REPLACE(INDEX(GroupVertices[Group],MATCH(Edges[[#This Row],[Vertex 2]],GroupVertices[Vertex],0)),1,1,"")</f>
        <v>3</v>
      </c>
      <c r="R60" s="66" t="s">
        <v>316</v>
      </c>
      <c r="S60" s="91">
        <v>44877.665914351855</v>
      </c>
      <c r="T60" s="66" t="s">
        <v>321</v>
      </c>
      <c r="U60" s="94" t="str">
        <f>HYPERLINK("https://www.youtube.com/watch?v=xb0JCOgMsXc&amp;feature=youtu.be")</f>
        <v>https://www.youtube.com/watch?v=xb0JCOgMsXc&amp;feature=youtu.be</v>
      </c>
      <c r="V60" s="66" t="s">
        <v>403</v>
      </c>
      <c r="W60" s="97" t="s">
        <v>424</v>
      </c>
      <c r="X60" s="94" t="str">
        <f>HYPERLINK("https://pbs.twimg.com/media/FhW7ZTpXkAAZ4Hh.jpg")</f>
        <v>https://pbs.twimg.com/media/FhW7ZTpXkAAZ4Hh.jpg</v>
      </c>
      <c r="Y60" s="94" t="str">
        <f>HYPERLINK("https://pbs.twimg.com/media/FhW7ZTpXkAAZ4Hh.jpg")</f>
        <v>https://pbs.twimg.com/media/FhW7ZTpXkAAZ4Hh.jpg</v>
      </c>
      <c r="Z60" s="91">
        <v>44877.665914351855</v>
      </c>
      <c r="AA60" s="100">
        <v>44877</v>
      </c>
      <c r="AB60" s="97" t="s">
        <v>459</v>
      </c>
      <c r="AC60" s="94" t="str">
        <f>HYPERLINK("https://twitter.com/jordisandalinas/status/1591460542652219395")</f>
        <v>https://twitter.com/jordisandalinas/status/1591460542652219395</v>
      </c>
      <c r="AD60" s="66"/>
      <c r="AE60" s="66"/>
      <c r="AF60" s="97" t="s">
        <v>592</v>
      </c>
      <c r="AG60" s="66"/>
      <c r="AH60" s="66" t="b">
        <v>0</v>
      </c>
      <c r="AI60" s="66">
        <v>0</v>
      </c>
      <c r="AJ60" s="97" t="s">
        <v>712</v>
      </c>
      <c r="AK60" s="66" t="b">
        <v>0</v>
      </c>
      <c r="AL60" s="66" t="s">
        <v>715</v>
      </c>
      <c r="AM60" s="66"/>
      <c r="AN60" s="97" t="s">
        <v>712</v>
      </c>
      <c r="AO60" s="66" t="b">
        <v>0</v>
      </c>
      <c r="AP60" s="66">
        <v>5</v>
      </c>
      <c r="AQ60" s="97" t="s">
        <v>601</v>
      </c>
      <c r="AR60" s="97" t="s">
        <v>719</v>
      </c>
      <c r="AS60" s="66" t="b">
        <v>0</v>
      </c>
      <c r="AT60" s="97" t="s">
        <v>601</v>
      </c>
      <c r="AU60" s="66" t="s">
        <v>241</v>
      </c>
      <c r="AV60" s="66">
        <v>0</v>
      </c>
      <c r="AW60" s="66">
        <v>0</v>
      </c>
      <c r="AX60" s="66"/>
      <c r="AY60" s="66"/>
      <c r="AZ60" s="66"/>
      <c r="BA60" s="66"/>
      <c r="BB60" s="66"/>
      <c r="BC60" s="66"/>
      <c r="BD60" s="66"/>
      <c r="BE60" s="66"/>
      <c r="BF60" s="45"/>
      <c r="BG60" s="46"/>
      <c r="BH60" s="45"/>
      <c r="BI60" s="46"/>
      <c r="BJ60" s="45"/>
      <c r="BK60" s="46"/>
      <c r="BL60" s="45"/>
      <c r="BM60" s="46"/>
      <c r="BN60" s="45"/>
    </row>
    <row r="61" spans="1:66" ht="15">
      <c r="A61" s="62" t="s">
        <v>290</v>
      </c>
      <c r="B61" s="62" t="s">
        <v>311</v>
      </c>
      <c r="C61" s="64" t="s">
        <v>1504</v>
      </c>
      <c r="D61" s="67">
        <v>3</v>
      </c>
      <c r="E61" s="68" t="s">
        <v>132</v>
      </c>
      <c r="F61" s="69">
        <v>32</v>
      </c>
      <c r="G61" s="64"/>
      <c r="H61" s="70"/>
      <c r="I61" s="71"/>
      <c r="J61" s="71"/>
      <c r="K61" s="31" t="s">
        <v>65</v>
      </c>
      <c r="L61" s="79">
        <v>61</v>
      </c>
      <c r="M61" s="79"/>
      <c r="N61" s="73"/>
      <c r="O61" s="66">
        <v>1</v>
      </c>
      <c r="P61" s="63" t="str">
        <f>REPLACE(INDEX(GroupVertices[Group],MATCH(Edges[[#This Row],[Vertex 1]],GroupVertices[Vertex],0)),1,1,"")</f>
        <v>1</v>
      </c>
      <c r="Q61" s="63" t="str">
        <f>REPLACE(INDEX(GroupVertices[Group],MATCH(Edges[[#This Row],[Vertex 2]],GroupVertices[Vertex],0)),1,1,"")</f>
        <v>1</v>
      </c>
      <c r="R61" s="66" t="s">
        <v>316</v>
      </c>
      <c r="S61" s="91">
        <v>44877.665914351855</v>
      </c>
      <c r="T61" s="66" t="s">
        <v>321</v>
      </c>
      <c r="U61" s="94" t="str">
        <f>HYPERLINK("https://www.youtube.com/watch?v=xb0JCOgMsXc&amp;feature=youtu.be")</f>
        <v>https://www.youtube.com/watch?v=xb0JCOgMsXc&amp;feature=youtu.be</v>
      </c>
      <c r="V61" s="66" t="s">
        <v>403</v>
      </c>
      <c r="W61" s="97" t="s">
        <v>424</v>
      </c>
      <c r="X61" s="94" t="str">
        <f>HYPERLINK("https://pbs.twimg.com/media/FhW7ZTpXkAAZ4Hh.jpg")</f>
        <v>https://pbs.twimg.com/media/FhW7ZTpXkAAZ4Hh.jpg</v>
      </c>
      <c r="Y61" s="94" t="str">
        <f>HYPERLINK("https://pbs.twimg.com/media/FhW7ZTpXkAAZ4Hh.jpg")</f>
        <v>https://pbs.twimg.com/media/FhW7ZTpXkAAZ4Hh.jpg</v>
      </c>
      <c r="Z61" s="91">
        <v>44877.665914351855</v>
      </c>
      <c r="AA61" s="100">
        <v>44877</v>
      </c>
      <c r="AB61" s="97" t="s">
        <v>459</v>
      </c>
      <c r="AC61" s="94" t="str">
        <f>HYPERLINK("https://twitter.com/jordisandalinas/status/1591460542652219395")</f>
        <v>https://twitter.com/jordisandalinas/status/1591460542652219395</v>
      </c>
      <c r="AD61" s="66"/>
      <c r="AE61" s="66"/>
      <c r="AF61" s="97" t="s">
        <v>592</v>
      </c>
      <c r="AG61" s="66"/>
      <c r="AH61" s="66" t="b">
        <v>0</v>
      </c>
      <c r="AI61" s="66">
        <v>0</v>
      </c>
      <c r="AJ61" s="97" t="s">
        <v>712</v>
      </c>
      <c r="AK61" s="66" t="b">
        <v>0</v>
      </c>
      <c r="AL61" s="66" t="s">
        <v>715</v>
      </c>
      <c r="AM61" s="66"/>
      <c r="AN61" s="97" t="s">
        <v>712</v>
      </c>
      <c r="AO61" s="66" t="b">
        <v>0</v>
      </c>
      <c r="AP61" s="66">
        <v>5</v>
      </c>
      <c r="AQ61" s="97" t="s">
        <v>601</v>
      </c>
      <c r="AR61" s="97" t="s">
        <v>719</v>
      </c>
      <c r="AS61" s="66" t="b">
        <v>0</v>
      </c>
      <c r="AT61" s="97" t="s">
        <v>601</v>
      </c>
      <c r="AU61" s="66" t="s">
        <v>241</v>
      </c>
      <c r="AV61" s="66">
        <v>0</v>
      </c>
      <c r="AW61" s="66">
        <v>0</v>
      </c>
      <c r="AX61" s="66"/>
      <c r="AY61" s="66"/>
      <c r="AZ61" s="66"/>
      <c r="BA61" s="66"/>
      <c r="BB61" s="66"/>
      <c r="BC61" s="66"/>
      <c r="BD61" s="66"/>
      <c r="BE61" s="66"/>
      <c r="BF61" s="45"/>
      <c r="BG61" s="46"/>
      <c r="BH61" s="45"/>
      <c r="BI61" s="46"/>
      <c r="BJ61" s="45"/>
      <c r="BK61" s="46"/>
      <c r="BL61" s="45"/>
      <c r="BM61" s="46"/>
      <c r="BN61" s="45"/>
    </row>
    <row r="62" spans="1:66" ht="15">
      <c r="A62" s="62" t="s">
        <v>290</v>
      </c>
      <c r="B62" s="62" t="s">
        <v>302</v>
      </c>
      <c r="C62" s="64" t="s">
        <v>1504</v>
      </c>
      <c r="D62" s="67">
        <v>3</v>
      </c>
      <c r="E62" s="68" t="s">
        <v>132</v>
      </c>
      <c r="F62" s="69">
        <v>32</v>
      </c>
      <c r="G62" s="64"/>
      <c r="H62" s="70"/>
      <c r="I62" s="71"/>
      <c r="J62" s="71"/>
      <c r="K62" s="31" t="s">
        <v>65</v>
      </c>
      <c r="L62" s="79">
        <v>62</v>
      </c>
      <c r="M62" s="79"/>
      <c r="N62" s="73"/>
      <c r="O62" s="66">
        <v>1</v>
      </c>
      <c r="P62" s="63" t="str">
        <f>REPLACE(INDEX(GroupVertices[Group],MATCH(Edges[[#This Row],[Vertex 1]],GroupVertices[Vertex],0)),1,1,"")</f>
        <v>1</v>
      </c>
      <c r="Q62" s="63" t="str">
        <f>REPLACE(INDEX(GroupVertices[Group],MATCH(Edges[[#This Row],[Vertex 2]],GroupVertices[Vertex],0)),1,1,"")</f>
        <v>1</v>
      </c>
      <c r="R62" s="66" t="s">
        <v>316</v>
      </c>
      <c r="S62" s="91">
        <v>44877.665914351855</v>
      </c>
      <c r="T62" s="66" t="s">
        <v>321</v>
      </c>
      <c r="U62" s="94" t="str">
        <f>HYPERLINK("https://www.youtube.com/watch?v=xb0JCOgMsXc&amp;feature=youtu.be")</f>
        <v>https://www.youtube.com/watch?v=xb0JCOgMsXc&amp;feature=youtu.be</v>
      </c>
      <c r="V62" s="66" t="s">
        <v>403</v>
      </c>
      <c r="W62" s="97" t="s">
        <v>424</v>
      </c>
      <c r="X62" s="94" t="str">
        <f>HYPERLINK("https://pbs.twimg.com/media/FhW7ZTpXkAAZ4Hh.jpg")</f>
        <v>https://pbs.twimg.com/media/FhW7ZTpXkAAZ4Hh.jpg</v>
      </c>
      <c r="Y62" s="94" t="str">
        <f>HYPERLINK("https://pbs.twimg.com/media/FhW7ZTpXkAAZ4Hh.jpg")</f>
        <v>https://pbs.twimg.com/media/FhW7ZTpXkAAZ4Hh.jpg</v>
      </c>
      <c r="Z62" s="91">
        <v>44877.665914351855</v>
      </c>
      <c r="AA62" s="100">
        <v>44877</v>
      </c>
      <c r="AB62" s="97" t="s">
        <v>459</v>
      </c>
      <c r="AC62" s="94" t="str">
        <f>HYPERLINK("https://twitter.com/jordisandalinas/status/1591460542652219395")</f>
        <v>https://twitter.com/jordisandalinas/status/1591460542652219395</v>
      </c>
      <c r="AD62" s="66"/>
      <c r="AE62" s="66"/>
      <c r="AF62" s="97" t="s">
        <v>592</v>
      </c>
      <c r="AG62" s="66"/>
      <c r="AH62" s="66" t="b">
        <v>0</v>
      </c>
      <c r="AI62" s="66">
        <v>0</v>
      </c>
      <c r="AJ62" s="97" t="s">
        <v>712</v>
      </c>
      <c r="AK62" s="66" t="b">
        <v>0</v>
      </c>
      <c r="AL62" s="66" t="s">
        <v>715</v>
      </c>
      <c r="AM62" s="66"/>
      <c r="AN62" s="97" t="s">
        <v>712</v>
      </c>
      <c r="AO62" s="66" t="b">
        <v>0</v>
      </c>
      <c r="AP62" s="66">
        <v>5</v>
      </c>
      <c r="AQ62" s="97" t="s">
        <v>601</v>
      </c>
      <c r="AR62" s="97" t="s">
        <v>719</v>
      </c>
      <c r="AS62" s="66" t="b">
        <v>0</v>
      </c>
      <c r="AT62" s="97" t="s">
        <v>601</v>
      </c>
      <c r="AU62" s="66" t="s">
        <v>241</v>
      </c>
      <c r="AV62" s="66">
        <v>0</v>
      </c>
      <c r="AW62" s="66">
        <v>0</v>
      </c>
      <c r="AX62" s="66"/>
      <c r="AY62" s="66"/>
      <c r="AZ62" s="66"/>
      <c r="BA62" s="66"/>
      <c r="BB62" s="66"/>
      <c r="BC62" s="66"/>
      <c r="BD62" s="66"/>
      <c r="BE62" s="66"/>
      <c r="BF62" s="45"/>
      <c r="BG62" s="46"/>
      <c r="BH62" s="45"/>
      <c r="BI62" s="46"/>
      <c r="BJ62" s="45"/>
      <c r="BK62" s="46"/>
      <c r="BL62" s="45"/>
      <c r="BM62" s="46"/>
      <c r="BN62" s="45"/>
    </row>
    <row r="63" spans="1:66" ht="15">
      <c r="A63" s="62" t="s">
        <v>290</v>
      </c>
      <c r="B63" s="62" t="s">
        <v>296</v>
      </c>
      <c r="C63" s="64" t="s">
        <v>1504</v>
      </c>
      <c r="D63" s="67">
        <v>3</v>
      </c>
      <c r="E63" s="68" t="s">
        <v>132</v>
      </c>
      <c r="F63" s="69">
        <v>32</v>
      </c>
      <c r="G63" s="64"/>
      <c r="H63" s="70"/>
      <c r="I63" s="71"/>
      <c r="J63" s="71"/>
      <c r="K63" s="31" t="s">
        <v>65</v>
      </c>
      <c r="L63" s="79">
        <v>63</v>
      </c>
      <c r="M63" s="79"/>
      <c r="N63" s="73"/>
      <c r="O63" s="66">
        <v>1</v>
      </c>
      <c r="P63" s="63" t="str">
        <f>REPLACE(INDEX(GroupVertices[Group],MATCH(Edges[[#This Row],[Vertex 1]],GroupVertices[Vertex],0)),1,1,"")</f>
        <v>1</v>
      </c>
      <c r="Q63" s="63" t="str">
        <f>REPLACE(INDEX(GroupVertices[Group],MATCH(Edges[[#This Row],[Vertex 2]],GroupVertices[Vertex],0)),1,1,"")</f>
        <v>3</v>
      </c>
      <c r="R63" s="66" t="s">
        <v>316</v>
      </c>
      <c r="S63" s="91">
        <v>44877.665914351855</v>
      </c>
      <c r="T63" s="66" t="s">
        <v>321</v>
      </c>
      <c r="U63" s="94" t="str">
        <f>HYPERLINK("https://www.youtube.com/watch?v=xb0JCOgMsXc&amp;feature=youtu.be")</f>
        <v>https://www.youtube.com/watch?v=xb0JCOgMsXc&amp;feature=youtu.be</v>
      </c>
      <c r="V63" s="66" t="s">
        <v>403</v>
      </c>
      <c r="W63" s="97" t="s">
        <v>424</v>
      </c>
      <c r="X63" s="94" t="str">
        <f>HYPERLINK("https://pbs.twimg.com/media/FhW7ZTpXkAAZ4Hh.jpg")</f>
        <v>https://pbs.twimg.com/media/FhW7ZTpXkAAZ4Hh.jpg</v>
      </c>
      <c r="Y63" s="94" t="str">
        <f>HYPERLINK("https://pbs.twimg.com/media/FhW7ZTpXkAAZ4Hh.jpg")</f>
        <v>https://pbs.twimg.com/media/FhW7ZTpXkAAZ4Hh.jpg</v>
      </c>
      <c r="Z63" s="91">
        <v>44877.665914351855</v>
      </c>
      <c r="AA63" s="100">
        <v>44877</v>
      </c>
      <c r="AB63" s="97" t="s">
        <v>459</v>
      </c>
      <c r="AC63" s="94" t="str">
        <f>HYPERLINK("https://twitter.com/jordisandalinas/status/1591460542652219395")</f>
        <v>https://twitter.com/jordisandalinas/status/1591460542652219395</v>
      </c>
      <c r="AD63" s="66"/>
      <c r="AE63" s="66"/>
      <c r="AF63" s="97" t="s">
        <v>592</v>
      </c>
      <c r="AG63" s="66"/>
      <c r="AH63" s="66" t="b">
        <v>0</v>
      </c>
      <c r="AI63" s="66">
        <v>0</v>
      </c>
      <c r="AJ63" s="97" t="s">
        <v>712</v>
      </c>
      <c r="AK63" s="66" t="b">
        <v>0</v>
      </c>
      <c r="AL63" s="66" t="s">
        <v>715</v>
      </c>
      <c r="AM63" s="66"/>
      <c r="AN63" s="97" t="s">
        <v>712</v>
      </c>
      <c r="AO63" s="66" t="b">
        <v>0</v>
      </c>
      <c r="AP63" s="66">
        <v>5</v>
      </c>
      <c r="AQ63" s="97" t="s">
        <v>601</v>
      </c>
      <c r="AR63" s="97" t="s">
        <v>719</v>
      </c>
      <c r="AS63" s="66" t="b">
        <v>0</v>
      </c>
      <c r="AT63" s="97" t="s">
        <v>601</v>
      </c>
      <c r="AU63" s="66" t="s">
        <v>241</v>
      </c>
      <c r="AV63" s="66">
        <v>0</v>
      </c>
      <c r="AW63" s="66">
        <v>0</v>
      </c>
      <c r="AX63" s="66"/>
      <c r="AY63" s="66"/>
      <c r="AZ63" s="66"/>
      <c r="BA63" s="66"/>
      <c r="BB63" s="66"/>
      <c r="BC63" s="66"/>
      <c r="BD63" s="66"/>
      <c r="BE63" s="66"/>
      <c r="BF63" s="45"/>
      <c r="BG63" s="46"/>
      <c r="BH63" s="45"/>
      <c r="BI63" s="46"/>
      <c r="BJ63" s="45"/>
      <c r="BK63" s="46"/>
      <c r="BL63" s="45"/>
      <c r="BM63" s="46"/>
      <c r="BN63" s="45"/>
    </row>
    <row r="64" spans="1:66" ht="15">
      <c r="A64" s="62" t="s">
        <v>290</v>
      </c>
      <c r="B64" s="62" t="s">
        <v>312</v>
      </c>
      <c r="C64" s="64" t="s">
        <v>1504</v>
      </c>
      <c r="D64" s="67">
        <v>3</v>
      </c>
      <c r="E64" s="68" t="s">
        <v>132</v>
      </c>
      <c r="F64" s="69">
        <v>32</v>
      </c>
      <c r="G64" s="64"/>
      <c r="H64" s="70"/>
      <c r="I64" s="71"/>
      <c r="J64" s="71"/>
      <c r="K64" s="31" t="s">
        <v>65</v>
      </c>
      <c r="L64" s="79">
        <v>64</v>
      </c>
      <c r="M64" s="79"/>
      <c r="N64" s="73"/>
      <c r="O64" s="66">
        <v>1</v>
      </c>
      <c r="P64" s="63" t="str">
        <f>REPLACE(INDEX(GroupVertices[Group],MATCH(Edges[[#This Row],[Vertex 1]],GroupVertices[Vertex],0)),1,1,"")</f>
        <v>1</v>
      </c>
      <c r="Q64" s="63" t="str">
        <f>REPLACE(INDEX(GroupVertices[Group],MATCH(Edges[[#This Row],[Vertex 2]],GroupVertices[Vertex],0)),1,1,"")</f>
        <v>1</v>
      </c>
      <c r="R64" s="66" t="s">
        <v>316</v>
      </c>
      <c r="S64" s="91">
        <v>44877.665914351855</v>
      </c>
      <c r="T64" s="66" t="s">
        <v>321</v>
      </c>
      <c r="U64" s="94" t="str">
        <f>HYPERLINK("https://www.youtube.com/watch?v=xb0JCOgMsXc&amp;feature=youtu.be")</f>
        <v>https://www.youtube.com/watch?v=xb0JCOgMsXc&amp;feature=youtu.be</v>
      </c>
      <c r="V64" s="66" t="s">
        <v>403</v>
      </c>
      <c r="W64" s="97" t="s">
        <v>424</v>
      </c>
      <c r="X64" s="94" t="str">
        <f>HYPERLINK("https://pbs.twimg.com/media/FhW7ZTpXkAAZ4Hh.jpg")</f>
        <v>https://pbs.twimg.com/media/FhW7ZTpXkAAZ4Hh.jpg</v>
      </c>
      <c r="Y64" s="94" t="str">
        <f>HYPERLINK("https://pbs.twimg.com/media/FhW7ZTpXkAAZ4Hh.jpg")</f>
        <v>https://pbs.twimg.com/media/FhW7ZTpXkAAZ4Hh.jpg</v>
      </c>
      <c r="Z64" s="91">
        <v>44877.665914351855</v>
      </c>
      <c r="AA64" s="100">
        <v>44877</v>
      </c>
      <c r="AB64" s="97" t="s">
        <v>459</v>
      </c>
      <c r="AC64" s="94" t="str">
        <f>HYPERLINK("https://twitter.com/jordisandalinas/status/1591460542652219395")</f>
        <v>https://twitter.com/jordisandalinas/status/1591460542652219395</v>
      </c>
      <c r="AD64" s="66"/>
      <c r="AE64" s="66"/>
      <c r="AF64" s="97" t="s">
        <v>592</v>
      </c>
      <c r="AG64" s="66"/>
      <c r="AH64" s="66" t="b">
        <v>0</v>
      </c>
      <c r="AI64" s="66">
        <v>0</v>
      </c>
      <c r="AJ64" s="97" t="s">
        <v>712</v>
      </c>
      <c r="AK64" s="66" t="b">
        <v>0</v>
      </c>
      <c r="AL64" s="66" t="s">
        <v>715</v>
      </c>
      <c r="AM64" s="66"/>
      <c r="AN64" s="97" t="s">
        <v>712</v>
      </c>
      <c r="AO64" s="66" t="b">
        <v>0</v>
      </c>
      <c r="AP64" s="66">
        <v>5</v>
      </c>
      <c r="AQ64" s="97" t="s">
        <v>601</v>
      </c>
      <c r="AR64" s="97" t="s">
        <v>719</v>
      </c>
      <c r="AS64" s="66" t="b">
        <v>0</v>
      </c>
      <c r="AT64" s="97" t="s">
        <v>601</v>
      </c>
      <c r="AU64" s="66" t="s">
        <v>241</v>
      </c>
      <c r="AV64" s="66">
        <v>0</v>
      </c>
      <c r="AW64" s="66">
        <v>0</v>
      </c>
      <c r="AX64" s="66"/>
      <c r="AY64" s="66"/>
      <c r="AZ64" s="66"/>
      <c r="BA64" s="66"/>
      <c r="BB64" s="66"/>
      <c r="BC64" s="66"/>
      <c r="BD64" s="66"/>
      <c r="BE64" s="66"/>
      <c r="BF64" s="45"/>
      <c r="BG64" s="46"/>
      <c r="BH64" s="45"/>
      <c r="BI64" s="46"/>
      <c r="BJ64" s="45"/>
      <c r="BK64" s="46"/>
      <c r="BL64" s="45"/>
      <c r="BM64" s="46"/>
      <c r="BN64" s="45"/>
    </row>
    <row r="65" spans="1:66" ht="15">
      <c r="A65" s="62" t="s">
        <v>290</v>
      </c>
      <c r="B65" s="62" t="s">
        <v>313</v>
      </c>
      <c r="C65" s="64" t="s">
        <v>1504</v>
      </c>
      <c r="D65" s="67">
        <v>3</v>
      </c>
      <c r="E65" s="68" t="s">
        <v>132</v>
      </c>
      <c r="F65" s="69">
        <v>32</v>
      </c>
      <c r="G65" s="64"/>
      <c r="H65" s="70"/>
      <c r="I65" s="71"/>
      <c r="J65" s="71"/>
      <c r="K65" s="31" t="s">
        <v>65</v>
      </c>
      <c r="L65" s="79">
        <v>65</v>
      </c>
      <c r="M65" s="79"/>
      <c r="N65" s="73"/>
      <c r="O65" s="66">
        <v>1</v>
      </c>
      <c r="P65" s="63" t="str">
        <f>REPLACE(INDEX(GroupVertices[Group],MATCH(Edges[[#This Row],[Vertex 1]],GroupVertices[Vertex],0)),1,1,"")</f>
        <v>1</v>
      </c>
      <c r="Q65" s="63" t="str">
        <f>REPLACE(INDEX(GroupVertices[Group],MATCH(Edges[[#This Row],[Vertex 2]],GroupVertices[Vertex],0)),1,1,"")</f>
        <v>1</v>
      </c>
      <c r="R65" s="66" t="s">
        <v>316</v>
      </c>
      <c r="S65" s="91">
        <v>44877.665914351855</v>
      </c>
      <c r="T65" s="66" t="s">
        <v>321</v>
      </c>
      <c r="U65" s="94" t="str">
        <f>HYPERLINK("https://www.youtube.com/watch?v=xb0JCOgMsXc&amp;feature=youtu.be")</f>
        <v>https://www.youtube.com/watch?v=xb0JCOgMsXc&amp;feature=youtu.be</v>
      </c>
      <c r="V65" s="66" t="s">
        <v>403</v>
      </c>
      <c r="W65" s="97" t="s">
        <v>424</v>
      </c>
      <c r="X65" s="94" t="str">
        <f>HYPERLINK("https://pbs.twimg.com/media/FhW7ZTpXkAAZ4Hh.jpg")</f>
        <v>https://pbs.twimg.com/media/FhW7ZTpXkAAZ4Hh.jpg</v>
      </c>
      <c r="Y65" s="94" t="str">
        <f>HYPERLINK("https://pbs.twimg.com/media/FhW7ZTpXkAAZ4Hh.jpg")</f>
        <v>https://pbs.twimg.com/media/FhW7ZTpXkAAZ4Hh.jpg</v>
      </c>
      <c r="Z65" s="91">
        <v>44877.665914351855</v>
      </c>
      <c r="AA65" s="100">
        <v>44877</v>
      </c>
      <c r="AB65" s="97" t="s">
        <v>459</v>
      </c>
      <c r="AC65" s="94" t="str">
        <f>HYPERLINK("https://twitter.com/jordisandalinas/status/1591460542652219395")</f>
        <v>https://twitter.com/jordisandalinas/status/1591460542652219395</v>
      </c>
      <c r="AD65" s="66"/>
      <c r="AE65" s="66"/>
      <c r="AF65" s="97" t="s">
        <v>592</v>
      </c>
      <c r="AG65" s="66"/>
      <c r="AH65" s="66" t="b">
        <v>0</v>
      </c>
      <c r="AI65" s="66">
        <v>0</v>
      </c>
      <c r="AJ65" s="97" t="s">
        <v>712</v>
      </c>
      <c r="AK65" s="66" t="b">
        <v>0</v>
      </c>
      <c r="AL65" s="66" t="s">
        <v>715</v>
      </c>
      <c r="AM65" s="66"/>
      <c r="AN65" s="97" t="s">
        <v>712</v>
      </c>
      <c r="AO65" s="66" t="b">
        <v>0</v>
      </c>
      <c r="AP65" s="66">
        <v>5</v>
      </c>
      <c r="AQ65" s="97" t="s">
        <v>601</v>
      </c>
      <c r="AR65" s="97" t="s">
        <v>719</v>
      </c>
      <c r="AS65" s="66" t="b">
        <v>0</v>
      </c>
      <c r="AT65" s="97" t="s">
        <v>601</v>
      </c>
      <c r="AU65" s="66" t="s">
        <v>241</v>
      </c>
      <c r="AV65" s="66">
        <v>0</v>
      </c>
      <c r="AW65" s="66">
        <v>0</v>
      </c>
      <c r="AX65" s="66"/>
      <c r="AY65" s="66"/>
      <c r="AZ65" s="66"/>
      <c r="BA65" s="66"/>
      <c r="BB65" s="66"/>
      <c r="BC65" s="66"/>
      <c r="BD65" s="66"/>
      <c r="BE65" s="66"/>
      <c r="BF65" s="45"/>
      <c r="BG65" s="46"/>
      <c r="BH65" s="45"/>
      <c r="BI65" s="46"/>
      <c r="BJ65" s="45"/>
      <c r="BK65" s="46"/>
      <c r="BL65" s="45"/>
      <c r="BM65" s="46"/>
      <c r="BN65" s="45"/>
    </row>
    <row r="66" spans="1:66" ht="15">
      <c r="A66" s="62" t="s">
        <v>290</v>
      </c>
      <c r="B66" s="62" t="s">
        <v>297</v>
      </c>
      <c r="C66" s="64" t="s">
        <v>1504</v>
      </c>
      <c r="D66" s="67">
        <v>3</v>
      </c>
      <c r="E66" s="68" t="s">
        <v>132</v>
      </c>
      <c r="F66" s="69">
        <v>32</v>
      </c>
      <c r="G66" s="64"/>
      <c r="H66" s="70"/>
      <c r="I66" s="71"/>
      <c r="J66" s="71"/>
      <c r="K66" s="31" t="s">
        <v>65</v>
      </c>
      <c r="L66" s="79">
        <v>66</v>
      </c>
      <c r="M66" s="79"/>
      <c r="N66" s="73"/>
      <c r="O66" s="66">
        <v>1</v>
      </c>
      <c r="P66" s="63" t="str">
        <f>REPLACE(INDEX(GroupVertices[Group],MATCH(Edges[[#This Row],[Vertex 1]],GroupVertices[Vertex],0)),1,1,"")</f>
        <v>1</v>
      </c>
      <c r="Q66" s="63" t="str">
        <f>REPLACE(INDEX(GroupVertices[Group],MATCH(Edges[[#This Row],[Vertex 2]],GroupVertices[Vertex],0)),1,1,"")</f>
        <v>1</v>
      </c>
      <c r="R66" s="66" t="s">
        <v>315</v>
      </c>
      <c r="S66" s="91">
        <v>44877.665914351855</v>
      </c>
      <c r="T66" s="66" t="s">
        <v>321</v>
      </c>
      <c r="U66" s="94" t="str">
        <f>HYPERLINK("https://www.youtube.com/watch?v=xb0JCOgMsXc&amp;feature=youtu.be")</f>
        <v>https://www.youtube.com/watch?v=xb0JCOgMsXc&amp;feature=youtu.be</v>
      </c>
      <c r="V66" s="66" t="s">
        <v>403</v>
      </c>
      <c r="W66" s="97" t="s">
        <v>424</v>
      </c>
      <c r="X66" s="94" t="str">
        <f>HYPERLINK("https://pbs.twimg.com/media/FhW7ZTpXkAAZ4Hh.jpg")</f>
        <v>https://pbs.twimg.com/media/FhW7ZTpXkAAZ4Hh.jpg</v>
      </c>
      <c r="Y66" s="94" t="str">
        <f>HYPERLINK("https://pbs.twimg.com/media/FhW7ZTpXkAAZ4Hh.jpg")</f>
        <v>https://pbs.twimg.com/media/FhW7ZTpXkAAZ4Hh.jpg</v>
      </c>
      <c r="Z66" s="91">
        <v>44877.665914351855</v>
      </c>
      <c r="AA66" s="100">
        <v>44877</v>
      </c>
      <c r="AB66" s="97" t="s">
        <v>459</v>
      </c>
      <c r="AC66" s="94" t="str">
        <f>HYPERLINK("https://twitter.com/jordisandalinas/status/1591460542652219395")</f>
        <v>https://twitter.com/jordisandalinas/status/1591460542652219395</v>
      </c>
      <c r="AD66" s="66"/>
      <c r="AE66" s="66"/>
      <c r="AF66" s="97" t="s">
        <v>592</v>
      </c>
      <c r="AG66" s="66"/>
      <c r="AH66" s="66" t="b">
        <v>0</v>
      </c>
      <c r="AI66" s="66">
        <v>0</v>
      </c>
      <c r="AJ66" s="97" t="s">
        <v>712</v>
      </c>
      <c r="AK66" s="66" t="b">
        <v>0</v>
      </c>
      <c r="AL66" s="66" t="s">
        <v>715</v>
      </c>
      <c r="AM66" s="66"/>
      <c r="AN66" s="97" t="s">
        <v>712</v>
      </c>
      <c r="AO66" s="66" t="b">
        <v>0</v>
      </c>
      <c r="AP66" s="66">
        <v>5</v>
      </c>
      <c r="AQ66" s="97" t="s">
        <v>601</v>
      </c>
      <c r="AR66" s="97" t="s">
        <v>719</v>
      </c>
      <c r="AS66" s="66" t="b">
        <v>0</v>
      </c>
      <c r="AT66" s="97" t="s">
        <v>601</v>
      </c>
      <c r="AU66" s="66" t="s">
        <v>241</v>
      </c>
      <c r="AV66" s="66">
        <v>0</v>
      </c>
      <c r="AW66" s="66">
        <v>0</v>
      </c>
      <c r="AX66" s="66"/>
      <c r="AY66" s="66"/>
      <c r="AZ66" s="66"/>
      <c r="BA66" s="66"/>
      <c r="BB66" s="66"/>
      <c r="BC66" s="66"/>
      <c r="BD66" s="66"/>
      <c r="BE66" s="66"/>
      <c r="BF66" s="45">
        <v>0</v>
      </c>
      <c r="BG66" s="46">
        <v>0</v>
      </c>
      <c r="BH66" s="45">
        <v>0</v>
      </c>
      <c r="BI66" s="46">
        <v>0</v>
      </c>
      <c r="BJ66" s="45">
        <v>0</v>
      </c>
      <c r="BK66" s="46">
        <v>0</v>
      </c>
      <c r="BL66" s="45">
        <v>21</v>
      </c>
      <c r="BM66" s="46">
        <v>91.30434782608695</v>
      </c>
      <c r="BN66" s="45">
        <v>23</v>
      </c>
    </row>
    <row r="67" spans="1:66" ht="15">
      <c r="A67" s="62" t="s">
        <v>290</v>
      </c>
      <c r="B67" s="62" t="s">
        <v>305</v>
      </c>
      <c r="C67" s="64" t="s">
        <v>1504</v>
      </c>
      <c r="D67" s="67">
        <v>3</v>
      </c>
      <c r="E67" s="68" t="s">
        <v>132</v>
      </c>
      <c r="F67" s="69">
        <v>32</v>
      </c>
      <c r="G67" s="64"/>
      <c r="H67" s="70"/>
      <c r="I67" s="71"/>
      <c r="J67" s="71"/>
      <c r="K67" s="31" t="s">
        <v>65</v>
      </c>
      <c r="L67" s="79">
        <v>67</v>
      </c>
      <c r="M67" s="79"/>
      <c r="N67" s="73"/>
      <c r="O67" s="66">
        <v>1</v>
      </c>
      <c r="P67" s="63" t="str">
        <f>REPLACE(INDEX(GroupVertices[Group],MATCH(Edges[[#This Row],[Vertex 1]],GroupVertices[Vertex],0)),1,1,"")</f>
        <v>1</v>
      </c>
      <c r="Q67" s="63" t="str">
        <f>REPLACE(INDEX(GroupVertices[Group],MATCH(Edges[[#This Row],[Vertex 2]],GroupVertices[Vertex],0)),1,1,"")</f>
        <v>4</v>
      </c>
      <c r="R67" s="66" t="s">
        <v>315</v>
      </c>
      <c r="S67" s="91">
        <v>44878.66107638889</v>
      </c>
      <c r="T67" s="66" t="s">
        <v>332</v>
      </c>
      <c r="U67" s="94" t="str">
        <f>HYPERLINK("http://transvisionmadrid.com")</f>
        <v>http://transvisionmadrid.com</v>
      </c>
      <c r="V67" s="66" t="s">
        <v>407</v>
      </c>
      <c r="W67" s="97" t="s">
        <v>428</v>
      </c>
      <c r="X67" s="94" t="str">
        <f>HYPERLINK("https://pbs.twimg.com/media/FhatWb1WAAEOUxn.jpg")</f>
        <v>https://pbs.twimg.com/media/FhatWb1WAAEOUxn.jpg</v>
      </c>
      <c r="Y67" s="94" t="str">
        <f>HYPERLINK("https://pbs.twimg.com/media/FhatWb1WAAEOUxn.jpg")</f>
        <v>https://pbs.twimg.com/media/FhatWb1WAAEOUxn.jpg</v>
      </c>
      <c r="Z67" s="91">
        <v>44878.66107638889</v>
      </c>
      <c r="AA67" s="100">
        <v>44878</v>
      </c>
      <c r="AB67" s="97" t="s">
        <v>460</v>
      </c>
      <c r="AC67" s="94" t="str">
        <f>HYPERLINK("https://twitter.com/jordisandalinas/status/1591821175529046016")</f>
        <v>https://twitter.com/jordisandalinas/status/1591821175529046016</v>
      </c>
      <c r="AD67" s="66"/>
      <c r="AE67" s="66"/>
      <c r="AF67" s="97" t="s">
        <v>593</v>
      </c>
      <c r="AG67" s="66"/>
      <c r="AH67" s="66" t="b">
        <v>0</v>
      </c>
      <c r="AI67" s="66">
        <v>0</v>
      </c>
      <c r="AJ67" s="97" t="s">
        <v>712</v>
      </c>
      <c r="AK67" s="66" t="b">
        <v>0</v>
      </c>
      <c r="AL67" s="66" t="s">
        <v>714</v>
      </c>
      <c r="AM67" s="66"/>
      <c r="AN67" s="97" t="s">
        <v>712</v>
      </c>
      <c r="AO67" s="66" t="b">
        <v>0</v>
      </c>
      <c r="AP67" s="66">
        <v>1</v>
      </c>
      <c r="AQ67" s="97" t="s">
        <v>696</v>
      </c>
      <c r="AR67" s="97" t="s">
        <v>719</v>
      </c>
      <c r="AS67" s="66" t="b">
        <v>0</v>
      </c>
      <c r="AT67" s="97" t="s">
        <v>696</v>
      </c>
      <c r="AU67" s="66" t="s">
        <v>241</v>
      </c>
      <c r="AV67" s="66">
        <v>0</v>
      </c>
      <c r="AW67" s="66">
        <v>0</v>
      </c>
      <c r="AX67" s="66"/>
      <c r="AY67" s="66"/>
      <c r="AZ67" s="66"/>
      <c r="BA67" s="66"/>
      <c r="BB67" s="66"/>
      <c r="BC67" s="66"/>
      <c r="BD67" s="66"/>
      <c r="BE67" s="66"/>
      <c r="BF67" s="45">
        <v>0</v>
      </c>
      <c r="BG67" s="46">
        <v>0</v>
      </c>
      <c r="BH67" s="45">
        <v>0</v>
      </c>
      <c r="BI67" s="46">
        <v>0</v>
      </c>
      <c r="BJ67" s="45">
        <v>0</v>
      </c>
      <c r="BK67" s="46">
        <v>0</v>
      </c>
      <c r="BL67" s="45">
        <v>16</v>
      </c>
      <c r="BM67" s="46">
        <v>84.21052631578948</v>
      </c>
      <c r="BN67" s="45">
        <v>19</v>
      </c>
    </row>
    <row r="68" spans="1:66" ht="15">
      <c r="A68" s="62" t="s">
        <v>291</v>
      </c>
      <c r="B68" s="62" t="s">
        <v>298</v>
      </c>
      <c r="C68" s="64" t="s">
        <v>1504</v>
      </c>
      <c r="D68" s="67">
        <v>3</v>
      </c>
      <c r="E68" s="68" t="s">
        <v>132</v>
      </c>
      <c r="F68" s="69">
        <v>32</v>
      </c>
      <c r="G68" s="64"/>
      <c r="H68" s="70"/>
      <c r="I68" s="71"/>
      <c r="J68" s="71"/>
      <c r="K68" s="31" t="s">
        <v>65</v>
      </c>
      <c r="L68" s="79">
        <v>68</v>
      </c>
      <c r="M68" s="79"/>
      <c r="N68" s="73"/>
      <c r="O68" s="66">
        <v>1</v>
      </c>
      <c r="P68" s="63" t="str">
        <f>REPLACE(INDEX(GroupVertices[Group],MATCH(Edges[[#This Row],[Vertex 1]],GroupVertices[Vertex],0)),1,1,"")</f>
        <v>2</v>
      </c>
      <c r="Q68" s="63" t="str">
        <f>REPLACE(INDEX(GroupVertices[Group],MATCH(Edges[[#This Row],[Vertex 2]],GroupVertices[Vertex],0)),1,1,"")</f>
        <v>2</v>
      </c>
      <c r="R68" s="66" t="s">
        <v>315</v>
      </c>
      <c r="S68" s="91">
        <v>44878.76724537037</v>
      </c>
      <c r="T68" s="66" t="s">
        <v>330</v>
      </c>
      <c r="U68" s="94" t="str">
        <f>HYPERLINK("http://transvisionmadrid.com")</f>
        <v>http://transvisionmadrid.com</v>
      </c>
      <c r="V68" s="66" t="s">
        <v>407</v>
      </c>
      <c r="W68" s="97" t="s">
        <v>428</v>
      </c>
      <c r="X68" s="94" t="str">
        <f>HYPERLINK("https://pbs.twimg.com/media/Fhb3hI6WAAIZ67S.jpg")</f>
        <v>https://pbs.twimg.com/media/Fhb3hI6WAAIZ67S.jpg</v>
      </c>
      <c r="Y68" s="94" t="str">
        <f>HYPERLINK("https://pbs.twimg.com/media/Fhb3hI6WAAIZ67S.jpg")</f>
        <v>https://pbs.twimg.com/media/Fhb3hI6WAAIZ67S.jpg</v>
      </c>
      <c r="Z68" s="91">
        <v>44878.76724537037</v>
      </c>
      <c r="AA68" s="100">
        <v>44878</v>
      </c>
      <c r="AB68" s="97" t="s">
        <v>461</v>
      </c>
      <c r="AC68" s="94" t="str">
        <f>HYPERLINK("https://twitter.com/ikechukwuebere8/status/1591859648688230404")</f>
        <v>https://twitter.com/ikechukwuebere8/status/1591859648688230404</v>
      </c>
      <c r="AD68" s="66"/>
      <c r="AE68" s="66"/>
      <c r="AF68" s="97" t="s">
        <v>594</v>
      </c>
      <c r="AG68" s="66"/>
      <c r="AH68" s="66" t="b">
        <v>0</v>
      </c>
      <c r="AI68" s="66">
        <v>0</v>
      </c>
      <c r="AJ68" s="97" t="s">
        <v>712</v>
      </c>
      <c r="AK68" s="66" t="b">
        <v>0</v>
      </c>
      <c r="AL68" s="66" t="s">
        <v>714</v>
      </c>
      <c r="AM68" s="66"/>
      <c r="AN68" s="97" t="s">
        <v>712</v>
      </c>
      <c r="AO68" s="66" t="b">
        <v>0</v>
      </c>
      <c r="AP68" s="66">
        <v>2</v>
      </c>
      <c r="AQ68" s="97" t="s">
        <v>663</v>
      </c>
      <c r="AR68" s="97" t="s">
        <v>719</v>
      </c>
      <c r="AS68" s="66" t="b">
        <v>0</v>
      </c>
      <c r="AT68" s="97" t="s">
        <v>663</v>
      </c>
      <c r="AU68" s="66" t="s">
        <v>241</v>
      </c>
      <c r="AV68" s="66">
        <v>0</v>
      </c>
      <c r="AW68" s="66">
        <v>0</v>
      </c>
      <c r="AX68" s="66"/>
      <c r="AY68" s="66"/>
      <c r="AZ68" s="66"/>
      <c r="BA68" s="66"/>
      <c r="BB68" s="66"/>
      <c r="BC68" s="66"/>
      <c r="BD68" s="66"/>
      <c r="BE68" s="66"/>
      <c r="BF68" s="45">
        <v>0</v>
      </c>
      <c r="BG68" s="46">
        <v>0</v>
      </c>
      <c r="BH68" s="45">
        <v>0</v>
      </c>
      <c r="BI68" s="46">
        <v>0</v>
      </c>
      <c r="BJ68" s="45">
        <v>0</v>
      </c>
      <c r="BK68" s="46">
        <v>0</v>
      </c>
      <c r="BL68" s="45">
        <v>16</v>
      </c>
      <c r="BM68" s="46">
        <v>84.21052631578948</v>
      </c>
      <c r="BN68" s="45">
        <v>19</v>
      </c>
    </row>
    <row r="69" spans="1:66" ht="15">
      <c r="A69" s="62" t="s">
        <v>292</v>
      </c>
      <c r="B69" s="62" t="s">
        <v>305</v>
      </c>
      <c r="C69" s="64" t="s">
        <v>1504</v>
      </c>
      <c r="D69" s="67">
        <v>3</v>
      </c>
      <c r="E69" s="68" t="s">
        <v>132</v>
      </c>
      <c r="F69" s="69">
        <v>32</v>
      </c>
      <c r="G69" s="64"/>
      <c r="H69" s="70"/>
      <c r="I69" s="71"/>
      <c r="J69" s="71"/>
      <c r="K69" s="31" t="s">
        <v>65</v>
      </c>
      <c r="L69" s="79">
        <v>69</v>
      </c>
      <c r="M69" s="79"/>
      <c r="N69" s="73"/>
      <c r="O69" s="66">
        <v>1</v>
      </c>
      <c r="P69" s="63" t="str">
        <f>REPLACE(INDEX(GroupVertices[Group],MATCH(Edges[[#This Row],[Vertex 1]],GroupVertices[Vertex],0)),1,1,"")</f>
        <v>4</v>
      </c>
      <c r="Q69" s="63" t="str">
        <f>REPLACE(INDEX(GroupVertices[Group],MATCH(Edges[[#This Row],[Vertex 2]],GroupVertices[Vertex],0)),1,1,"")</f>
        <v>4</v>
      </c>
      <c r="R69" s="66" t="s">
        <v>315</v>
      </c>
      <c r="S69" s="91">
        <v>44878.93866898148</v>
      </c>
      <c r="T69" s="66" t="s">
        <v>329</v>
      </c>
      <c r="U69" s="66" t="s">
        <v>394</v>
      </c>
      <c r="V69" s="66" t="s">
        <v>408</v>
      </c>
      <c r="W69" s="97" t="s">
        <v>429</v>
      </c>
      <c r="X69" s="66"/>
      <c r="Y69" s="94" t="str">
        <f>HYPERLINK("https://pbs.twimg.com/profile_images/1519421802304397312/lrC8-Nd3_normal.jpg")</f>
        <v>https://pbs.twimg.com/profile_images/1519421802304397312/lrC8-Nd3_normal.jpg</v>
      </c>
      <c r="Z69" s="91">
        <v>44878.93866898148</v>
      </c>
      <c r="AA69" s="100">
        <v>44878</v>
      </c>
      <c r="AB69" s="97" t="s">
        <v>462</v>
      </c>
      <c r="AC69" s="94" t="str">
        <f>HYPERLINK("https://twitter.com/elultimosapiens/status/1591921771774898176")</f>
        <v>https://twitter.com/elultimosapiens/status/1591921771774898176</v>
      </c>
      <c r="AD69" s="66"/>
      <c r="AE69" s="66"/>
      <c r="AF69" s="97" t="s">
        <v>595</v>
      </c>
      <c r="AG69" s="66"/>
      <c r="AH69" s="66" t="b">
        <v>0</v>
      </c>
      <c r="AI69" s="66">
        <v>0</v>
      </c>
      <c r="AJ69" s="97" t="s">
        <v>712</v>
      </c>
      <c r="AK69" s="66" t="b">
        <v>0</v>
      </c>
      <c r="AL69" s="66" t="s">
        <v>714</v>
      </c>
      <c r="AM69" s="66"/>
      <c r="AN69" s="97" t="s">
        <v>712</v>
      </c>
      <c r="AO69" s="66" t="b">
        <v>0</v>
      </c>
      <c r="AP69" s="66">
        <v>5</v>
      </c>
      <c r="AQ69" s="97" t="s">
        <v>699</v>
      </c>
      <c r="AR69" s="97" t="s">
        <v>717</v>
      </c>
      <c r="AS69" s="66" t="b">
        <v>0</v>
      </c>
      <c r="AT69" s="97" t="s">
        <v>699</v>
      </c>
      <c r="AU69" s="66" t="s">
        <v>241</v>
      </c>
      <c r="AV69" s="66">
        <v>0</v>
      </c>
      <c r="AW69" s="66">
        <v>0</v>
      </c>
      <c r="AX69" s="66"/>
      <c r="AY69" s="66"/>
      <c r="AZ69" s="66"/>
      <c r="BA69" s="66"/>
      <c r="BB69" s="66"/>
      <c r="BC69" s="66"/>
      <c r="BD69" s="66"/>
      <c r="BE69" s="66"/>
      <c r="BF69" s="45">
        <v>0</v>
      </c>
      <c r="BG69" s="46">
        <v>0</v>
      </c>
      <c r="BH69" s="45">
        <v>0</v>
      </c>
      <c r="BI69" s="46">
        <v>0</v>
      </c>
      <c r="BJ69" s="45">
        <v>0</v>
      </c>
      <c r="BK69" s="46">
        <v>0</v>
      </c>
      <c r="BL69" s="45">
        <v>16</v>
      </c>
      <c r="BM69" s="46">
        <v>51.61290322580645</v>
      </c>
      <c r="BN69" s="45">
        <v>31</v>
      </c>
    </row>
    <row r="70" spans="1:66" ht="15">
      <c r="A70" s="62" t="s">
        <v>293</v>
      </c>
      <c r="B70" s="62" t="s">
        <v>298</v>
      </c>
      <c r="C70" s="64" t="s">
        <v>1504</v>
      </c>
      <c r="D70" s="67">
        <v>3</v>
      </c>
      <c r="E70" s="68" t="s">
        <v>132</v>
      </c>
      <c r="F70" s="69">
        <v>32</v>
      </c>
      <c r="G70" s="64"/>
      <c r="H70" s="70"/>
      <c r="I70" s="71"/>
      <c r="J70" s="71"/>
      <c r="K70" s="31" t="s">
        <v>65</v>
      </c>
      <c r="L70" s="79">
        <v>70</v>
      </c>
      <c r="M70" s="79"/>
      <c r="N70" s="73"/>
      <c r="O70" s="66">
        <v>1</v>
      </c>
      <c r="P70" s="63" t="str">
        <f>REPLACE(INDEX(GroupVertices[Group],MATCH(Edges[[#This Row],[Vertex 1]],GroupVertices[Vertex],0)),1,1,"")</f>
        <v>2</v>
      </c>
      <c r="Q70" s="63" t="str">
        <f>REPLACE(INDEX(GroupVertices[Group],MATCH(Edges[[#This Row],[Vertex 2]],GroupVertices[Vertex],0)),1,1,"")</f>
        <v>2</v>
      </c>
      <c r="R70" s="66" t="s">
        <v>315</v>
      </c>
      <c r="S70" s="91">
        <v>44879.39226851852</v>
      </c>
      <c r="T70" s="66" t="s">
        <v>333</v>
      </c>
      <c r="U70" s="94" t="str">
        <f>HYPERLINK("https://www.youtube.com/watch?v=3JK84n-jsMU")</f>
        <v>https://www.youtube.com/watch?v=3JK84n-jsMU</v>
      </c>
      <c r="V70" s="66" t="s">
        <v>403</v>
      </c>
      <c r="W70" s="97" t="s">
        <v>430</v>
      </c>
      <c r="X70" s="94" t="str">
        <f>HYPERLINK("https://pbs.twimg.com/media/FhcHy7oXEAMenzQ.png")</f>
        <v>https://pbs.twimg.com/media/FhcHy7oXEAMenzQ.png</v>
      </c>
      <c r="Y70" s="94" t="str">
        <f>HYPERLINK("https://pbs.twimg.com/media/FhcHy7oXEAMenzQ.png")</f>
        <v>https://pbs.twimg.com/media/FhcHy7oXEAMenzQ.png</v>
      </c>
      <c r="Z70" s="91">
        <v>44879.39226851852</v>
      </c>
      <c r="AA70" s="100">
        <v>44879</v>
      </c>
      <c r="AB70" s="97" t="s">
        <v>463</v>
      </c>
      <c r="AC70" s="94" t="str">
        <f>HYPERLINK("https://twitter.com/frcretweets/status/1592086151388602369")</f>
        <v>https://twitter.com/frcretweets/status/1592086151388602369</v>
      </c>
      <c r="AD70" s="66"/>
      <c r="AE70" s="66"/>
      <c r="AF70" s="97" t="s">
        <v>596</v>
      </c>
      <c r="AG70" s="66"/>
      <c r="AH70" s="66" t="b">
        <v>0</v>
      </c>
      <c r="AI70" s="66">
        <v>0</v>
      </c>
      <c r="AJ70" s="97" t="s">
        <v>712</v>
      </c>
      <c r="AK70" s="66" t="b">
        <v>0</v>
      </c>
      <c r="AL70" s="66" t="s">
        <v>714</v>
      </c>
      <c r="AM70" s="66"/>
      <c r="AN70" s="97" t="s">
        <v>712</v>
      </c>
      <c r="AO70" s="66" t="b">
        <v>0</v>
      </c>
      <c r="AP70" s="66">
        <v>5</v>
      </c>
      <c r="AQ70" s="97" t="s">
        <v>665</v>
      </c>
      <c r="AR70" s="97" t="s">
        <v>722</v>
      </c>
      <c r="AS70" s="66" t="b">
        <v>0</v>
      </c>
      <c r="AT70" s="97" t="s">
        <v>665</v>
      </c>
      <c r="AU70" s="66" t="s">
        <v>241</v>
      </c>
      <c r="AV70" s="66">
        <v>0</v>
      </c>
      <c r="AW70" s="66">
        <v>0</v>
      </c>
      <c r="AX70" s="66"/>
      <c r="AY70" s="66"/>
      <c r="AZ70" s="66"/>
      <c r="BA70" s="66"/>
      <c r="BB70" s="66"/>
      <c r="BC70" s="66"/>
      <c r="BD70" s="66"/>
      <c r="BE70" s="66"/>
      <c r="BF70" s="45">
        <v>0</v>
      </c>
      <c r="BG70" s="46">
        <v>0</v>
      </c>
      <c r="BH70" s="45">
        <v>0</v>
      </c>
      <c r="BI70" s="46">
        <v>0</v>
      </c>
      <c r="BJ70" s="45">
        <v>0</v>
      </c>
      <c r="BK70" s="46">
        <v>0</v>
      </c>
      <c r="BL70" s="45">
        <v>5</v>
      </c>
      <c r="BM70" s="46">
        <v>62.5</v>
      </c>
      <c r="BN70" s="45">
        <v>8</v>
      </c>
    </row>
    <row r="71" spans="1:66" ht="15">
      <c r="A71" s="62" t="s">
        <v>294</v>
      </c>
      <c r="B71" s="62" t="s">
        <v>305</v>
      </c>
      <c r="C71" s="64" t="s">
        <v>1504</v>
      </c>
      <c r="D71" s="67">
        <v>3</v>
      </c>
      <c r="E71" s="68" t="s">
        <v>132</v>
      </c>
      <c r="F71" s="69">
        <v>32</v>
      </c>
      <c r="G71" s="64"/>
      <c r="H71" s="70"/>
      <c r="I71" s="71"/>
      <c r="J71" s="71"/>
      <c r="K71" s="31" t="s">
        <v>65</v>
      </c>
      <c r="L71" s="79">
        <v>71</v>
      </c>
      <c r="M71" s="79"/>
      <c r="N71" s="73"/>
      <c r="O71" s="66">
        <v>1</v>
      </c>
      <c r="P71" s="63" t="str">
        <f>REPLACE(INDEX(GroupVertices[Group],MATCH(Edges[[#This Row],[Vertex 1]],GroupVertices[Vertex],0)),1,1,"")</f>
        <v>4</v>
      </c>
      <c r="Q71" s="63" t="str">
        <f>REPLACE(INDEX(GroupVertices[Group],MATCH(Edges[[#This Row],[Vertex 2]],GroupVertices[Vertex],0)),1,1,"")</f>
        <v>4</v>
      </c>
      <c r="R71" s="66" t="s">
        <v>315</v>
      </c>
      <c r="S71" s="91">
        <v>44878.916134259256</v>
      </c>
      <c r="T71" s="66" t="s">
        <v>334</v>
      </c>
      <c r="U71" s="94" t="str">
        <f>HYPERLINK("http://transvisionmadrid.com")</f>
        <v>http://transvisionmadrid.com</v>
      </c>
      <c r="V71" s="66" t="s">
        <v>407</v>
      </c>
      <c r="W71" s="97" t="s">
        <v>428</v>
      </c>
      <c r="X71" s="94" t="str">
        <f>HYPERLINK("https://pbs.twimg.com/media/FheSAwLXgAkq2lI.jpg")</f>
        <v>https://pbs.twimg.com/media/FheSAwLXgAkq2lI.jpg</v>
      </c>
      <c r="Y71" s="94" t="str">
        <f>HYPERLINK("https://pbs.twimg.com/media/FheSAwLXgAkq2lI.jpg")</f>
        <v>https://pbs.twimg.com/media/FheSAwLXgAkq2lI.jpg</v>
      </c>
      <c r="Z71" s="91">
        <v>44878.916134259256</v>
      </c>
      <c r="AA71" s="100">
        <v>44878</v>
      </c>
      <c r="AB71" s="97" t="s">
        <v>464</v>
      </c>
      <c r="AC71" s="94" t="str">
        <f>HYPERLINK("https://twitter.com/carlesvillapla1/status/1591913604252831747")</f>
        <v>https://twitter.com/carlesvillapla1/status/1591913604252831747</v>
      </c>
      <c r="AD71" s="66"/>
      <c r="AE71" s="66"/>
      <c r="AF71" s="97" t="s">
        <v>597</v>
      </c>
      <c r="AG71" s="66"/>
      <c r="AH71" s="66" t="b">
        <v>0</v>
      </c>
      <c r="AI71" s="66">
        <v>0</v>
      </c>
      <c r="AJ71" s="97" t="s">
        <v>712</v>
      </c>
      <c r="AK71" s="66" t="b">
        <v>0</v>
      </c>
      <c r="AL71" s="66" t="s">
        <v>714</v>
      </c>
      <c r="AM71" s="66"/>
      <c r="AN71" s="97" t="s">
        <v>712</v>
      </c>
      <c r="AO71" s="66" t="b">
        <v>0</v>
      </c>
      <c r="AP71" s="66">
        <v>1</v>
      </c>
      <c r="AQ71" s="97" t="s">
        <v>703</v>
      </c>
      <c r="AR71" s="97" t="s">
        <v>719</v>
      </c>
      <c r="AS71" s="66" t="b">
        <v>0</v>
      </c>
      <c r="AT71" s="97" t="s">
        <v>703</v>
      </c>
      <c r="AU71" s="66" t="s">
        <v>241</v>
      </c>
      <c r="AV71" s="66">
        <v>0</v>
      </c>
      <c r="AW71" s="66">
        <v>0</v>
      </c>
      <c r="AX71" s="66"/>
      <c r="AY71" s="66"/>
      <c r="AZ71" s="66"/>
      <c r="BA71" s="66"/>
      <c r="BB71" s="66"/>
      <c r="BC71" s="66"/>
      <c r="BD71" s="66"/>
      <c r="BE71" s="66"/>
      <c r="BF71" s="45">
        <v>1</v>
      </c>
      <c r="BG71" s="46">
        <v>5.2631578947368425</v>
      </c>
      <c r="BH71" s="45">
        <v>0</v>
      </c>
      <c r="BI71" s="46">
        <v>0</v>
      </c>
      <c r="BJ71" s="45">
        <v>0</v>
      </c>
      <c r="BK71" s="46">
        <v>0</v>
      </c>
      <c r="BL71" s="45">
        <v>15</v>
      </c>
      <c r="BM71" s="46">
        <v>78.94736842105263</v>
      </c>
      <c r="BN71" s="45">
        <v>19</v>
      </c>
    </row>
    <row r="72" spans="1:66" ht="15">
      <c r="A72" s="62" t="s">
        <v>294</v>
      </c>
      <c r="B72" s="62" t="s">
        <v>298</v>
      </c>
      <c r="C72" s="64" t="s">
        <v>1504</v>
      </c>
      <c r="D72" s="67">
        <v>3</v>
      </c>
      <c r="E72" s="68" t="s">
        <v>132</v>
      </c>
      <c r="F72" s="69">
        <v>32</v>
      </c>
      <c r="G72" s="64"/>
      <c r="H72" s="70"/>
      <c r="I72" s="71"/>
      <c r="J72" s="71"/>
      <c r="K72" s="31" t="s">
        <v>65</v>
      </c>
      <c r="L72" s="79">
        <v>72</v>
      </c>
      <c r="M72" s="79"/>
      <c r="N72" s="73"/>
      <c r="O72" s="66">
        <v>1</v>
      </c>
      <c r="P72" s="63" t="str">
        <f>REPLACE(INDEX(GroupVertices[Group],MATCH(Edges[[#This Row],[Vertex 1]],GroupVertices[Vertex],0)),1,1,"")</f>
        <v>4</v>
      </c>
      <c r="Q72" s="63" t="str">
        <f>REPLACE(INDEX(GroupVertices[Group],MATCH(Edges[[#This Row],[Vertex 2]],GroupVertices[Vertex],0)),1,1,"")</f>
        <v>2</v>
      </c>
      <c r="R72" s="66" t="s">
        <v>315</v>
      </c>
      <c r="S72" s="91">
        <v>44879.681539351855</v>
      </c>
      <c r="T72" s="66" t="s">
        <v>333</v>
      </c>
      <c r="U72" s="94" t="str">
        <f>HYPERLINK("https://www.youtube.com/watch?v=3JK84n-jsMU")</f>
        <v>https://www.youtube.com/watch?v=3JK84n-jsMU</v>
      </c>
      <c r="V72" s="66" t="s">
        <v>403</v>
      </c>
      <c r="W72" s="97" t="s">
        <v>430</v>
      </c>
      <c r="X72" s="94" t="str">
        <f>HYPERLINK("https://pbs.twimg.com/media/FhcHy7oXEAMenzQ.png")</f>
        <v>https://pbs.twimg.com/media/FhcHy7oXEAMenzQ.png</v>
      </c>
      <c r="Y72" s="94" t="str">
        <f>HYPERLINK("https://pbs.twimg.com/media/FhcHy7oXEAMenzQ.png")</f>
        <v>https://pbs.twimg.com/media/FhcHy7oXEAMenzQ.png</v>
      </c>
      <c r="Z72" s="91">
        <v>44879.681539351855</v>
      </c>
      <c r="AA72" s="100">
        <v>44879</v>
      </c>
      <c r="AB72" s="97" t="s">
        <v>465</v>
      </c>
      <c r="AC72" s="94" t="str">
        <f>HYPERLINK("https://twitter.com/carlesvillapla1/status/1592190977673936899")</f>
        <v>https://twitter.com/carlesvillapla1/status/1592190977673936899</v>
      </c>
      <c r="AD72" s="66"/>
      <c r="AE72" s="66"/>
      <c r="AF72" s="97" t="s">
        <v>598</v>
      </c>
      <c r="AG72" s="66"/>
      <c r="AH72" s="66" t="b">
        <v>0</v>
      </c>
      <c r="AI72" s="66">
        <v>0</v>
      </c>
      <c r="AJ72" s="97" t="s">
        <v>712</v>
      </c>
      <c r="AK72" s="66" t="b">
        <v>0</v>
      </c>
      <c r="AL72" s="66" t="s">
        <v>714</v>
      </c>
      <c r="AM72" s="66"/>
      <c r="AN72" s="97" t="s">
        <v>712</v>
      </c>
      <c r="AO72" s="66" t="b">
        <v>0</v>
      </c>
      <c r="AP72" s="66">
        <v>5</v>
      </c>
      <c r="AQ72" s="97" t="s">
        <v>665</v>
      </c>
      <c r="AR72" s="97" t="s">
        <v>719</v>
      </c>
      <c r="AS72" s="66" t="b">
        <v>0</v>
      </c>
      <c r="AT72" s="97" t="s">
        <v>665</v>
      </c>
      <c r="AU72" s="66" t="s">
        <v>241</v>
      </c>
      <c r="AV72" s="66">
        <v>0</v>
      </c>
      <c r="AW72" s="66">
        <v>0</v>
      </c>
      <c r="AX72" s="66"/>
      <c r="AY72" s="66"/>
      <c r="AZ72" s="66"/>
      <c r="BA72" s="66"/>
      <c r="BB72" s="66"/>
      <c r="BC72" s="66"/>
      <c r="BD72" s="66"/>
      <c r="BE72" s="66"/>
      <c r="BF72" s="45">
        <v>0</v>
      </c>
      <c r="BG72" s="46">
        <v>0</v>
      </c>
      <c r="BH72" s="45">
        <v>0</v>
      </c>
      <c r="BI72" s="46">
        <v>0</v>
      </c>
      <c r="BJ72" s="45">
        <v>0</v>
      </c>
      <c r="BK72" s="46">
        <v>0</v>
      </c>
      <c r="BL72" s="45">
        <v>5</v>
      </c>
      <c r="BM72" s="46">
        <v>62.5</v>
      </c>
      <c r="BN72" s="45">
        <v>8</v>
      </c>
    </row>
    <row r="73" spans="1:66" ht="15">
      <c r="A73" s="62" t="s">
        <v>295</v>
      </c>
      <c r="B73" s="62" t="s">
        <v>298</v>
      </c>
      <c r="C73" s="64" t="s">
        <v>1504</v>
      </c>
      <c r="D73" s="67">
        <v>3</v>
      </c>
      <c r="E73" s="68" t="s">
        <v>132</v>
      </c>
      <c r="F73" s="69">
        <v>32</v>
      </c>
      <c r="G73" s="64"/>
      <c r="H73" s="70"/>
      <c r="I73" s="71"/>
      <c r="J73" s="71"/>
      <c r="K73" s="31" t="s">
        <v>65</v>
      </c>
      <c r="L73" s="79">
        <v>73</v>
      </c>
      <c r="M73" s="79"/>
      <c r="N73" s="73"/>
      <c r="O73" s="66">
        <v>1</v>
      </c>
      <c r="P73" s="63" t="str">
        <f>REPLACE(INDEX(GroupVertices[Group],MATCH(Edges[[#This Row],[Vertex 1]],GroupVertices[Vertex],0)),1,1,"")</f>
        <v>2</v>
      </c>
      <c r="Q73" s="63" t="str">
        <f>REPLACE(INDEX(GroupVertices[Group],MATCH(Edges[[#This Row],[Vertex 2]],GroupVertices[Vertex],0)),1,1,"")</f>
        <v>2</v>
      </c>
      <c r="R73" s="66" t="s">
        <v>315</v>
      </c>
      <c r="S73" s="91">
        <v>44881.76341435185</v>
      </c>
      <c r="T73" s="66" t="s">
        <v>335</v>
      </c>
      <c r="U73" s="94" t="str">
        <f>HYPERLINK("https://www.levante-emv.com/tendencias21/2022/11/12/cumbre-cientifica-inmortalidad-madrid-78418464.html")</f>
        <v>https://www.levante-emv.com/tendencias21/2022/11/12/cumbre-cientifica-inmortalidad-madrid-78418464.html</v>
      </c>
      <c r="V73" s="66" t="s">
        <v>409</v>
      </c>
      <c r="W73" s="97" t="s">
        <v>431</v>
      </c>
      <c r="X73" s="66"/>
      <c r="Y73" s="94" t="str">
        <f>HYPERLINK("https://pbs.twimg.com/profile_images/1580441662622507014/UdEZtt-t_normal.jpg")</f>
        <v>https://pbs.twimg.com/profile_images/1580441662622507014/UdEZtt-t_normal.jpg</v>
      </c>
      <c r="Z73" s="91">
        <v>44881.76341435185</v>
      </c>
      <c r="AA73" s="100">
        <v>44881</v>
      </c>
      <c r="AB73" s="97" t="s">
        <v>466</v>
      </c>
      <c r="AC73" s="94" t="str">
        <f>HYPERLINK("https://twitter.com/thcbc_nft/status/1592945426847518720")</f>
        <v>https://twitter.com/thcbc_nft/status/1592945426847518720</v>
      </c>
      <c r="AD73" s="66"/>
      <c r="AE73" s="66"/>
      <c r="AF73" s="97" t="s">
        <v>599</v>
      </c>
      <c r="AG73" s="66"/>
      <c r="AH73" s="66" t="b">
        <v>0</v>
      </c>
      <c r="AI73" s="66">
        <v>0</v>
      </c>
      <c r="AJ73" s="97" t="s">
        <v>712</v>
      </c>
      <c r="AK73" s="66" t="b">
        <v>0</v>
      </c>
      <c r="AL73" s="66" t="s">
        <v>715</v>
      </c>
      <c r="AM73" s="66"/>
      <c r="AN73" s="97" t="s">
        <v>712</v>
      </c>
      <c r="AO73" s="66" t="b">
        <v>0</v>
      </c>
      <c r="AP73" s="66">
        <v>2</v>
      </c>
      <c r="AQ73" s="97" t="s">
        <v>669</v>
      </c>
      <c r="AR73" s="97" t="s">
        <v>719</v>
      </c>
      <c r="AS73" s="66" t="b">
        <v>0</v>
      </c>
      <c r="AT73" s="97" t="s">
        <v>669</v>
      </c>
      <c r="AU73" s="66" t="s">
        <v>241</v>
      </c>
      <c r="AV73" s="66">
        <v>0</v>
      </c>
      <c r="AW73" s="66">
        <v>0</v>
      </c>
      <c r="AX73" s="66"/>
      <c r="AY73" s="66"/>
      <c r="AZ73" s="66"/>
      <c r="BA73" s="66"/>
      <c r="BB73" s="66"/>
      <c r="BC73" s="66"/>
      <c r="BD73" s="66"/>
      <c r="BE73" s="66"/>
      <c r="BF73" s="45">
        <v>0</v>
      </c>
      <c r="BG73" s="46">
        <v>0</v>
      </c>
      <c r="BH73" s="45">
        <v>0</v>
      </c>
      <c r="BI73" s="46">
        <v>0</v>
      </c>
      <c r="BJ73" s="45">
        <v>0</v>
      </c>
      <c r="BK73" s="46">
        <v>0</v>
      </c>
      <c r="BL73" s="45">
        <v>18</v>
      </c>
      <c r="BM73" s="46">
        <v>66.66666666666667</v>
      </c>
      <c r="BN73" s="45">
        <v>27</v>
      </c>
    </row>
    <row r="74" spans="1:66" ht="15">
      <c r="A74" s="62" t="s">
        <v>296</v>
      </c>
      <c r="B74" s="62" t="s">
        <v>309</v>
      </c>
      <c r="C74" s="64" t="s">
        <v>1504</v>
      </c>
      <c r="D74" s="67">
        <v>3</v>
      </c>
      <c r="E74" s="68" t="s">
        <v>132</v>
      </c>
      <c r="F74" s="69">
        <v>32</v>
      </c>
      <c r="G74" s="64"/>
      <c r="H74" s="70"/>
      <c r="I74" s="71"/>
      <c r="J74" s="71"/>
      <c r="K74" s="31" t="s">
        <v>65</v>
      </c>
      <c r="L74" s="79">
        <v>74</v>
      </c>
      <c r="M74" s="79"/>
      <c r="N74" s="73"/>
      <c r="O74" s="66">
        <v>1</v>
      </c>
      <c r="P74" s="63" t="str">
        <f>REPLACE(INDEX(GroupVertices[Group],MATCH(Edges[[#This Row],[Vertex 1]],GroupVertices[Vertex],0)),1,1,"")</f>
        <v>3</v>
      </c>
      <c r="Q74" s="63" t="str">
        <f>REPLACE(INDEX(GroupVertices[Group],MATCH(Edges[[#This Row],[Vertex 2]],GroupVertices[Vertex],0)),1,1,"")</f>
        <v>1</v>
      </c>
      <c r="R74" s="66" t="s">
        <v>316</v>
      </c>
      <c r="S74" s="91">
        <v>44877.56275462963</v>
      </c>
      <c r="T74" s="66" t="s">
        <v>321</v>
      </c>
      <c r="U74" s="94" t="str">
        <f>HYPERLINK("https://www.youtube.com/watch?v=xb0JCOgMsXc&amp;feature=youtu.be")</f>
        <v>https://www.youtube.com/watch?v=xb0JCOgMsXc&amp;feature=youtu.be</v>
      </c>
      <c r="V74" s="66" t="s">
        <v>403</v>
      </c>
      <c r="W74" s="97" t="s">
        <v>424</v>
      </c>
      <c r="X74" s="94" t="str">
        <f>HYPERLINK("https://pbs.twimg.com/media/FhW7ZTpXkAAZ4Hh.jpg")</f>
        <v>https://pbs.twimg.com/media/FhW7ZTpXkAAZ4Hh.jpg</v>
      </c>
      <c r="Y74" s="94" t="str">
        <f>HYPERLINK("https://pbs.twimg.com/media/FhW7ZTpXkAAZ4Hh.jpg")</f>
        <v>https://pbs.twimg.com/media/FhW7ZTpXkAAZ4Hh.jpg</v>
      </c>
      <c r="Z74" s="91">
        <v>44877.56275462963</v>
      </c>
      <c r="AA74" s="100">
        <v>44877</v>
      </c>
      <c r="AB74" s="97" t="s">
        <v>467</v>
      </c>
      <c r="AC74" s="94" t="str">
        <f>HYPERLINK("https://twitter.com/adsdulantoscott/status/1591423156446789635")</f>
        <v>https://twitter.com/adsdulantoscott/status/1591423156446789635</v>
      </c>
      <c r="AD74" s="66"/>
      <c r="AE74" s="66"/>
      <c r="AF74" s="97" t="s">
        <v>600</v>
      </c>
      <c r="AG74" s="66"/>
      <c r="AH74" s="66" t="b">
        <v>0</v>
      </c>
      <c r="AI74" s="66">
        <v>0</v>
      </c>
      <c r="AJ74" s="97" t="s">
        <v>712</v>
      </c>
      <c r="AK74" s="66" t="b">
        <v>0</v>
      </c>
      <c r="AL74" s="66" t="s">
        <v>715</v>
      </c>
      <c r="AM74" s="66"/>
      <c r="AN74" s="97" t="s">
        <v>712</v>
      </c>
      <c r="AO74" s="66" t="b">
        <v>0</v>
      </c>
      <c r="AP74" s="66">
        <v>5</v>
      </c>
      <c r="AQ74" s="97" t="s">
        <v>601</v>
      </c>
      <c r="AR74" s="97" t="s">
        <v>718</v>
      </c>
      <c r="AS74" s="66" t="b">
        <v>0</v>
      </c>
      <c r="AT74" s="97" t="s">
        <v>601</v>
      </c>
      <c r="AU74" s="66" t="s">
        <v>241</v>
      </c>
      <c r="AV74" s="66">
        <v>0</v>
      </c>
      <c r="AW74" s="66">
        <v>0</v>
      </c>
      <c r="AX74" s="66"/>
      <c r="AY74" s="66"/>
      <c r="AZ74" s="66"/>
      <c r="BA74" s="66"/>
      <c r="BB74" s="66"/>
      <c r="BC74" s="66"/>
      <c r="BD74" s="66"/>
      <c r="BE74" s="66"/>
      <c r="BF74" s="45"/>
      <c r="BG74" s="46"/>
      <c r="BH74" s="45"/>
      <c r="BI74" s="46"/>
      <c r="BJ74" s="45"/>
      <c r="BK74" s="46"/>
      <c r="BL74" s="45"/>
      <c r="BM74" s="46"/>
      <c r="BN74" s="45"/>
    </row>
    <row r="75" spans="1:66" ht="15">
      <c r="A75" s="62" t="s">
        <v>297</v>
      </c>
      <c r="B75" s="62" t="s">
        <v>309</v>
      </c>
      <c r="C75" s="64" t="s">
        <v>1504</v>
      </c>
      <c r="D75" s="67">
        <v>3</v>
      </c>
      <c r="E75" s="68" t="s">
        <v>132</v>
      </c>
      <c r="F75" s="69">
        <v>32</v>
      </c>
      <c r="G75" s="64"/>
      <c r="H75" s="70"/>
      <c r="I75" s="71"/>
      <c r="J75" s="71"/>
      <c r="K75" s="31" t="s">
        <v>65</v>
      </c>
      <c r="L75" s="79">
        <v>75</v>
      </c>
      <c r="M75" s="79"/>
      <c r="N75" s="73"/>
      <c r="O75" s="66">
        <v>1</v>
      </c>
      <c r="P75" s="63" t="str">
        <f>REPLACE(INDEX(GroupVertices[Group],MATCH(Edges[[#This Row],[Vertex 1]],GroupVertices[Vertex],0)),1,1,"")</f>
        <v>1</v>
      </c>
      <c r="Q75" s="63" t="str">
        <f>REPLACE(INDEX(GroupVertices[Group],MATCH(Edges[[#This Row],[Vertex 2]],GroupVertices[Vertex],0)),1,1,"")</f>
        <v>1</v>
      </c>
      <c r="R75" s="66" t="s">
        <v>317</v>
      </c>
      <c r="S75" s="91">
        <v>44877.52521990741</v>
      </c>
      <c r="T75" s="66" t="s">
        <v>321</v>
      </c>
      <c r="U75" s="94" t="str">
        <f>HYPERLINK("https://www.youtube.com/watch?v=xb0JCOgMsXc&amp;feature=youtu.be")</f>
        <v>https://www.youtube.com/watch?v=xb0JCOgMsXc&amp;feature=youtu.be</v>
      </c>
      <c r="V75" s="66" t="s">
        <v>403</v>
      </c>
      <c r="W75" s="97" t="s">
        <v>424</v>
      </c>
      <c r="X75" s="94" t="str">
        <f>HYPERLINK("https://pbs.twimg.com/media/FhW7ZTpXkAAZ4Hh.jpg")</f>
        <v>https://pbs.twimg.com/media/FhW7ZTpXkAAZ4Hh.jpg</v>
      </c>
      <c r="Y75" s="94" t="str">
        <f>HYPERLINK("https://pbs.twimg.com/media/FhW7ZTpXkAAZ4Hh.jpg")</f>
        <v>https://pbs.twimg.com/media/FhW7ZTpXkAAZ4Hh.jpg</v>
      </c>
      <c r="Z75" s="91">
        <v>44877.52521990741</v>
      </c>
      <c r="AA75" s="100">
        <v>44877</v>
      </c>
      <c r="AB75" s="97" t="s">
        <v>468</v>
      </c>
      <c r="AC75" s="94" t="str">
        <f>HYPERLINK("https://twitter.com/hashtagmarketi7/status/1591409554893725697")</f>
        <v>https://twitter.com/hashtagmarketi7/status/1591409554893725697</v>
      </c>
      <c r="AD75" s="66"/>
      <c r="AE75" s="66"/>
      <c r="AF75" s="97" t="s">
        <v>601</v>
      </c>
      <c r="AG75" s="66"/>
      <c r="AH75" s="66" t="b">
        <v>0</v>
      </c>
      <c r="AI75" s="66">
        <v>6</v>
      </c>
      <c r="AJ75" s="97" t="s">
        <v>712</v>
      </c>
      <c r="AK75" s="66" t="b">
        <v>0</v>
      </c>
      <c r="AL75" s="66" t="s">
        <v>715</v>
      </c>
      <c r="AM75" s="66"/>
      <c r="AN75" s="97" t="s">
        <v>712</v>
      </c>
      <c r="AO75" s="66" t="b">
        <v>0</v>
      </c>
      <c r="AP75" s="66">
        <v>5</v>
      </c>
      <c r="AQ75" s="97" t="s">
        <v>712</v>
      </c>
      <c r="AR75" s="97" t="s">
        <v>717</v>
      </c>
      <c r="AS75" s="66" t="b">
        <v>0</v>
      </c>
      <c r="AT75" s="97" t="s">
        <v>601</v>
      </c>
      <c r="AU75" s="66" t="s">
        <v>241</v>
      </c>
      <c r="AV75" s="66">
        <v>0</v>
      </c>
      <c r="AW75" s="66">
        <v>0</v>
      </c>
      <c r="AX75" s="66"/>
      <c r="AY75" s="66"/>
      <c r="AZ75" s="66"/>
      <c r="BA75" s="66"/>
      <c r="BB75" s="66"/>
      <c r="BC75" s="66"/>
      <c r="BD75" s="66"/>
      <c r="BE75" s="66"/>
      <c r="BF75" s="45"/>
      <c r="BG75" s="46"/>
      <c r="BH75" s="45"/>
      <c r="BI75" s="46"/>
      <c r="BJ75" s="45"/>
      <c r="BK75" s="46"/>
      <c r="BL75" s="45"/>
      <c r="BM75" s="46"/>
      <c r="BN75" s="45"/>
    </row>
    <row r="76" spans="1:66" ht="15">
      <c r="A76" s="62" t="s">
        <v>298</v>
      </c>
      <c r="B76" s="62" t="s">
        <v>309</v>
      </c>
      <c r="C76" s="64" t="s">
        <v>1504</v>
      </c>
      <c r="D76" s="67">
        <v>3</v>
      </c>
      <c r="E76" s="68" t="s">
        <v>132</v>
      </c>
      <c r="F76" s="69">
        <v>32</v>
      </c>
      <c r="G76" s="64"/>
      <c r="H76" s="70"/>
      <c r="I76" s="71"/>
      <c r="J76" s="71"/>
      <c r="K76" s="31" t="s">
        <v>65</v>
      </c>
      <c r="L76" s="79">
        <v>76</v>
      </c>
      <c r="M76" s="79"/>
      <c r="N76" s="73"/>
      <c r="O76" s="66">
        <v>1</v>
      </c>
      <c r="P76" s="63" t="str">
        <f>REPLACE(INDEX(GroupVertices[Group],MATCH(Edges[[#This Row],[Vertex 1]],GroupVertices[Vertex],0)),1,1,"")</f>
        <v>2</v>
      </c>
      <c r="Q76" s="63" t="str">
        <f>REPLACE(INDEX(GroupVertices[Group],MATCH(Edges[[#This Row],[Vertex 2]],GroupVertices[Vertex],0)),1,1,"")</f>
        <v>1</v>
      </c>
      <c r="R76" s="66" t="s">
        <v>316</v>
      </c>
      <c r="S76" s="91">
        <v>44877.526192129626</v>
      </c>
      <c r="T76" s="66" t="s">
        <v>321</v>
      </c>
      <c r="U76" s="94" t="str">
        <f>HYPERLINK("https://www.youtube.com/watch?v=xb0JCOgMsXc&amp;feature=youtu.be")</f>
        <v>https://www.youtube.com/watch?v=xb0JCOgMsXc&amp;feature=youtu.be</v>
      </c>
      <c r="V76" s="66" t="s">
        <v>403</v>
      </c>
      <c r="W76" s="97" t="s">
        <v>424</v>
      </c>
      <c r="X76" s="94" t="str">
        <f>HYPERLINK("https://pbs.twimg.com/media/FhW7ZTpXkAAZ4Hh.jpg")</f>
        <v>https://pbs.twimg.com/media/FhW7ZTpXkAAZ4Hh.jpg</v>
      </c>
      <c r="Y76" s="94" t="str">
        <f>HYPERLINK("https://pbs.twimg.com/media/FhW7ZTpXkAAZ4Hh.jpg")</f>
        <v>https://pbs.twimg.com/media/FhW7ZTpXkAAZ4Hh.jpg</v>
      </c>
      <c r="Z76" s="91">
        <v>44877.526192129626</v>
      </c>
      <c r="AA76" s="100">
        <v>44877</v>
      </c>
      <c r="AB76" s="97" t="s">
        <v>469</v>
      </c>
      <c r="AC76" s="94" t="str">
        <f>HYPERLINK("https://twitter.com/transvisionmad1/status/1591409908440002562")</f>
        <v>https://twitter.com/transvisionmad1/status/1591409908440002562</v>
      </c>
      <c r="AD76" s="66"/>
      <c r="AE76" s="66"/>
      <c r="AF76" s="97" t="s">
        <v>602</v>
      </c>
      <c r="AG76" s="66"/>
      <c r="AH76" s="66" t="b">
        <v>0</v>
      </c>
      <c r="AI76" s="66">
        <v>0</v>
      </c>
      <c r="AJ76" s="97" t="s">
        <v>712</v>
      </c>
      <c r="AK76" s="66" t="b">
        <v>0</v>
      </c>
      <c r="AL76" s="66" t="s">
        <v>715</v>
      </c>
      <c r="AM76" s="66"/>
      <c r="AN76" s="97" t="s">
        <v>712</v>
      </c>
      <c r="AO76" s="66" t="b">
        <v>0</v>
      </c>
      <c r="AP76" s="66">
        <v>5</v>
      </c>
      <c r="AQ76" s="97" t="s">
        <v>601</v>
      </c>
      <c r="AR76" s="97" t="s">
        <v>717</v>
      </c>
      <c r="AS76" s="66" t="b">
        <v>0</v>
      </c>
      <c r="AT76" s="97" t="s">
        <v>601</v>
      </c>
      <c r="AU76" s="66" t="s">
        <v>241</v>
      </c>
      <c r="AV76" s="66">
        <v>0</v>
      </c>
      <c r="AW76" s="66">
        <v>0</v>
      </c>
      <c r="AX76" s="66"/>
      <c r="AY76" s="66"/>
      <c r="AZ76" s="66"/>
      <c r="BA76" s="66"/>
      <c r="BB76" s="66"/>
      <c r="BC76" s="66"/>
      <c r="BD76" s="66"/>
      <c r="BE76" s="66"/>
      <c r="BF76" s="45"/>
      <c r="BG76" s="46"/>
      <c r="BH76" s="45"/>
      <c r="BI76" s="46"/>
      <c r="BJ76" s="45"/>
      <c r="BK76" s="46"/>
      <c r="BL76" s="45"/>
      <c r="BM76" s="46"/>
      <c r="BN76" s="45"/>
    </row>
    <row r="77" spans="1:66" ht="15">
      <c r="A77" s="62" t="s">
        <v>296</v>
      </c>
      <c r="B77" s="62" t="s">
        <v>299</v>
      </c>
      <c r="C77" s="64" t="s">
        <v>1504</v>
      </c>
      <c r="D77" s="67">
        <v>3</v>
      </c>
      <c r="E77" s="68" t="s">
        <v>132</v>
      </c>
      <c r="F77" s="69">
        <v>32</v>
      </c>
      <c r="G77" s="64"/>
      <c r="H77" s="70"/>
      <c r="I77" s="71"/>
      <c r="J77" s="71"/>
      <c r="K77" s="31" t="s">
        <v>65</v>
      </c>
      <c r="L77" s="79">
        <v>77</v>
      </c>
      <c r="M77" s="79"/>
      <c r="N77" s="73"/>
      <c r="O77" s="66">
        <v>1</v>
      </c>
      <c r="P77" s="63" t="str">
        <f>REPLACE(INDEX(GroupVertices[Group],MATCH(Edges[[#This Row],[Vertex 1]],GroupVertices[Vertex],0)),1,1,"")</f>
        <v>3</v>
      </c>
      <c r="Q77" s="63" t="str">
        <f>REPLACE(INDEX(GroupVertices[Group],MATCH(Edges[[#This Row],[Vertex 2]],GroupVertices[Vertex],0)),1,1,"")</f>
        <v>1</v>
      </c>
      <c r="R77" s="66" t="s">
        <v>316</v>
      </c>
      <c r="S77" s="91">
        <v>44877.56275462963</v>
      </c>
      <c r="T77" s="66" t="s">
        <v>321</v>
      </c>
      <c r="U77" s="94" t="str">
        <f>HYPERLINK("https://www.youtube.com/watch?v=xb0JCOgMsXc&amp;feature=youtu.be")</f>
        <v>https://www.youtube.com/watch?v=xb0JCOgMsXc&amp;feature=youtu.be</v>
      </c>
      <c r="V77" s="66" t="s">
        <v>403</v>
      </c>
      <c r="W77" s="97" t="s">
        <v>424</v>
      </c>
      <c r="X77" s="94" t="str">
        <f>HYPERLINK("https://pbs.twimg.com/media/FhW7ZTpXkAAZ4Hh.jpg")</f>
        <v>https://pbs.twimg.com/media/FhW7ZTpXkAAZ4Hh.jpg</v>
      </c>
      <c r="Y77" s="94" t="str">
        <f>HYPERLINK("https://pbs.twimg.com/media/FhW7ZTpXkAAZ4Hh.jpg")</f>
        <v>https://pbs.twimg.com/media/FhW7ZTpXkAAZ4Hh.jpg</v>
      </c>
      <c r="Z77" s="91">
        <v>44877.56275462963</v>
      </c>
      <c r="AA77" s="100">
        <v>44877</v>
      </c>
      <c r="AB77" s="97" t="s">
        <v>467</v>
      </c>
      <c r="AC77" s="94" t="str">
        <f>HYPERLINK("https://twitter.com/adsdulantoscott/status/1591423156446789635")</f>
        <v>https://twitter.com/adsdulantoscott/status/1591423156446789635</v>
      </c>
      <c r="AD77" s="66"/>
      <c r="AE77" s="66"/>
      <c r="AF77" s="97" t="s">
        <v>600</v>
      </c>
      <c r="AG77" s="66"/>
      <c r="AH77" s="66" t="b">
        <v>0</v>
      </c>
      <c r="AI77" s="66">
        <v>0</v>
      </c>
      <c r="AJ77" s="97" t="s">
        <v>712</v>
      </c>
      <c r="AK77" s="66" t="b">
        <v>0</v>
      </c>
      <c r="AL77" s="66" t="s">
        <v>715</v>
      </c>
      <c r="AM77" s="66"/>
      <c r="AN77" s="97" t="s">
        <v>712</v>
      </c>
      <c r="AO77" s="66" t="b">
        <v>0</v>
      </c>
      <c r="AP77" s="66">
        <v>5</v>
      </c>
      <c r="AQ77" s="97" t="s">
        <v>601</v>
      </c>
      <c r="AR77" s="97" t="s">
        <v>718</v>
      </c>
      <c r="AS77" s="66" t="b">
        <v>0</v>
      </c>
      <c r="AT77" s="97" t="s">
        <v>601</v>
      </c>
      <c r="AU77" s="66" t="s">
        <v>241</v>
      </c>
      <c r="AV77" s="66">
        <v>0</v>
      </c>
      <c r="AW77" s="66">
        <v>0</v>
      </c>
      <c r="AX77" s="66"/>
      <c r="AY77" s="66"/>
      <c r="AZ77" s="66"/>
      <c r="BA77" s="66"/>
      <c r="BB77" s="66"/>
      <c r="BC77" s="66"/>
      <c r="BD77" s="66"/>
      <c r="BE77" s="66"/>
      <c r="BF77" s="45"/>
      <c r="BG77" s="46"/>
      <c r="BH77" s="45"/>
      <c r="BI77" s="46"/>
      <c r="BJ77" s="45"/>
      <c r="BK77" s="46"/>
      <c r="BL77" s="45"/>
      <c r="BM77" s="46"/>
      <c r="BN77" s="45"/>
    </row>
    <row r="78" spans="1:66" ht="15">
      <c r="A78" s="62" t="s">
        <v>297</v>
      </c>
      <c r="B78" s="62" t="s">
        <v>299</v>
      </c>
      <c r="C78" s="64" t="s">
        <v>1504</v>
      </c>
      <c r="D78" s="67">
        <v>3</v>
      </c>
      <c r="E78" s="68" t="s">
        <v>132</v>
      </c>
      <c r="F78" s="69">
        <v>32</v>
      </c>
      <c r="G78" s="64"/>
      <c r="H78" s="70"/>
      <c r="I78" s="71"/>
      <c r="J78" s="71"/>
      <c r="K78" s="31" t="s">
        <v>65</v>
      </c>
      <c r="L78" s="79">
        <v>78</v>
      </c>
      <c r="M78" s="79"/>
      <c r="N78" s="73"/>
      <c r="O78" s="66">
        <v>1</v>
      </c>
      <c r="P78" s="63" t="str">
        <f>REPLACE(INDEX(GroupVertices[Group],MATCH(Edges[[#This Row],[Vertex 1]],GroupVertices[Vertex],0)),1,1,"")</f>
        <v>1</v>
      </c>
      <c r="Q78" s="63" t="str">
        <f>REPLACE(INDEX(GroupVertices[Group],MATCH(Edges[[#This Row],[Vertex 2]],GroupVertices[Vertex],0)),1,1,"")</f>
        <v>1</v>
      </c>
      <c r="R78" s="66" t="s">
        <v>317</v>
      </c>
      <c r="S78" s="91">
        <v>44877.52521990741</v>
      </c>
      <c r="T78" s="66" t="s">
        <v>321</v>
      </c>
      <c r="U78" s="94" t="str">
        <f>HYPERLINK("https://www.youtube.com/watch?v=xb0JCOgMsXc&amp;feature=youtu.be")</f>
        <v>https://www.youtube.com/watch?v=xb0JCOgMsXc&amp;feature=youtu.be</v>
      </c>
      <c r="V78" s="66" t="s">
        <v>403</v>
      </c>
      <c r="W78" s="97" t="s">
        <v>424</v>
      </c>
      <c r="X78" s="94" t="str">
        <f>HYPERLINK("https://pbs.twimg.com/media/FhW7ZTpXkAAZ4Hh.jpg")</f>
        <v>https://pbs.twimg.com/media/FhW7ZTpXkAAZ4Hh.jpg</v>
      </c>
      <c r="Y78" s="94" t="str">
        <f>HYPERLINK("https://pbs.twimg.com/media/FhW7ZTpXkAAZ4Hh.jpg")</f>
        <v>https://pbs.twimg.com/media/FhW7ZTpXkAAZ4Hh.jpg</v>
      </c>
      <c r="Z78" s="91">
        <v>44877.52521990741</v>
      </c>
      <c r="AA78" s="100">
        <v>44877</v>
      </c>
      <c r="AB78" s="97" t="s">
        <v>468</v>
      </c>
      <c r="AC78" s="94" t="str">
        <f>HYPERLINK("https://twitter.com/hashtagmarketi7/status/1591409554893725697")</f>
        <v>https://twitter.com/hashtagmarketi7/status/1591409554893725697</v>
      </c>
      <c r="AD78" s="66"/>
      <c r="AE78" s="66"/>
      <c r="AF78" s="97" t="s">
        <v>601</v>
      </c>
      <c r="AG78" s="66"/>
      <c r="AH78" s="66" t="b">
        <v>0</v>
      </c>
      <c r="AI78" s="66">
        <v>6</v>
      </c>
      <c r="AJ78" s="97" t="s">
        <v>712</v>
      </c>
      <c r="AK78" s="66" t="b">
        <v>0</v>
      </c>
      <c r="AL78" s="66" t="s">
        <v>715</v>
      </c>
      <c r="AM78" s="66"/>
      <c r="AN78" s="97" t="s">
        <v>712</v>
      </c>
      <c r="AO78" s="66" t="b">
        <v>0</v>
      </c>
      <c r="AP78" s="66">
        <v>5</v>
      </c>
      <c r="AQ78" s="97" t="s">
        <v>712</v>
      </c>
      <c r="AR78" s="97" t="s">
        <v>717</v>
      </c>
      <c r="AS78" s="66" t="b">
        <v>0</v>
      </c>
      <c r="AT78" s="97" t="s">
        <v>601</v>
      </c>
      <c r="AU78" s="66" t="s">
        <v>241</v>
      </c>
      <c r="AV78" s="66">
        <v>0</v>
      </c>
      <c r="AW78" s="66">
        <v>0</v>
      </c>
      <c r="AX78" s="66"/>
      <c r="AY78" s="66"/>
      <c r="AZ78" s="66"/>
      <c r="BA78" s="66"/>
      <c r="BB78" s="66"/>
      <c r="BC78" s="66"/>
      <c r="BD78" s="66"/>
      <c r="BE78" s="66"/>
      <c r="BF78" s="45"/>
      <c r="BG78" s="46"/>
      <c r="BH78" s="45"/>
      <c r="BI78" s="46"/>
      <c r="BJ78" s="45"/>
      <c r="BK78" s="46"/>
      <c r="BL78" s="45"/>
      <c r="BM78" s="46"/>
      <c r="BN78" s="45"/>
    </row>
    <row r="79" spans="1:66" ht="15">
      <c r="A79" s="62" t="s">
        <v>299</v>
      </c>
      <c r="B79" s="62" t="s">
        <v>304</v>
      </c>
      <c r="C79" s="64" t="s">
        <v>1504</v>
      </c>
      <c r="D79" s="67">
        <v>3</v>
      </c>
      <c r="E79" s="68" t="s">
        <v>132</v>
      </c>
      <c r="F79" s="69">
        <v>32</v>
      </c>
      <c r="G79" s="64"/>
      <c r="H79" s="70"/>
      <c r="I79" s="71"/>
      <c r="J79" s="71"/>
      <c r="K79" s="31" t="s">
        <v>65</v>
      </c>
      <c r="L79" s="79">
        <v>79</v>
      </c>
      <c r="M79" s="79"/>
      <c r="N79" s="73"/>
      <c r="O79" s="66">
        <v>1</v>
      </c>
      <c r="P79" s="63" t="str">
        <f>REPLACE(INDEX(GroupVertices[Group],MATCH(Edges[[#This Row],[Vertex 1]],GroupVertices[Vertex],0)),1,1,"")</f>
        <v>1</v>
      </c>
      <c r="Q79" s="63" t="str">
        <f>REPLACE(INDEX(GroupVertices[Group],MATCH(Edges[[#This Row],[Vertex 2]],GroupVertices[Vertex],0)),1,1,"")</f>
        <v>5</v>
      </c>
      <c r="R79" s="66" t="s">
        <v>315</v>
      </c>
      <c r="S79" s="91">
        <v>44879.80662037037</v>
      </c>
      <c r="T79" s="66" t="s">
        <v>336</v>
      </c>
      <c r="U79" s="66"/>
      <c r="V79" s="66"/>
      <c r="W79" s="97" t="s">
        <v>421</v>
      </c>
      <c r="X79" s="94" t="str">
        <f>HYPERLINK("https://pbs.twimg.com/media/FhX_xegXoAIf7pk.jpg")</f>
        <v>https://pbs.twimg.com/media/FhX_xegXoAIf7pk.jpg</v>
      </c>
      <c r="Y79" s="94" t="str">
        <f>HYPERLINK("https://pbs.twimg.com/media/FhX_xegXoAIf7pk.jpg")</f>
        <v>https://pbs.twimg.com/media/FhX_xegXoAIf7pk.jpg</v>
      </c>
      <c r="Z79" s="91">
        <v>44879.80662037037</v>
      </c>
      <c r="AA79" s="100">
        <v>44879</v>
      </c>
      <c r="AB79" s="97" t="s">
        <v>470</v>
      </c>
      <c r="AC79" s="94" t="str">
        <f>HYPERLINK("https://twitter.com/humanityplus/status/1592236305534042112")</f>
        <v>https://twitter.com/humanityplus/status/1592236305534042112</v>
      </c>
      <c r="AD79" s="66"/>
      <c r="AE79" s="66"/>
      <c r="AF79" s="97" t="s">
        <v>603</v>
      </c>
      <c r="AG79" s="66"/>
      <c r="AH79" s="66" t="b">
        <v>0</v>
      </c>
      <c r="AI79" s="66">
        <v>0</v>
      </c>
      <c r="AJ79" s="97" t="s">
        <v>712</v>
      </c>
      <c r="AK79" s="66" t="b">
        <v>0</v>
      </c>
      <c r="AL79" s="66" t="s">
        <v>714</v>
      </c>
      <c r="AM79" s="66"/>
      <c r="AN79" s="97" t="s">
        <v>712</v>
      </c>
      <c r="AO79" s="66" t="b">
        <v>0</v>
      </c>
      <c r="AP79" s="66">
        <v>4</v>
      </c>
      <c r="AQ79" s="97" t="s">
        <v>639</v>
      </c>
      <c r="AR79" s="97" t="s">
        <v>717</v>
      </c>
      <c r="AS79" s="66" t="b">
        <v>0</v>
      </c>
      <c r="AT79" s="97" t="s">
        <v>639</v>
      </c>
      <c r="AU79" s="66" t="s">
        <v>241</v>
      </c>
      <c r="AV79" s="66">
        <v>0</v>
      </c>
      <c r="AW79" s="66">
        <v>0</v>
      </c>
      <c r="AX79" s="66"/>
      <c r="AY79" s="66"/>
      <c r="AZ79" s="66"/>
      <c r="BA79" s="66"/>
      <c r="BB79" s="66"/>
      <c r="BC79" s="66"/>
      <c r="BD79" s="66"/>
      <c r="BE79" s="66"/>
      <c r="BF79" s="45">
        <v>1</v>
      </c>
      <c r="BG79" s="46">
        <v>7.6923076923076925</v>
      </c>
      <c r="BH79" s="45">
        <v>0</v>
      </c>
      <c r="BI79" s="46">
        <v>0</v>
      </c>
      <c r="BJ79" s="45">
        <v>0</v>
      </c>
      <c r="BK79" s="46">
        <v>0</v>
      </c>
      <c r="BL79" s="45">
        <v>7</v>
      </c>
      <c r="BM79" s="46">
        <v>53.84615384615385</v>
      </c>
      <c r="BN79" s="45">
        <v>13</v>
      </c>
    </row>
    <row r="80" spans="1:66" ht="15">
      <c r="A80" s="62" t="s">
        <v>298</v>
      </c>
      <c r="B80" s="62" t="s">
        <v>299</v>
      </c>
      <c r="C80" s="64" t="s">
        <v>1504</v>
      </c>
      <c r="D80" s="67">
        <v>3</v>
      </c>
      <c r="E80" s="68" t="s">
        <v>132</v>
      </c>
      <c r="F80" s="69">
        <v>32</v>
      </c>
      <c r="G80" s="64"/>
      <c r="H80" s="70"/>
      <c r="I80" s="71"/>
      <c r="J80" s="71"/>
      <c r="K80" s="31" t="s">
        <v>65</v>
      </c>
      <c r="L80" s="79">
        <v>80</v>
      </c>
      <c r="M80" s="79"/>
      <c r="N80" s="73"/>
      <c r="O80" s="66">
        <v>1</v>
      </c>
      <c r="P80" s="63" t="str">
        <f>REPLACE(INDEX(GroupVertices[Group],MATCH(Edges[[#This Row],[Vertex 1]],GroupVertices[Vertex],0)),1,1,"")</f>
        <v>2</v>
      </c>
      <c r="Q80" s="63" t="str">
        <f>REPLACE(INDEX(GroupVertices[Group],MATCH(Edges[[#This Row],[Vertex 2]],GroupVertices[Vertex],0)),1,1,"")</f>
        <v>1</v>
      </c>
      <c r="R80" s="66" t="s">
        <v>316</v>
      </c>
      <c r="S80" s="91">
        <v>44877.526192129626</v>
      </c>
      <c r="T80" s="66" t="s">
        <v>321</v>
      </c>
      <c r="U80" s="94" t="str">
        <f>HYPERLINK("https://www.youtube.com/watch?v=xb0JCOgMsXc&amp;feature=youtu.be")</f>
        <v>https://www.youtube.com/watch?v=xb0JCOgMsXc&amp;feature=youtu.be</v>
      </c>
      <c r="V80" s="66" t="s">
        <v>403</v>
      </c>
      <c r="W80" s="97" t="s">
        <v>424</v>
      </c>
      <c r="X80" s="94" t="str">
        <f>HYPERLINK("https://pbs.twimg.com/media/FhW7ZTpXkAAZ4Hh.jpg")</f>
        <v>https://pbs.twimg.com/media/FhW7ZTpXkAAZ4Hh.jpg</v>
      </c>
      <c r="Y80" s="94" t="str">
        <f>HYPERLINK("https://pbs.twimg.com/media/FhW7ZTpXkAAZ4Hh.jpg")</f>
        <v>https://pbs.twimg.com/media/FhW7ZTpXkAAZ4Hh.jpg</v>
      </c>
      <c r="Z80" s="91">
        <v>44877.526192129626</v>
      </c>
      <c r="AA80" s="100">
        <v>44877</v>
      </c>
      <c r="AB80" s="97" t="s">
        <v>469</v>
      </c>
      <c r="AC80" s="94" t="str">
        <f>HYPERLINK("https://twitter.com/transvisionmad1/status/1591409908440002562")</f>
        <v>https://twitter.com/transvisionmad1/status/1591409908440002562</v>
      </c>
      <c r="AD80" s="66"/>
      <c r="AE80" s="66"/>
      <c r="AF80" s="97" t="s">
        <v>602</v>
      </c>
      <c r="AG80" s="66"/>
      <c r="AH80" s="66" t="b">
        <v>0</v>
      </c>
      <c r="AI80" s="66">
        <v>0</v>
      </c>
      <c r="AJ80" s="97" t="s">
        <v>712</v>
      </c>
      <c r="AK80" s="66" t="b">
        <v>0</v>
      </c>
      <c r="AL80" s="66" t="s">
        <v>715</v>
      </c>
      <c r="AM80" s="66"/>
      <c r="AN80" s="97" t="s">
        <v>712</v>
      </c>
      <c r="AO80" s="66" t="b">
        <v>0</v>
      </c>
      <c r="AP80" s="66">
        <v>5</v>
      </c>
      <c r="AQ80" s="97" t="s">
        <v>601</v>
      </c>
      <c r="AR80" s="97" t="s">
        <v>717</v>
      </c>
      <c r="AS80" s="66" t="b">
        <v>0</v>
      </c>
      <c r="AT80" s="97" t="s">
        <v>601</v>
      </c>
      <c r="AU80" s="66" t="s">
        <v>241</v>
      </c>
      <c r="AV80" s="66">
        <v>0</v>
      </c>
      <c r="AW80" s="66">
        <v>0</v>
      </c>
      <c r="AX80" s="66"/>
      <c r="AY80" s="66"/>
      <c r="AZ80" s="66"/>
      <c r="BA80" s="66"/>
      <c r="BB80" s="66"/>
      <c r="BC80" s="66"/>
      <c r="BD80" s="66"/>
      <c r="BE80" s="66"/>
      <c r="BF80" s="45"/>
      <c r="BG80" s="46"/>
      <c r="BH80" s="45"/>
      <c r="BI80" s="46"/>
      <c r="BJ80" s="45"/>
      <c r="BK80" s="46"/>
      <c r="BL80" s="45"/>
      <c r="BM80" s="46"/>
      <c r="BN80" s="45"/>
    </row>
    <row r="81" spans="1:66" ht="15">
      <c r="A81" s="62" t="s">
        <v>300</v>
      </c>
      <c r="B81" s="62" t="s">
        <v>301</v>
      </c>
      <c r="C81" s="64" t="s">
        <v>1504</v>
      </c>
      <c r="D81" s="67">
        <v>3</v>
      </c>
      <c r="E81" s="68" t="s">
        <v>132</v>
      </c>
      <c r="F81" s="69">
        <v>32</v>
      </c>
      <c r="G81" s="64"/>
      <c r="H81" s="70"/>
      <c r="I81" s="71"/>
      <c r="J81" s="71"/>
      <c r="K81" s="31" t="s">
        <v>66</v>
      </c>
      <c r="L81" s="79">
        <v>81</v>
      </c>
      <c r="M81" s="79"/>
      <c r="N81" s="73"/>
      <c r="O81" s="66">
        <v>1</v>
      </c>
      <c r="P81" s="63" t="str">
        <f>REPLACE(INDEX(GroupVertices[Group],MATCH(Edges[[#This Row],[Vertex 1]],GroupVertices[Vertex],0)),1,1,"")</f>
        <v>3</v>
      </c>
      <c r="Q81" s="63" t="str">
        <f>REPLACE(INDEX(GroupVertices[Group],MATCH(Edges[[#This Row],[Vertex 2]],GroupVertices[Vertex],0)),1,1,"")</f>
        <v>3</v>
      </c>
      <c r="R81" s="66" t="s">
        <v>316</v>
      </c>
      <c r="S81" s="91">
        <v>44877.94027777778</v>
      </c>
      <c r="T81" s="66" t="s">
        <v>320</v>
      </c>
      <c r="U81" s="94" t="str">
        <f>HYPERLINK("https://www.youtube.com/watch?v=xb0JCOgMsXc&amp;feature=youtu.be")</f>
        <v>https://www.youtube.com/watch?v=xb0JCOgMsXc&amp;feature=youtu.be</v>
      </c>
      <c r="V81" s="66" t="s">
        <v>403</v>
      </c>
      <c r="W81" s="97" t="s">
        <v>423</v>
      </c>
      <c r="X81" s="94" t="str">
        <f>HYPERLINK("https://pbs.twimg.com/media/FhWu7YzX0AEJMfI.png")</f>
        <v>https://pbs.twimg.com/media/FhWu7YzX0AEJMfI.png</v>
      </c>
      <c r="Y81" s="94" t="str">
        <f>HYPERLINK("https://pbs.twimg.com/media/FhWu7YzX0AEJMfI.png")</f>
        <v>https://pbs.twimg.com/media/FhWu7YzX0AEJMfI.png</v>
      </c>
      <c r="Z81" s="91">
        <v>44877.94027777778</v>
      </c>
      <c r="AA81" s="100">
        <v>44877</v>
      </c>
      <c r="AB81" s="97" t="s">
        <v>471</v>
      </c>
      <c r="AC81" s="94" t="str">
        <f>HYPERLINK("https://twitter.com/javiercremades/status/1591559965898330113")</f>
        <v>https://twitter.com/javiercremades/status/1591559965898330113</v>
      </c>
      <c r="AD81" s="66"/>
      <c r="AE81" s="66"/>
      <c r="AF81" s="97" t="s">
        <v>604</v>
      </c>
      <c r="AG81" s="66"/>
      <c r="AH81" s="66" t="b">
        <v>0</v>
      </c>
      <c r="AI81" s="66">
        <v>0</v>
      </c>
      <c r="AJ81" s="97" t="s">
        <v>712</v>
      </c>
      <c r="AK81" s="66" t="b">
        <v>0</v>
      </c>
      <c r="AL81" s="66" t="s">
        <v>715</v>
      </c>
      <c r="AM81" s="66"/>
      <c r="AN81" s="97" t="s">
        <v>712</v>
      </c>
      <c r="AO81" s="66" t="b">
        <v>0</v>
      </c>
      <c r="AP81" s="66">
        <v>5</v>
      </c>
      <c r="AQ81" s="97" t="s">
        <v>613</v>
      </c>
      <c r="AR81" s="97" t="s">
        <v>718</v>
      </c>
      <c r="AS81" s="66" t="b">
        <v>0</v>
      </c>
      <c r="AT81" s="97" t="s">
        <v>613</v>
      </c>
      <c r="AU81" s="66" t="s">
        <v>241</v>
      </c>
      <c r="AV81" s="66">
        <v>0</v>
      </c>
      <c r="AW81" s="66">
        <v>0</v>
      </c>
      <c r="AX81" s="66"/>
      <c r="AY81" s="66"/>
      <c r="AZ81" s="66"/>
      <c r="BA81" s="66"/>
      <c r="BB81" s="66"/>
      <c r="BC81" s="66"/>
      <c r="BD81" s="66"/>
      <c r="BE81" s="66"/>
      <c r="BF81" s="45"/>
      <c r="BG81" s="46"/>
      <c r="BH81" s="45"/>
      <c r="BI81" s="46"/>
      <c r="BJ81" s="45"/>
      <c r="BK81" s="46"/>
      <c r="BL81" s="45"/>
      <c r="BM81" s="46"/>
      <c r="BN81" s="45"/>
    </row>
    <row r="82" spans="1:66" ht="15">
      <c r="A82" s="62" t="s">
        <v>296</v>
      </c>
      <c r="B82" s="62" t="s">
        <v>301</v>
      </c>
      <c r="C82" s="64" t="s">
        <v>1505</v>
      </c>
      <c r="D82" s="67">
        <v>4.75</v>
      </c>
      <c r="E82" s="68" t="s">
        <v>136</v>
      </c>
      <c r="F82" s="69">
        <v>31.235294117647058</v>
      </c>
      <c r="G82" s="64"/>
      <c r="H82" s="70"/>
      <c r="I82" s="71"/>
      <c r="J82" s="71"/>
      <c r="K82" s="31" t="s">
        <v>65</v>
      </c>
      <c r="L82" s="79">
        <v>82</v>
      </c>
      <c r="M82" s="79"/>
      <c r="N82" s="73"/>
      <c r="O82" s="66">
        <v>2</v>
      </c>
      <c r="P82" s="63" t="str">
        <f>REPLACE(INDEX(GroupVertices[Group],MATCH(Edges[[#This Row],[Vertex 1]],GroupVertices[Vertex],0)),1,1,"")</f>
        <v>3</v>
      </c>
      <c r="Q82" s="63" t="str">
        <f>REPLACE(INDEX(GroupVertices[Group],MATCH(Edges[[#This Row],[Vertex 2]],GroupVertices[Vertex],0)),1,1,"")</f>
        <v>3</v>
      </c>
      <c r="R82" s="66" t="s">
        <v>316</v>
      </c>
      <c r="S82" s="91">
        <v>44877.465775462966</v>
      </c>
      <c r="T82" s="66" t="s">
        <v>320</v>
      </c>
      <c r="U82" s="94" t="str">
        <f>HYPERLINK("https://www.youtube.com/watch?v=xb0JCOgMsXc&amp;feature=youtu.be")</f>
        <v>https://www.youtube.com/watch?v=xb0JCOgMsXc&amp;feature=youtu.be</v>
      </c>
      <c r="V82" s="66" t="s">
        <v>403</v>
      </c>
      <c r="W82" s="97" t="s">
        <v>423</v>
      </c>
      <c r="X82" s="94" t="str">
        <f>HYPERLINK("https://pbs.twimg.com/media/FhWu7YzX0AEJMfI.png")</f>
        <v>https://pbs.twimg.com/media/FhWu7YzX0AEJMfI.png</v>
      </c>
      <c r="Y82" s="94" t="str">
        <f>HYPERLINK("https://pbs.twimg.com/media/FhWu7YzX0AEJMfI.png")</f>
        <v>https://pbs.twimg.com/media/FhWu7YzX0AEJMfI.png</v>
      </c>
      <c r="Z82" s="91">
        <v>44877.465775462966</v>
      </c>
      <c r="AA82" s="100">
        <v>44877</v>
      </c>
      <c r="AB82" s="97" t="s">
        <v>472</v>
      </c>
      <c r="AC82" s="94" t="str">
        <f>HYPERLINK("https://twitter.com/adsdulantoscott/status/1591388011895623680")</f>
        <v>https://twitter.com/adsdulantoscott/status/1591388011895623680</v>
      </c>
      <c r="AD82" s="66"/>
      <c r="AE82" s="66"/>
      <c r="AF82" s="97" t="s">
        <v>605</v>
      </c>
      <c r="AG82" s="66"/>
      <c r="AH82" s="66" t="b">
        <v>0</v>
      </c>
      <c r="AI82" s="66">
        <v>0</v>
      </c>
      <c r="AJ82" s="97" t="s">
        <v>712</v>
      </c>
      <c r="AK82" s="66" t="b">
        <v>0</v>
      </c>
      <c r="AL82" s="66" t="s">
        <v>715</v>
      </c>
      <c r="AM82" s="66"/>
      <c r="AN82" s="97" t="s">
        <v>712</v>
      </c>
      <c r="AO82" s="66" t="b">
        <v>0</v>
      </c>
      <c r="AP82" s="66">
        <v>5</v>
      </c>
      <c r="AQ82" s="97" t="s">
        <v>613</v>
      </c>
      <c r="AR82" s="97" t="s">
        <v>718</v>
      </c>
      <c r="AS82" s="66" t="b">
        <v>0</v>
      </c>
      <c r="AT82" s="97" t="s">
        <v>613</v>
      </c>
      <c r="AU82" s="66" t="s">
        <v>241</v>
      </c>
      <c r="AV82" s="66">
        <v>0</v>
      </c>
      <c r="AW82" s="66">
        <v>0</v>
      </c>
      <c r="AX82" s="66"/>
      <c r="AY82" s="66"/>
      <c r="AZ82" s="66"/>
      <c r="BA82" s="66"/>
      <c r="BB82" s="66"/>
      <c r="BC82" s="66"/>
      <c r="BD82" s="66"/>
      <c r="BE82" s="66"/>
      <c r="BF82" s="45"/>
      <c r="BG82" s="46"/>
      <c r="BH82" s="45"/>
      <c r="BI82" s="46"/>
      <c r="BJ82" s="45"/>
      <c r="BK82" s="46"/>
      <c r="BL82" s="45"/>
      <c r="BM82" s="46"/>
      <c r="BN82" s="45"/>
    </row>
    <row r="83" spans="1:66" ht="15">
      <c r="A83" s="62" t="s">
        <v>296</v>
      </c>
      <c r="B83" s="62" t="s">
        <v>301</v>
      </c>
      <c r="C83" s="64" t="s">
        <v>1505</v>
      </c>
      <c r="D83" s="67">
        <v>4.75</v>
      </c>
      <c r="E83" s="68" t="s">
        <v>136</v>
      </c>
      <c r="F83" s="69">
        <v>31.235294117647058</v>
      </c>
      <c r="G83" s="64"/>
      <c r="H83" s="70"/>
      <c r="I83" s="71"/>
      <c r="J83" s="71"/>
      <c r="K83" s="31" t="s">
        <v>65</v>
      </c>
      <c r="L83" s="79">
        <v>83</v>
      </c>
      <c r="M83" s="79"/>
      <c r="N83" s="73"/>
      <c r="O83" s="66">
        <v>2</v>
      </c>
      <c r="P83" s="63" t="str">
        <f>REPLACE(INDEX(GroupVertices[Group],MATCH(Edges[[#This Row],[Vertex 1]],GroupVertices[Vertex],0)),1,1,"")</f>
        <v>3</v>
      </c>
      <c r="Q83" s="63" t="str">
        <f>REPLACE(INDEX(GroupVertices[Group],MATCH(Edges[[#This Row],[Vertex 2]],GroupVertices[Vertex],0)),1,1,"")</f>
        <v>3</v>
      </c>
      <c r="R83" s="66" t="s">
        <v>316</v>
      </c>
      <c r="S83" s="91">
        <v>44877.56275462963</v>
      </c>
      <c r="T83" s="66" t="s">
        <v>321</v>
      </c>
      <c r="U83" s="94" t="str">
        <f>HYPERLINK("https://www.youtube.com/watch?v=xb0JCOgMsXc&amp;feature=youtu.be")</f>
        <v>https://www.youtube.com/watch?v=xb0JCOgMsXc&amp;feature=youtu.be</v>
      </c>
      <c r="V83" s="66" t="s">
        <v>403</v>
      </c>
      <c r="W83" s="97" t="s">
        <v>424</v>
      </c>
      <c r="X83" s="94" t="str">
        <f>HYPERLINK("https://pbs.twimg.com/media/FhW7ZTpXkAAZ4Hh.jpg")</f>
        <v>https://pbs.twimg.com/media/FhW7ZTpXkAAZ4Hh.jpg</v>
      </c>
      <c r="Y83" s="94" t="str">
        <f>HYPERLINK("https://pbs.twimg.com/media/FhW7ZTpXkAAZ4Hh.jpg")</f>
        <v>https://pbs.twimg.com/media/FhW7ZTpXkAAZ4Hh.jpg</v>
      </c>
      <c r="Z83" s="91">
        <v>44877.56275462963</v>
      </c>
      <c r="AA83" s="100">
        <v>44877</v>
      </c>
      <c r="AB83" s="97" t="s">
        <v>467</v>
      </c>
      <c r="AC83" s="94" t="str">
        <f>HYPERLINK("https://twitter.com/adsdulantoscott/status/1591423156446789635")</f>
        <v>https://twitter.com/adsdulantoscott/status/1591423156446789635</v>
      </c>
      <c r="AD83" s="66"/>
      <c r="AE83" s="66"/>
      <c r="AF83" s="97" t="s">
        <v>600</v>
      </c>
      <c r="AG83" s="66"/>
      <c r="AH83" s="66" t="b">
        <v>0</v>
      </c>
      <c r="AI83" s="66">
        <v>0</v>
      </c>
      <c r="AJ83" s="97" t="s">
        <v>712</v>
      </c>
      <c r="AK83" s="66" t="b">
        <v>0</v>
      </c>
      <c r="AL83" s="66" t="s">
        <v>715</v>
      </c>
      <c r="AM83" s="66"/>
      <c r="AN83" s="97" t="s">
        <v>712</v>
      </c>
      <c r="AO83" s="66" t="b">
        <v>0</v>
      </c>
      <c r="AP83" s="66">
        <v>5</v>
      </c>
      <c r="AQ83" s="97" t="s">
        <v>601</v>
      </c>
      <c r="AR83" s="97" t="s">
        <v>718</v>
      </c>
      <c r="AS83" s="66" t="b">
        <v>0</v>
      </c>
      <c r="AT83" s="97" t="s">
        <v>601</v>
      </c>
      <c r="AU83" s="66" t="s">
        <v>241</v>
      </c>
      <c r="AV83" s="66">
        <v>0</v>
      </c>
      <c r="AW83" s="66">
        <v>0</v>
      </c>
      <c r="AX83" s="66"/>
      <c r="AY83" s="66"/>
      <c r="AZ83" s="66"/>
      <c r="BA83" s="66"/>
      <c r="BB83" s="66"/>
      <c r="BC83" s="66"/>
      <c r="BD83" s="66"/>
      <c r="BE83" s="66"/>
      <c r="BF83" s="45"/>
      <c r="BG83" s="46"/>
      <c r="BH83" s="45"/>
      <c r="BI83" s="46"/>
      <c r="BJ83" s="45"/>
      <c r="BK83" s="46"/>
      <c r="BL83" s="45"/>
      <c r="BM83" s="46"/>
      <c r="BN83" s="45"/>
    </row>
    <row r="84" spans="1:66" ht="15">
      <c r="A84" s="62" t="s">
        <v>301</v>
      </c>
      <c r="B84" s="62" t="s">
        <v>305</v>
      </c>
      <c r="C84" s="64" t="s">
        <v>1504</v>
      </c>
      <c r="D84" s="67">
        <v>3</v>
      </c>
      <c r="E84" s="68" t="s">
        <v>132</v>
      </c>
      <c r="F84" s="69">
        <v>32</v>
      </c>
      <c r="G84" s="64"/>
      <c r="H84" s="70"/>
      <c r="I84" s="71"/>
      <c r="J84" s="71"/>
      <c r="K84" s="31" t="s">
        <v>65</v>
      </c>
      <c r="L84" s="79">
        <v>84</v>
      </c>
      <c r="M84" s="79"/>
      <c r="N84" s="73"/>
      <c r="O84" s="66">
        <v>1</v>
      </c>
      <c r="P84" s="63" t="str">
        <f>REPLACE(INDEX(GroupVertices[Group],MATCH(Edges[[#This Row],[Vertex 1]],GroupVertices[Vertex],0)),1,1,"")</f>
        <v>3</v>
      </c>
      <c r="Q84" s="63" t="str">
        <f>REPLACE(INDEX(GroupVertices[Group],MATCH(Edges[[#This Row],[Vertex 2]],GroupVertices[Vertex],0)),1,1,"")</f>
        <v>4</v>
      </c>
      <c r="R84" s="66" t="s">
        <v>316</v>
      </c>
      <c r="S84" s="91">
        <v>44877.43305555556</v>
      </c>
      <c r="T84" s="66" t="s">
        <v>320</v>
      </c>
      <c r="U84" s="94" t="str">
        <f>HYPERLINK("https://www.youtube.com/watch?v=xb0JCOgMsXc&amp;feature=youtu.be")</f>
        <v>https://www.youtube.com/watch?v=xb0JCOgMsXc&amp;feature=youtu.be</v>
      </c>
      <c r="V84" s="66" t="s">
        <v>403</v>
      </c>
      <c r="W84" s="97" t="s">
        <v>423</v>
      </c>
      <c r="X84" s="94" t="str">
        <f>HYPERLINK("https://pbs.twimg.com/media/FhWu7YzX0AEJMfI.png")</f>
        <v>https://pbs.twimg.com/media/FhWu7YzX0AEJMfI.png</v>
      </c>
      <c r="Y84" s="94" t="str">
        <f>HYPERLINK("https://pbs.twimg.com/media/FhWu7YzX0AEJMfI.png")</f>
        <v>https://pbs.twimg.com/media/FhWu7YzX0AEJMfI.png</v>
      </c>
      <c r="Z84" s="91">
        <v>44877.43305555556</v>
      </c>
      <c r="AA84" s="100">
        <v>44877</v>
      </c>
      <c r="AB84" s="97" t="s">
        <v>473</v>
      </c>
      <c r="AC84" s="94" t="str">
        <f>HYPERLINK("https://twitter.com/ieuropeo/status/1591376155583586306")</f>
        <v>https://twitter.com/ieuropeo/status/1591376155583586306</v>
      </c>
      <c r="AD84" s="66"/>
      <c r="AE84" s="66"/>
      <c r="AF84" s="97" t="s">
        <v>606</v>
      </c>
      <c r="AG84" s="66"/>
      <c r="AH84" s="66" t="b">
        <v>0</v>
      </c>
      <c r="AI84" s="66">
        <v>0</v>
      </c>
      <c r="AJ84" s="97" t="s">
        <v>712</v>
      </c>
      <c r="AK84" s="66" t="b">
        <v>0</v>
      </c>
      <c r="AL84" s="66" t="s">
        <v>715</v>
      </c>
      <c r="AM84" s="66"/>
      <c r="AN84" s="97" t="s">
        <v>712</v>
      </c>
      <c r="AO84" s="66" t="b">
        <v>0</v>
      </c>
      <c r="AP84" s="66">
        <v>5</v>
      </c>
      <c r="AQ84" s="97" t="s">
        <v>613</v>
      </c>
      <c r="AR84" s="97" t="s">
        <v>717</v>
      </c>
      <c r="AS84" s="66" t="b">
        <v>0</v>
      </c>
      <c r="AT84" s="97" t="s">
        <v>613</v>
      </c>
      <c r="AU84" s="66" t="s">
        <v>241</v>
      </c>
      <c r="AV84" s="66">
        <v>0</v>
      </c>
      <c r="AW84" s="66">
        <v>0</v>
      </c>
      <c r="AX84" s="66"/>
      <c r="AY84" s="66"/>
      <c r="AZ84" s="66"/>
      <c r="BA84" s="66"/>
      <c r="BB84" s="66"/>
      <c r="BC84" s="66"/>
      <c r="BD84" s="66"/>
      <c r="BE84" s="66"/>
      <c r="BF84" s="45"/>
      <c r="BG84" s="46"/>
      <c r="BH84" s="45"/>
      <c r="BI84" s="46"/>
      <c r="BJ84" s="45"/>
      <c r="BK84" s="46"/>
      <c r="BL84" s="45"/>
      <c r="BM84" s="46"/>
      <c r="BN84" s="45"/>
    </row>
    <row r="85" spans="1:66" ht="15">
      <c r="A85" s="62" t="s">
        <v>301</v>
      </c>
      <c r="B85" s="62" t="s">
        <v>300</v>
      </c>
      <c r="C85" s="64" t="s">
        <v>1504</v>
      </c>
      <c r="D85" s="67">
        <v>3</v>
      </c>
      <c r="E85" s="68" t="s">
        <v>132</v>
      </c>
      <c r="F85" s="69">
        <v>32</v>
      </c>
      <c r="G85" s="64"/>
      <c r="H85" s="70"/>
      <c r="I85" s="71"/>
      <c r="J85" s="71"/>
      <c r="K85" s="31" t="s">
        <v>66</v>
      </c>
      <c r="L85" s="79">
        <v>85</v>
      </c>
      <c r="M85" s="79"/>
      <c r="N85" s="73"/>
      <c r="O85" s="66">
        <v>1</v>
      </c>
      <c r="P85" s="63" t="str">
        <f>REPLACE(INDEX(GroupVertices[Group],MATCH(Edges[[#This Row],[Vertex 1]],GroupVertices[Vertex],0)),1,1,"")</f>
        <v>3</v>
      </c>
      <c r="Q85" s="63" t="str">
        <f>REPLACE(INDEX(GroupVertices[Group],MATCH(Edges[[#This Row],[Vertex 2]],GroupVertices[Vertex],0)),1,1,"")</f>
        <v>3</v>
      </c>
      <c r="R85" s="66" t="s">
        <v>316</v>
      </c>
      <c r="S85" s="91">
        <v>44877.43305555556</v>
      </c>
      <c r="T85" s="66" t="s">
        <v>320</v>
      </c>
      <c r="U85" s="94" t="str">
        <f>HYPERLINK("https://www.youtube.com/watch?v=xb0JCOgMsXc&amp;feature=youtu.be")</f>
        <v>https://www.youtube.com/watch?v=xb0JCOgMsXc&amp;feature=youtu.be</v>
      </c>
      <c r="V85" s="66" t="s">
        <v>403</v>
      </c>
      <c r="W85" s="97" t="s">
        <v>423</v>
      </c>
      <c r="X85" s="94" t="str">
        <f>HYPERLINK("https://pbs.twimg.com/media/FhWu7YzX0AEJMfI.png")</f>
        <v>https://pbs.twimg.com/media/FhWu7YzX0AEJMfI.png</v>
      </c>
      <c r="Y85" s="94" t="str">
        <f>HYPERLINK("https://pbs.twimg.com/media/FhWu7YzX0AEJMfI.png")</f>
        <v>https://pbs.twimg.com/media/FhWu7YzX0AEJMfI.png</v>
      </c>
      <c r="Z85" s="91">
        <v>44877.43305555556</v>
      </c>
      <c r="AA85" s="100">
        <v>44877</v>
      </c>
      <c r="AB85" s="97" t="s">
        <v>473</v>
      </c>
      <c r="AC85" s="94" t="str">
        <f>HYPERLINK("https://twitter.com/ieuropeo/status/1591376155583586306")</f>
        <v>https://twitter.com/ieuropeo/status/1591376155583586306</v>
      </c>
      <c r="AD85" s="66"/>
      <c r="AE85" s="66"/>
      <c r="AF85" s="97" t="s">
        <v>606</v>
      </c>
      <c r="AG85" s="66"/>
      <c r="AH85" s="66" t="b">
        <v>0</v>
      </c>
      <c r="AI85" s="66">
        <v>0</v>
      </c>
      <c r="AJ85" s="97" t="s">
        <v>712</v>
      </c>
      <c r="AK85" s="66" t="b">
        <v>0</v>
      </c>
      <c r="AL85" s="66" t="s">
        <v>715</v>
      </c>
      <c r="AM85" s="66"/>
      <c r="AN85" s="97" t="s">
        <v>712</v>
      </c>
      <c r="AO85" s="66" t="b">
        <v>0</v>
      </c>
      <c r="AP85" s="66">
        <v>5</v>
      </c>
      <c r="AQ85" s="97" t="s">
        <v>613</v>
      </c>
      <c r="AR85" s="97" t="s">
        <v>717</v>
      </c>
      <c r="AS85" s="66" t="b">
        <v>0</v>
      </c>
      <c r="AT85" s="97" t="s">
        <v>613</v>
      </c>
      <c r="AU85" s="66" t="s">
        <v>241</v>
      </c>
      <c r="AV85" s="66">
        <v>0</v>
      </c>
      <c r="AW85" s="66">
        <v>0</v>
      </c>
      <c r="AX85" s="66"/>
      <c r="AY85" s="66"/>
      <c r="AZ85" s="66"/>
      <c r="BA85" s="66"/>
      <c r="BB85" s="66"/>
      <c r="BC85" s="66"/>
      <c r="BD85" s="66"/>
      <c r="BE85" s="66"/>
      <c r="BF85" s="45"/>
      <c r="BG85" s="46"/>
      <c r="BH85" s="45"/>
      <c r="BI85" s="46"/>
      <c r="BJ85" s="45"/>
      <c r="BK85" s="46"/>
      <c r="BL85" s="45"/>
      <c r="BM85" s="46"/>
      <c r="BN85" s="45"/>
    </row>
    <row r="86" spans="1:66" ht="15">
      <c r="A86" s="62" t="s">
        <v>301</v>
      </c>
      <c r="B86" s="62" t="s">
        <v>307</v>
      </c>
      <c r="C86" s="64" t="s">
        <v>1504</v>
      </c>
      <c r="D86" s="67">
        <v>3</v>
      </c>
      <c r="E86" s="68" t="s">
        <v>132</v>
      </c>
      <c r="F86" s="69">
        <v>32</v>
      </c>
      <c r="G86" s="64"/>
      <c r="H86" s="70"/>
      <c r="I86" s="71"/>
      <c r="J86" s="71"/>
      <c r="K86" s="31" t="s">
        <v>65</v>
      </c>
      <c r="L86" s="79">
        <v>86</v>
      </c>
      <c r="M86" s="79"/>
      <c r="N86" s="73"/>
      <c r="O86" s="66">
        <v>1</v>
      </c>
      <c r="P86" s="63" t="str">
        <f>REPLACE(INDEX(GroupVertices[Group],MATCH(Edges[[#This Row],[Vertex 1]],GroupVertices[Vertex],0)),1,1,"")</f>
        <v>3</v>
      </c>
      <c r="Q86" s="63" t="str">
        <f>REPLACE(INDEX(GroupVertices[Group],MATCH(Edges[[#This Row],[Vertex 2]],GroupVertices[Vertex],0)),1,1,"")</f>
        <v>3</v>
      </c>
      <c r="R86" s="66" t="s">
        <v>316</v>
      </c>
      <c r="S86" s="91">
        <v>44877.43305555556</v>
      </c>
      <c r="T86" s="66" t="s">
        <v>320</v>
      </c>
      <c r="U86" s="94" t="str">
        <f>HYPERLINK("https://www.youtube.com/watch?v=xb0JCOgMsXc&amp;feature=youtu.be")</f>
        <v>https://www.youtube.com/watch?v=xb0JCOgMsXc&amp;feature=youtu.be</v>
      </c>
      <c r="V86" s="66" t="s">
        <v>403</v>
      </c>
      <c r="W86" s="97" t="s">
        <v>423</v>
      </c>
      <c r="X86" s="94" t="str">
        <f>HYPERLINK("https://pbs.twimg.com/media/FhWu7YzX0AEJMfI.png")</f>
        <v>https://pbs.twimg.com/media/FhWu7YzX0AEJMfI.png</v>
      </c>
      <c r="Y86" s="94" t="str">
        <f>HYPERLINK("https://pbs.twimg.com/media/FhWu7YzX0AEJMfI.png")</f>
        <v>https://pbs.twimg.com/media/FhWu7YzX0AEJMfI.png</v>
      </c>
      <c r="Z86" s="91">
        <v>44877.43305555556</v>
      </c>
      <c r="AA86" s="100">
        <v>44877</v>
      </c>
      <c r="AB86" s="97" t="s">
        <v>473</v>
      </c>
      <c r="AC86" s="94" t="str">
        <f>HYPERLINK("https://twitter.com/ieuropeo/status/1591376155583586306")</f>
        <v>https://twitter.com/ieuropeo/status/1591376155583586306</v>
      </c>
      <c r="AD86" s="66"/>
      <c r="AE86" s="66"/>
      <c r="AF86" s="97" t="s">
        <v>606</v>
      </c>
      <c r="AG86" s="66"/>
      <c r="AH86" s="66" t="b">
        <v>0</v>
      </c>
      <c r="AI86" s="66">
        <v>0</v>
      </c>
      <c r="AJ86" s="97" t="s">
        <v>712</v>
      </c>
      <c r="AK86" s="66" t="b">
        <v>0</v>
      </c>
      <c r="AL86" s="66" t="s">
        <v>715</v>
      </c>
      <c r="AM86" s="66"/>
      <c r="AN86" s="97" t="s">
        <v>712</v>
      </c>
      <c r="AO86" s="66" t="b">
        <v>0</v>
      </c>
      <c r="AP86" s="66">
        <v>5</v>
      </c>
      <c r="AQ86" s="97" t="s">
        <v>613</v>
      </c>
      <c r="AR86" s="97" t="s">
        <v>717</v>
      </c>
      <c r="AS86" s="66" t="b">
        <v>0</v>
      </c>
      <c r="AT86" s="97" t="s">
        <v>613</v>
      </c>
      <c r="AU86" s="66" t="s">
        <v>241</v>
      </c>
      <c r="AV86" s="66">
        <v>0</v>
      </c>
      <c r="AW86" s="66">
        <v>0</v>
      </c>
      <c r="AX86" s="66"/>
      <c r="AY86" s="66"/>
      <c r="AZ86" s="66"/>
      <c r="BA86" s="66"/>
      <c r="BB86" s="66"/>
      <c r="BC86" s="66"/>
      <c r="BD86" s="66"/>
      <c r="BE86" s="66"/>
      <c r="BF86" s="45"/>
      <c r="BG86" s="46"/>
      <c r="BH86" s="45"/>
      <c r="BI86" s="46"/>
      <c r="BJ86" s="45"/>
      <c r="BK86" s="46"/>
      <c r="BL86" s="45"/>
      <c r="BM86" s="46"/>
      <c r="BN86" s="45"/>
    </row>
    <row r="87" spans="1:66" ht="15">
      <c r="A87" s="62" t="s">
        <v>301</v>
      </c>
      <c r="B87" s="62" t="s">
        <v>308</v>
      </c>
      <c r="C87" s="64" t="s">
        <v>1504</v>
      </c>
      <c r="D87" s="67">
        <v>3</v>
      </c>
      <c r="E87" s="68" t="s">
        <v>132</v>
      </c>
      <c r="F87" s="69">
        <v>32</v>
      </c>
      <c r="G87" s="64"/>
      <c r="H87" s="70"/>
      <c r="I87" s="71"/>
      <c r="J87" s="71"/>
      <c r="K87" s="31" t="s">
        <v>65</v>
      </c>
      <c r="L87" s="79">
        <v>87</v>
      </c>
      <c r="M87" s="79"/>
      <c r="N87" s="73"/>
      <c r="O87" s="66">
        <v>1</v>
      </c>
      <c r="P87" s="63" t="str">
        <f>REPLACE(INDEX(GroupVertices[Group],MATCH(Edges[[#This Row],[Vertex 1]],GroupVertices[Vertex],0)),1,1,"")</f>
        <v>3</v>
      </c>
      <c r="Q87" s="63" t="str">
        <f>REPLACE(INDEX(GroupVertices[Group],MATCH(Edges[[#This Row],[Vertex 2]],GroupVertices[Vertex],0)),1,1,"")</f>
        <v>3</v>
      </c>
      <c r="R87" s="66" t="s">
        <v>316</v>
      </c>
      <c r="S87" s="91">
        <v>44877.43305555556</v>
      </c>
      <c r="T87" s="66" t="s">
        <v>320</v>
      </c>
      <c r="U87" s="94" t="str">
        <f>HYPERLINK("https://www.youtube.com/watch?v=xb0JCOgMsXc&amp;feature=youtu.be")</f>
        <v>https://www.youtube.com/watch?v=xb0JCOgMsXc&amp;feature=youtu.be</v>
      </c>
      <c r="V87" s="66" t="s">
        <v>403</v>
      </c>
      <c r="W87" s="97" t="s">
        <v>423</v>
      </c>
      <c r="X87" s="94" t="str">
        <f>HYPERLINK("https://pbs.twimg.com/media/FhWu7YzX0AEJMfI.png")</f>
        <v>https://pbs.twimg.com/media/FhWu7YzX0AEJMfI.png</v>
      </c>
      <c r="Y87" s="94" t="str">
        <f>HYPERLINK("https://pbs.twimg.com/media/FhWu7YzX0AEJMfI.png")</f>
        <v>https://pbs.twimg.com/media/FhWu7YzX0AEJMfI.png</v>
      </c>
      <c r="Z87" s="91">
        <v>44877.43305555556</v>
      </c>
      <c r="AA87" s="100">
        <v>44877</v>
      </c>
      <c r="AB87" s="97" t="s">
        <v>473</v>
      </c>
      <c r="AC87" s="94" t="str">
        <f>HYPERLINK("https://twitter.com/ieuropeo/status/1591376155583586306")</f>
        <v>https://twitter.com/ieuropeo/status/1591376155583586306</v>
      </c>
      <c r="AD87" s="66"/>
      <c r="AE87" s="66"/>
      <c r="AF87" s="97" t="s">
        <v>606</v>
      </c>
      <c r="AG87" s="66"/>
      <c r="AH87" s="66" t="b">
        <v>0</v>
      </c>
      <c r="AI87" s="66">
        <v>0</v>
      </c>
      <c r="AJ87" s="97" t="s">
        <v>712</v>
      </c>
      <c r="AK87" s="66" t="b">
        <v>0</v>
      </c>
      <c r="AL87" s="66" t="s">
        <v>715</v>
      </c>
      <c r="AM87" s="66"/>
      <c r="AN87" s="97" t="s">
        <v>712</v>
      </c>
      <c r="AO87" s="66" t="b">
        <v>0</v>
      </c>
      <c r="AP87" s="66">
        <v>5</v>
      </c>
      <c r="AQ87" s="97" t="s">
        <v>613</v>
      </c>
      <c r="AR87" s="97" t="s">
        <v>717</v>
      </c>
      <c r="AS87" s="66" t="b">
        <v>0</v>
      </c>
      <c r="AT87" s="97" t="s">
        <v>613</v>
      </c>
      <c r="AU87" s="66" t="s">
        <v>241</v>
      </c>
      <c r="AV87" s="66">
        <v>0</v>
      </c>
      <c r="AW87" s="66">
        <v>0</v>
      </c>
      <c r="AX87" s="66"/>
      <c r="AY87" s="66"/>
      <c r="AZ87" s="66"/>
      <c r="BA87" s="66"/>
      <c r="BB87" s="66"/>
      <c r="BC87" s="66"/>
      <c r="BD87" s="66"/>
      <c r="BE87" s="66"/>
      <c r="BF87" s="45"/>
      <c r="BG87" s="46"/>
      <c r="BH87" s="45"/>
      <c r="BI87" s="46"/>
      <c r="BJ87" s="45"/>
      <c r="BK87" s="46"/>
      <c r="BL87" s="45"/>
      <c r="BM87" s="46"/>
      <c r="BN87" s="45"/>
    </row>
    <row r="88" spans="1:66" ht="15">
      <c r="A88" s="62" t="s">
        <v>301</v>
      </c>
      <c r="B88" s="62" t="s">
        <v>298</v>
      </c>
      <c r="C88" s="64" t="s">
        <v>1506</v>
      </c>
      <c r="D88" s="67">
        <v>6.5</v>
      </c>
      <c r="E88" s="68" t="s">
        <v>136</v>
      </c>
      <c r="F88" s="69">
        <v>30.470588235294116</v>
      </c>
      <c r="G88" s="64"/>
      <c r="H88" s="70"/>
      <c r="I88" s="71"/>
      <c r="J88" s="71"/>
      <c r="K88" s="31" t="s">
        <v>66</v>
      </c>
      <c r="L88" s="79">
        <v>88</v>
      </c>
      <c r="M88" s="79"/>
      <c r="N88" s="73"/>
      <c r="O88" s="66">
        <v>3</v>
      </c>
      <c r="P88" s="63" t="str">
        <f>REPLACE(INDEX(GroupVertices[Group],MATCH(Edges[[#This Row],[Vertex 1]],GroupVertices[Vertex],0)),1,1,"")</f>
        <v>3</v>
      </c>
      <c r="Q88" s="63" t="str">
        <f>REPLACE(INDEX(GroupVertices[Group],MATCH(Edges[[#This Row],[Vertex 2]],GroupVertices[Vertex],0)),1,1,"")</f>
        <v>2</v>
      </c>
      <c r="R88" s="66" t="s">
        <v>315</v>
      </c>
      <c r="S88" s="91">
        <v>44877.43305555556</v>
      </c>
      <c r="T88" s="66" t="s">
        <v>320</v>
      </c>
      <c r="U88" s="94" t="str">
        <f>HYPERLINK("https://www.youtube.com/watch?v=xb0JCOgMsXc&amp;feature=youtu.be")</f>
        <v>https://www.youtube.com/watch?v=xb0JCOgMsXc&amp;feature=youtu.be</v>
      </c>
      <c r="V88" s="66" t="s">
        <v>403</v>
      </c>
      <c r="W88" s="97" t="s">
        <v>423</v>
      </c>
      <c r="X88" s="94" t="str">
        <f>HYPERLINK("https://pbs.twimg.com/media/FhWu7YzX0AEJMfI.png")</f>
        <v>https://pbs.twimg.com/media/FhWu7YzX0AEJMfI.png</v>
      </c>
      <c r="Y88" s="94" t="str">
        <f>HYPERLINK("https://pbs.twimg.com/media/FhWu7YzX0AEJMfI.png")</f>
        <v>https://pbs.twimg.com/media/FhWu7YzX0AEJMfI.png</v>
      </c>
      <c r="Z88" s="91">
        <v>44877.43305555556</v>
      </c>
      <c r="AA88" s="100">
        <v>44877</v>
      </c>
      <c r="AB88" s="97" t="s">
        <v>473</v>
      </c>
      <c r="AC88" s="94" t="str">
        <f>HYPERLINK("https://twitter.com/ieuropeo/status/1591376155583586306")</f>
        <v>https://twitter.com/ieuropeo/status/1591376155583586306</v>
      </c>
      <c r="AD88" s="66"/>
      <c r="AE88" s="66"/>
      <c r="AF88" s="97" t="s">
        <v>606</v>
      </c>
      <c r="AG88" s="66"/>
      <c r="AH88" s="66" t="b">
        <v>0</v>
      </c>
      <c r="AI88" s="66">
        <v>0</v>
      </c>
      <c r="AJ88" s="97" t="s">
        <v>712</v>
      </c>
      <c r="AK88" s="66" t="b">
        <v>0</v>
      </c>
      <c r="AL88" s="66" t="s">
        <v>715</v>
      </c>
      <c r="AM88" s="66"/>
      <c r="AN88" s="97" t="s">
        <v>712</v>
      </c>
      <c r="AO88" s="66" t="b">
        <v>0</v>
      </c>
      <c r="AP88" s="66">
        <v>5</v>
      </c>
      <c r="AQ88" s="97" t="s">
        <v>613</v>
      </c>
      <c r="AR88" s="97" t="s">
        <v>717</v>
      </c>
      <c r="AS88" s="66" t="b">
        <v>0</v>
      </c>
      <c r="AT88" s="97" t="s">
        <v>613</v>
      </c>
      <c r="AU88" s="66" t="s">
        <v>241</v>
      </c>
      <c r="AV88" s="66">
        <v>0</v>
      </c>
      <c r="AW88" s="66">
        <v>0</v>
      </c>
      <c r="AX88" s="66"/>
      <c r="AY88" s="66"/>
      <c r="AZ88" s="66"/>
      <c r="BA88" s="66"/>
      <c r="BB88" s="66"/>
      <c r="BC88" s="66"/>
      <c r="BD88" s="66"/>
      <c r="BE88" s="66"/>
      <c r="BF88" s="45">
        <v>0</v>
      </c>
      <c r="BG88" s="46">
        <v>0</v>
      </c>
      <c r="BH88" s="45">
        <v>0</v>
      </c>
      <c r="BI88" s="46">
        <v>0</v>
      </c>
      <c r="BJ88" s="45">
        <v>0</v>
      </c>
      <c r="BK88" s="46">
        <v>0</v>
      </c>
      <c r="BL88" s="45">
        <v>15</v>
      </c>
      <c r="BM88" s="46">
        <v>83.33333333333333</v>
      </c>
      <c r="BN88" s="45">
        <v>18</v>
      </c>
    </row>
    <row r="89" spans="1:66" ht="15">
      <c r="A89" s="62" t="s">
        <v>301</v>
      </c>
      <c r="B89" s="62" t="s">
        <v>298</v>
      </c>
      <c r="C89" s="64" t="s">
        <v>1506</v>
      </c>
      <c r="D89" s="67">
        <v>6.5</v>
      </c>
      <c r="E89" s="68" t="s">
        <v>136</v>
      </c>
      <c r="F89" s="69">
        <v>30.470588235294116</v>
      </c>
      <c r="G89" s="64"/>
      <c r="H89" s="70"/>
      <c r="I89" s="71"/>
      <c r="J89" s="71"/>
      <c r="K89" s="31" t="s">
        <v>66</v>
      </c>
      <c r="L89" s="79">
        <v>89</v>
      </c>
      <c r="M89" s="79"/>
      <c r="N89" s="73"/>
      <c r="O89" s="66">
        <v>3</v>
      </c>
      <c r="P89" s="63" t="str">
        <f>REPLACE(INDEX(GroupVertices[Group],MATCH(Edges[[#This Row],[Vertex 1]],GroupVertices[Vertex],0)),1,1,"")</f>
        <v>3</v>
      </c>
      <c r="Q89" s="63" t="str">
        <f>REPLACE(INDEX(GroupVertices[Group],MATCH(Edges[[#This Row],[Vertex 2]],GroupVertices[Vertex],0)),1,1,"")</f>
        <v>2</v>
      </c>
      <c r="R89" s="66" t="s">
        <v>315</v>
      </c>
      <c r="S89" s="91">
        <v>44878.63145833334</v>
      </c>
      <c r="T89" s="66" t="s">
        <v>337</v>
      </c>
      <c r="U89" s="94" t="str">
        <f>HYPERLINK("https://www.youtube.com/c/AlianzaFuturista/streams")</f>
        <v>https://www.youtube.com/c/AlianzaFuturista/streams</v>
      </c>
      <c r="V89" s="66" t="s">
        <v>403</v>
      </c>
      <c r="W89" s="97" t="s">
        <v>429</v>
      </c>
      <c r="X89" s="94" t="str">
        <f>HYPERLINK("https://pbs.twimg.com/media/FhbRBMWWYAACddn.jpg")</f>
        <v>https://pbs.twimg.com/media/FhbRBMWWYAACddn.jpg</v>
      </c>
      <c r="Y89" s="94" t="str">
        <f>HYPERLINK("https://pbs.twimg.com/media/FhbRBMWWYAACddn.jpg")</f>
        <v>https://pbs.twimg.com/media/FhbRBMWWYAACddn.jpg</v>
      </c>
      <c r="Z89" s="91">
        <v>44878.63145833334</v>
      </c>
      <c r="AA89" s="100">
        <v>44878</v>
      </c>
      <c r="AB89" s="97" t="s">
        <v>474</v>
      </c>
      <c r="AC89" s="94" t="str">
        <f>HYPERLINK("https://twitter.com/ieuropeo/status/1591810443919884290")</f>
        <v>https://twitter.com/ieuropeo/status/1591810443919884290</v>
      </c>
      <c r="AD89" s="66"/>
      <c r="AE89" s="66"/>
      <c r="AF89" s="97" t="s">
        <v>607</v>
      </c>
      <c r="AG89" s="66"/>
      <c r="AH89" s="66" t="b">
        <v>0</v>
      </c>
      <c r="AI89" s="66">
        <v>0</v>
      </c>
      <c r="AJ89" s="97" t="s">
        <v>712</v>
      </c>
      <c r="AK89" s="66" t="b">
        <v>0</v>
      </c>
      <c r="AL89" s="66" t="s">
        <v>714</v>
      </c>
      <c r="AM89" s="66"/>
      <c r="AN89" s="97" t="s">
        <v>712</v>
      </c>
      <c r="AO89" s="66" t="b">
        <v>0</v>
      </c>
      <c r="AP89" s="66">
        <v>2</v>
      </c>
      <c r="AQ89" s="97" t="s">
        <v>661</v>
      </c>
      <c r="AR89" s="97" t="s">
        <v>717</v>
      </c>
      <c r="AS89" s="66" t="b">
        <v>0</v>
      </c>
      <c r="AT89" s="97" t="s">
        <v>661</v>
      </c>
      <c r="AU89" s="66" t="s">
        <v>241</v>
      </c>
      <c r="AV89" s="66">
        <v>0</v>
      </c>
      <c r="AW89" s="66">
        <v>0</v>
      </c>
      <c r="AX89" s="66"/>
      <c r="AY89" s="66"/>
      <c r="AZ89" s="66"/>
      <c r="BA89" s="66"/>
      <c r="BB89" s="66"/>
      <c r="BC89" s="66"/>
      <c r="BD89" s="66"/>
      <c r="BE89" s="66"/>
      <c r="BF89" s="45">
        <v>0</v>
      </c>
      <c r="BG89" s="46">
        <v>0</v>
      </c>
      <c r="BH89" s="45">
        <v>0</v>
      </c>
      <c r="BI89" s="46">
        <v>0</v>
      </c>
      <c r="BJ89" s="45">
        <v>0</v>
      </c>
      <c r="BK89" s="46">
        <v>0</v>
      </c>
      <c r="BL89" s="45">
        <v>19</v>
      </c>
      <c r="BM89" s="46">
        <v>59.375</v>
      </c>
      <c r="BN89" s="45">
        <v>32</v>
      </c>
    </row>
    <row r="90" spans="1:66" ht="15">
      <c r="A90" s="62" t="s">
        <v>301</v>
      </c>
      <c r="B90" s="62" t="s">
        <v>304</v>
      </c>
      <c r="C90" s="64" t="s">
        <v>1505</v>
      </c>
      <c r="D90" s="67">
        <v>4.75</v>
      </c>
      <c r="E90" s="68" t="s">
        <v>136</v>
      </c>
      <c r="F90" s="69">
        <v>31.235294117647058</v>
      </c>
      <c r="G90" s="64"/>
      <c r="H90" s="70"/>
      <c r="I90" s="71"/>
      <c r="J90" s="71"/>
      <c r="K90" s="31" t="s">
        <v>65</v>
      </c>
      <c r="L90" s="79">
        <v>90</v>
      </c>
      <c r="M90" s="79"/>
      <c r="N90" s="73"/>
      <c r="O90" s="66">
        <v>2</v>
      </c>
      <c r="P90" s="63" t="str">
        <f>REPLACE(INDEX(GroupVertices[Group],MATCH(Edges[[#This Row],[Vertex 1]],GroupVertices[Vertex],0)),1,1,"")</f>
        <v>3</v>
      </c>
      <c r="Q90" s="63" t="str">
        <f>REPLACE(INDEX(GroupVertices[Group],MATCH(Edges[[#This Row],[Vertex 2]],GroupVertices[Vertex],0)),1,1,"")</f>
        <v>5</v>
      </c>
      <c r="R90" s="66" t="s">
        <v>315</v>
      </c>
      <c r="S90" s="91">
        <v>44879.34679398148</v>
      </c>
      <c r="T90" s="66" t="s">
        <v>318</v>
      </c>
      <c r="U90" s="66"/>
      <c r="V90" s="66"/>
      <c r="W90" s="97" t="s">
        <v>421</v>
      </c>
      <c r="X90" s="94" t="str">
        <f>HYPERLINK("https://pbs.twimg.com/media/FhWdWZuXwAAO13Y.jpg")</f>
        <v>https://pbs.twimg.com/media/FhWdWZuXwAAO13Y.jpg</v>
      </c>
      <c r="Y90" s="94" t="str">
        <f>HYPERLINK("https://pbs.twimg.com/media/FhWdWZuXwAAO13Y.jpg")</f>
        <v>https://pbs.twimg.com/media/FhWdWZuXwAAO13Y.jpg</v>
      </c>
      <c r="Z90" s="91">
        <v>44879.34679398148</v>
      </c>
      <c r="AA90" s="100">
        <v>44879</v>
      </c>
      <c r="AB90" s="97" t="s">
        <v>475</v>
      </c>
      <c r="AC90" s="94" t="str">
        <f>HYPERLINK("https://twitter.com/ieuropeo/status/1592069672983490560")</f>
        <v>https://twitter.com/ieuropeo/status/1592069672983490560</v>
      </c>
      <c r="AD90" s="66"/>
      <c r="AE90" s="66"/>
      <c r="AF90" s="97" t="s">
        <v>608</v>
      </c>
      <c r="AG90" s="66"/>
      <c r="AH90" s="66" t="b">
        <v>0</v>
      </c>
      <c r="AI90" s="66">
        <v>0</v>
      </c>
      <c r="AJ90" s="97" t="s">
        <v>712</v>
      </c>
      <c r="AK90" s="66" t="b">
        <v>0</v>
      </c>
      <c r="AL90" s="66" t="s">
        <v>714</v>
      </c>
      <c r="AM90" s="66"/>
      <c r="AN90" s="97" t="s">
        <v>712</v>
      </c>
      <c r="AO90" s="66" t="b">
        <v>0</v>
      </c>
      <c r="AP90" s="66">
        <v>6</v>
      </c>
      <c r="AQ90" s="97" t="s">
        <v>638</v>
      </c>
      <c r="AR90" s="97" t="s">
        <v>717</v>
      </c>
      <c r="AS90" s="66" t="b">
        <v>0</v>
      </c>
      <c r="AT90" s="97" t="s">
        <v>638</v>
      </c>
      <c r="AU90" s="66" t="s">
        <v>241</v>
      </c>
      <c r="AV90" s="66">
        <v>0</v>
      </c>
      <c r="AW90" s="66">
        <v>0</v>
      </c>
      <c r="AX90" s="66"/>
      <c r="AY90" s="66"/>
      <c r="AZ90" s="66"/>
      <c r="BA90" s="66"/>
      <c r="BB90" s="66"/>
      <c r="BC90" s="66"/>
      <c r="BD90" s="66"/>
      <c r="BE90" s="66"/>
      <c r="BF90" s="45">
        <v>0</v>
      </c>
      <c r="BG90" s="46">
        <v>0</v>
      </c>
      <c r="BH90" s="45">
        <v>0</v>
      </c>
      <c r="BI90" s="46">
        <v>0</v>
      </c>
      <c r="BJ90" s="45">
        <v>0</v>
      </c>
      <c r="BK90" s="46">
        <v>0</v>
      </c>
      <c r="BL90" s="45">
        <v>5</v>
      </c>
      <c r="BM90" s="46">
        <v>83.33333333333333</v>
      </c>
      <c r="BN90" s="45">
        <v>6</v>
      </c>
    </row>
    <row r="91" spans="1:66" ht="15">
      <c r="A91" s="62" t="s">
        <v>301</v>
      </c>
      <c r="B91" s="62" t="s">
        <v>304</v>
      </c>
      <c r="C91" s="64" t="s">
        <v>1505</v>
      </c>
      <c r="D91" s="67">
        <v>4.75</v>
      </c>
      <c r="E91" s="68" t="s">
        <v>136</v>
      </c>
      <c r="F91" s="69">
        <v>31.235294117647058</v>
      </c>
      <c r="G91" s="64"/>
      <c r="H91" s="70"/>
      <c r="I91" s="71"/>
      <c r="J91" s="71"/>
      <c r="K91" s="31" t="s">
        <v>65</v>
      </c>
      <c r="L91" s="79">
        <v>91</v>
      </c>
      <c r="M91" s="79"/>
      <c r="N91" s="73"/>
      <c r="O91" s="66">
        <v>2</v>
      </c>
      <c r="P91" s="63" t="str">
        <f>REPLACE(INDEX(GroupVertices[Group],MATCH(Edges[[#This Row],[Vertex 1]],GroupVertices[Vertex],0)),1,1,"")</f>
        <v>3</v>
      </c>
      <c r="Q91" s="63" t="str">
        <f>REPLACE(INDEX(GroupVertices[Group],MATCH(Edges[[#This Row],[Vertex 2]],GroupVertices[Vertex],0)),1,1,"")</f>
        <v>5</v>
      </c>
      <c r="R91" s="66" t="s">
        <v>315</v>
      </c>
      <c r="S91" s="91">
        <v>44879.34730324074</v>
      </c>
      <c r="T91" s="66" t="s">
        <v>336</v>
      </c>
      <c r="U91" s="66"/>
      <c r="V91" s="66"/>
      <c r="W91" s="97" t="s">
        <v>421</v>
      </c>
      <c r="X91" s="94" t="str">
        <f>HYPERLINK("https://pbs.twimg.com/media/FhX_xegXoAIf7pk.jpg")</f>
        <v>https://pbs.twimg.com/media/FhX_xegXoAIf7pk.jpg</v>
      </c>
      <c r="Y91" s="94" t="str">
        <f>HYPERLINK("https://pbs.twimg.com/media/FhX_xegXoAIf7pk.jpg")</f>
        <v>https://pbs.twimg.com/media/FhX_xegXoAIf7pk.jpg</v>
      </c>
      <c r="Z91" s="91">
        <v>44879.34730324074</v>
      </c>
      <c r="AA91" s="100">
        <v>44879</v>
      </c>
      <c r="AB91" s="97" t="s">
        <v>476</v>
      </c>
      <c r="AC91" s="94" t="str">
        <f>HYPERLINK("https://twitter.com/ieuropeo/status/1592069855901274114")</f>
        <v>https://twitter.com/ieuropeo/status/1592069855901274114</v>
      </c>
      <c r="AD91" s="66"/>
      <c r="AE91" s="66"/>
      <c r="AF91" s="97" t="s">
        <v>609</v>
      </c>
      <c r="AG91" s="66"/>
      <c r="AH91" s="66" t="b">
        <v>0</v>
      </c>
      <c r="AI91" s="66">
        <v>0</v>
      </c>
      <c r="AJ91" s="97" t="s">
        <v>712</v>
      </c>
      <c r="AK91" s="66" t="b">
        <v>0</v>
      </c>
      <c r="AL91" s="66" t="s">
        <v>714</v>
      </c>
      <c r="AM91" s="66"/>
      <c r="AN91" s="97" t="s">
        <v>712</v>
      </c>
      <c r="AO91" s="66" t="b">
        <v>0</v>
      </c>
      <c r="AP91" s="66">
        <v>4</v>
      </c>
      <c r="AQ91" s="97" t="s">
        <v>639</v>
      </c>
      <c r="AR91" s="97" t="s">
        <v>717</v>
      </c>
      <c r="AS91" s="66" t="b">
        <v>0</v>
      </c>
      <c r="AT91" s="97" t="s">
        <v>639</v>
      </c>
      <c r="AU91" s="66" t="s">
        <v>241</v>
      </c>
      <c r="AV91" s="66">
        <v>0</v>
      </c>
      <c r="AW91" s="66">
        <v>0</v>
      </c>
      <c r="AX91" s="66"/>
      <c r="AY91" s="66"/>
      <c r="AZ91" s="66"/>
      <c r="BA91" s="66"/>
      <c r="BB91" s="66"/>
      <c r="BC91" s="66"/>
      <c r="BD91" s="66"/>
      <c r="BE91" s="66"/>
      <c r="BF91" s="45">
        <v>1</v>
      </c>
      <c r="BG91" s="46">
        <v>7.6923076923076925</v>
      </c>
      <c r="BH91" s="45">
        <v>0</v>
      </c>
      <c r="BI91" s="46">
        <v>0</v>
      </c>
      <c r="BJ91" s="45">
        <v>0</v>
      </c>
      <c r="BK91" s="46">
        <v>0</v>
      </c>
      <c r="BL91" s="45">
        <v>7</v>
      </c>
      <c r="BM91" s="46">
        <v>53.84615384615385</v>
      </c>
      <c r="BN91" s="45">
        <v>13</v>
      </c>
    </row>
    <row r="92" spans="1:66" ht="15">
      <c r="A92" s="62" t="s">
        <v>301</v>
      </c>
      <c r="B92" s="62" t="s">
        <v>305</v>
      </c>
      <c r="C92" s="64" t="s">
        <v>1504</v>
      </c>
      <c r="D92" s="67">
        <v>3</v>
      </c>
      <c r="E92" s="68" t="s">
        <v>132</v>
      </c>
      <c r="F92" s="69">
        <v>32</v>
      </c>
      <c r="G92" s="64"/>
      <c r="H92" s="70"/>
      <c r="I92" s="71"/>
      <c r="J92" s="71"/>
      <c r="K92" s="31" t="s">
        <v>65</v>
      </c>
      <c r="L92" s="79">
        <v>92</v>
      </c>
      <c r="M92" s="79"/>
      <c r="N92" s="73"/>
      <c r="O92" s="66">
        <v>1</v>
      </c>
      <c r="P92" s="63" t="str">
        <f>REPLACE(INDEX(GroupVertices[Group],MATCH(Edges[[#This Row],[Vertex 1]],GroupVertices[Vertex],0)),1,1,"")</f>
        <v>3</v>
      </c>
      <c r="Q92" s="63" t="str">
        <f>REPLACE(INDEX(GroupVertices[Group],MATCH(Edges[[#This Row],[Vertex 2]],GroupVertices[Vertex],0)),1,1,"")</f>
        <v>4</v>
      </c>
      <c r="R92" s="66" t="s">
        <v>315</v>
      </c>
      <c r="S92" s="91">
        <v>44879.34857638889</v>
      </c>
      <c r="T92" s="66" t="s">
        <v>329</v>
      </c>
      <c r="U92" s="66" t="s">
        <v>394</v>
      </c>
      <c r="V92" s="66" t="s">
        <v>408</v>
      </c>
      <c r="W92" s="97" t="s">
        <v>429</v>
      </c>
      <c r="X92" s="66"/>
      <c r="Y92" s="94" t="str">
        <f>HYPERLINK("https://pbs.twimg.com/profile_images/1583010428514344960/3R3Ud3F4_normal.png")</f>
        <v>https://pbs.twimg.com/profile_images/1583010428514344960/3R3Ud3F4_normal.png</v>
      </c>
      <c r="Z92" s="91">
        <v>44879.34857638889</v>
      </c>
      <c r="AA92" s="100">
        <v>44879</v>
      </c>
      <c r="AB92" s="97" t="s">
        <v>477</v>
      </c>
      <c r="AC92" s="94" t="str">
        <f>HYPERLINK("https://twitter.com/ieuropeo/status/1592070315278049280")</f>
        <v>https://twitter.com/ieuropeo/status/1592070315278049280</v>
      </c>
      <c r="AD92" s="66"/>
      <c r="AE92" s="66"/>
      <c r="AF92" s="97" t="s">
        <v>610</v>
      </c>
      <c r="AG92" s="66"/>
      <c r="AH92" s="66" t="b">
        <v>0</v>
      </c>
      <c r="AI92" s="66">
        <v>0</v>
      </c>
      <c r="AJ92" s="97" t="s">
        <v>712</v>
      </c>
      <c r="AK92" s="66" t="b">
        <v>0</v>
      </c>
      <c r="AL92" s="66" t="s">
        <v>714</v>
      </c>
      <c r="AM92" s="66"/>
      <c r="AN92" s="97" t="s">
        <v>712</v>
      </c>
      <c r="AO92" s="66" t="b">
        <v>0</v>
      </c>
      <c r="AP92" s="66">
        <v>5</v>
      </c>
      <c r="AQ92" s="97" t="s">
        <v>699</v>
      </c>
      <c r="AR92" s="97" t="s">
        <v>717</v>
      </c>
      <c r="AS92" s="66" t="b">
        <v>0</v>
      </c>
      <c r="AT92" s="97" t="s">
        <v>699</v>
      </c>
      <c r="AU92" s="66" t="s">
        <v>241</v>
      </c>
      <c r="AV92" s="66">
        <v>0</v>
      </c>
      <c r="AW92" s="66">
        <v>0</v>
      </c>
      <c r="AX92" s="66"/>
      <c r="AY92" s="66"/>
      <c r="AZ92" s="66"/>
      <c r="BA92" s="66"/>
      <c r="BB92" s="66"/>
      <c r="BC92" s="66"/>
      <c r="BD92" s="66"/>
      <c r="BE92" s="66"/>
      <c r="BF92" s="45">
        <v>0</v>
      </c>
      <c r="BG92" s="46">
        <v>0</v>
      </c>
      <c r="BH92" s="45">
        <v>0</v>
      </c>
      <c r="BI92" s="46">
        <v>0</v>
      </c>
      <c r="BJ92" s="45">
        <v>0</v>
      </c>
      <c r="BK92" s="46">
        <v>0</v>
      </c>
      <c r="BL92" s="45">
        <v>16</v>
      </c>
      <c r="BM92" s="46">
        <v>51.61290322580645</v>
      </c>
      <c r="BN92" s="45">
        <v>31</v>
      </c>
    </row>
    <row r="93" spans="1:66" ht="15">
      <c r="A93" s="62" t="s">
        <v>301</v>
      </c>
      <c r="B93" s="62" t="s">
        <v>298</v>
      </c>
      <c r="C93" s="64" t="s">
        <v>1506</v>
      </c>
      <c r="D93" s="67">
        <v>6.5</v>
      </c>
      <c r="E93" s="68" t="s">
        <v>136</v>
      </c>
      <c r="F93" s="69">
        <v>30.470588235294116</v>
      </c>
      <c r="G93" s="64"/>
      <c r="H93" s="70"/>
      <c r="I93" s="71"/>
      <c r="J93" s="71"/>
      <c r="K93" s="31" t="s">
        <v>66</v>
      </c>
      <c r="L93" s="79">
        <v>93</v>
      </c>
      <c r="M93" s="79"/>
      <c r="N93" s="73"/>
      <c r="O93" s="66">
        <v>3</v>
      </c>
      <c r="P93" s="63" t="str">
        <f>REPLACE(INDEX(GroupVertices[Group],MATCH(Edges[[#This Row],[Vertex 1]],GroupVertices[Vertex],0)),1,1,"")</f>
        <v>3</v>
      </c>
      <c r="Q93" s="63" t="str">
        <f>REPLACE(INDEX(GroupVertices[Group],MATCH(Edges[[#This Row],[Vertex 2]],GroupVertices[Vertex],0)),1,1,"")</f>
        <v>2</v>
      </c>
      <c r="R93" s="66" t="s">
        <v>315</v>
      </c>
      <c r="S93" s="91">
        <v>44879.34877314815</v>
      </c>
      <c r="T93" s="66" t="s">
        <v>333</v>
      </c>
      <c r="U93" s="94" t="str">
        <f>HYPERLINK("https://www.youtube.com/watch?v=3JK84n-jsMU")</f>
        <v>https://www.youtube.com/watch?v=3JK84n-jsMU</v>
      </c>
      <c r="V93" s="66" t="s">
        <v>403</v>
      </c>
      <c r="W93" s="97" t="s">
        <v>430</v>
      </c>
      <c r="X93" s="94" t="str">
        <f>HYPERLINK("https://pbs.twimg.com/media/FhcHy7oXEAMenzQ.png")</f>
        <v>https://pbs.twimg.com/media/FhcHy7oXEAMenzQ.png</v>
      </c>
      <c r="Y93" s="94" t="str">
        <f>HYPERLINK("https://pbs.twimg.com/media/FhcHy7oXEAMenzQ.png")</f>
        <v>https://pbs.twimg.com/media/FhcHy7oXEAMenzQ.png</v>
      </c>
      <c r="Z93" s="91">
        <v>44879.34877314815</v>
      </c>
      <c r="AA93" s="100">
        <v>44879</v>
      </c>
      <c r="AB93" s="97" t="s">
        <v>478</v>
      </c>
      <c r="AC93" s="94" t="str">
        <f>HYPERLINK("https://twitter.com/ieuropeo/status/1592070389500284928")</f>
        <v>https://twitter.com/ieuropeo/status/1592070389500284928</v>
      </c>
      <c r="AD93" s="66"/>
      <c r="AE93" s="66"/>
      <c r="AF93" s="97" t="s">
        <v>611</v>
      </c>
      <c r="AG93" s="66"/>
      <c r="AH93" s="66" t="b">
        <v>0</v>
      </c>
      <c r="AI93" s="66">
        <v>0</v>
      </c>
      <c r="AJ93" s="97" t="s">
        <v>712</v>
      </c>
      <c r="AK93" s="66" t="b">
        <v>0</v>
      </c>
      <c r="AL93" s="66" t="s">
        <v>714</v>
      </c>
      <c r="AM93" s="66"/>
      <c r="AN93" s="97" t="s">
        <v>712</v>
      </c>
      <c r="AO93" s="66" t="b">
        <v>0</v>
      </c>
      <c r="AP93" s="66">
        <v>5</v>
      </c>
      <c r="AQ93" s="97" t="s">
        <v>665</v>
      </c>
      <c r="AR93" s="97" t="s">
        <v>717</v>
      </c>
      <c r="AS93" s="66" t="b">
        <v>0</v>
      </c>
      <c r="AT93" s="97" t="s">
        <v>665</v>
      </c>
      <c r="AU93" s="66" t="s">
        <v>241</v>
      </c>
      <c r="AV93" s="66">
        <v>0</v>
      </c>
      <c r="AW93" s="66">
        <v>0</v>
      </c>
      <c r="AX93" s="66"/>
      <c r="AY93" s="66"/>
      <c r="AZ93" s="66"/>
      <c r="BA93" s="66"/>
      <c r="BB93" s="66"/>
      <c r="BC93" s="66"/>
      <c r="BD93" s="66"/>
      <c r="BE93" s="66"/>
      <c r="BF93" s="45">
        <v>0</v>
      </c>
      <c r="BG93" s="46">
        <v>0</v>
      </c>
      <c r="BH93" s="45">
        <v>0</v>
      </c>
      <c r="BI93" s="46">
        <v>0</v>
      </c>
      <c r="BJ93" s="45">
        <v>0</v>
      </c>
      <c r="BK93" s="46">
        <v>0</v>
      </c>
      <c r="BL93" s="45">
        <v>5</v>
      </c>
      <c r="BM93" s="46">
        <v>62.5</v>
      </c>
      <c r="BN93" s="45">
        <v>8</v>
      </c>
    </row>
    <row r="94" spans="1:66" ht="15">
      <c r="A94" s="62" t="s">
        <v>297</v>
      </c>
      <c r="B94" s="62" t="s">
        <v>301</v>
      </c>
      <c r="C94" s="64" t="s">
        <v>1504</v>
      </c>
      <c r="D94" s="67">
        <v>3</v>
      </c>
      <c r="E94" s="68" t="s">
        <v>132</v>
      </c>
      <c r="F94" s="69">
        <v>32</v>
      </c>
      <c r="G94" s="64"/>
      <c r="H94" s="70"/>
      <c r="I94" s="71"/>
      <c r="J94" s="71"/>
      <c r="K94" s="31" t="s">
        <v>65</v>
      </c>
      <c r="L94" s="79">
        <v>94</v>
      </c>
      <c r="M94" s="79"/>
      <c r="N94" s="73"/>
      <c r="O94" s="66">
        <v>1</v>
      </c>
      <c r="P94" s="63" t="str">
        <f>REPLACE(INDEX(GroupVertices[Group],MATCH(Edges[[#This Row],[Vertex 1]],GroupVertices[Vertex],0)),1,1,"")</f>
        <v>1</v>
      </c>
      <c r="Q94" s="63" t="str">
        <f>REPLACE(INDEX(GroupVertices[Group],MATCH(Edges[[#This Row],[Vertex 2]],GroupVertices[Vertex],0)),1,1,"")</f>
        <v>3</v>
      </c>
      <c r="R94" s="66" t="s">
        <v>316</v>
      </c>
      <c r="S94" s="91">
        <v>44877.45034722222</v>
      </c>
      <c r="T94" s="66" t="s">
        <v>320</v>
      </c>
      <c r="U94" s="94" t="str">
        <f>HYPERLINK("https://www.youtube.com/watch?v=xb0JCOgMsXc&amp;feature=youtu.be")</f>
        <v>https://www.youtube.com/watch?v=xb0JCOgMsXc&amp;feature=youtu.be</v>
      </c>
      <c r="V94" s="66" t="s">
        <v>403</v>
      </c>
      <c r="W94" s="97" t="s">
        <v>423</v>
      </c>
      <c r="X94" s="94" t="str">
        <f>HYPERLINK("https://pbs.twimg.com/media/FhWu7YzX0AEJMfI.png")</f>
        <v>https://pbs.twimg.com/media/FhWu7YzX0AEJMfI.png</v>
      </c>
      <c r="Y94" s="94" t="str">
        <f>HYPERLINK("https://pbs.twimg.com/media/FhWu7YzX0AEJMfI.png")</f>
        <v>https://pbs.twimg.com/media/FhWu7YzX0AEJMfI.png</v>
      </c>
      <c r="Z94" s="91">
        <v>44877.45034722222</v>
      </c>
      <c r="AA94" s="100">
        <v>44877</v>
      </c>
      <c r="AB94" s="97" t="s">
        <v>479</v>
      </c>
      <c r="AC94" s="94" t="str">
        <f>HYPERLINK("https://twitter.com/hashtagmarketi7/status/1591382423438344198")</f>
        <v>https://twitter.com/hashtagmarketi7/status/1591382423438344198</v>
      </c>
      <c r="AD94" s="66"/>
      <c r="AE94" s="66"/>
      <c r="AF94" s="97" t="s">
        <v>612</v>
      </c>
      <c r="AG94" s="66"/>
      <c r="AH94" s="66" t="b">
        <v>0</v>
      </c>
      <c r="AI94" s="66">
        <v>0</v>
      </c>
      <c r="AJ94" s="97" t="s">
        <v>712</v>
      </c>
      <c r="AK94" s="66" t="b">
        <v>0</v>
      </c>
      <c r="AL94" s="66" t="s">
        <v>715</v>
      </c>
      <c r="AM94" s="66"/>
      <c r="AN94" s="97" t="s">
        <v>712</v>
      </c>
      <c r="AO94" s="66" t="b">
        <v>0</v>
      </c>
      <c r="AP94" s="66">
        <v>5</v>
      </c>
      <c r="AQ94" s="97" t="s">
        <v>613</v>
      </c>
      <c r="AR94" s="97" t="s">
        <v>717</v>
      </c>
      <c r="AS94" s="66" t="b">
        <v>0</v>
      </c>
      <c r="AT94" s="97" t="s">
        <v>613</v>
      </c>
      <c r="AU94" s="66" t="s">
        <v>241</v>
      </c>
      <c r="AV94" s="66">
        <v>0</v>
      </c>
      <c r="AW94" s="66">
        <v>0</v>
      </c>
      <c r="AX94" s="66"/>
      <c r="AY94" s="66"/>
      <c r="AZ94" s="66"/>
      <c r="BA94" s="66"/>
      <c r="BB94" s="66"/>
      <c r="BC94" s="66"/>
      <c r="BD94" s="66"/>
      <c r="BE94" s="66"/>
      <c r="BF94" s="45"/>
      <c r="BG94" s="46"/>
      <c r="BH94" s="45"/>
      <c r="BI94" s="46"/>
      <c r="BJ94" s="45"/>
      <c r="BK94" s="46"/>
      <c r="BL94" s="45"/>
      <c r="BM94" s="46"/>
      <c r="BN94" s="45"/>
    </row>
    <row r="95" spans="1:66" ht="15">
      <c r="A95" s="62" t="s">
        <v>297</v>
      </c>
      <c r="B95" s="62" t="s">
        <v>301</v>
      </c>
      <c r="C95" s="64" t="s">
        <v>1504</v>
      </c>
      <c r="D95" s="67">
        <v>3</v>
      </c>
      <c r="E95" s="68" t="s">
        <v>132</v>
      </c>
      <c r="F95" s="69">
        <v>32</v>
      </c>
      <c r="G95" s="64"/>
      <c r="H95" s="70"/>
      <c r="I95" s="71"/>
      <c r="J95" s="71"/>
      <c r="K95" s="31" t="s">
        <v>65</v>
      </c>
      <c r="L95" s="79">
        <v>95</v>
      </c>
      <c r="M95" s="79"/>
      <c r="N95" s="73"/>
      <c r="O95" s="66">
        <v>1</v>
      </c>
      <c r="P95" s="63" t="str">
        <f>REPLACE(INDEX(GroupVertices[Group],MATCH(Edges[[#This Row],[Vertex 1]],GroupVertices[Vertex],0)),1,1,"")</f>
        <v>1</v>
      </c>
      <c r="Q95" s="63" t="str">
        <f>REPLACE(INDEX(GroupVertices[Group],MATCH(Edges[[#This Row],[Vertex 2]],GroupVertices[Vertex],0)),1,1,"")</f>
        <v>3</v>
      </c>
      <c r="R95" s="66" t="s">
        <v>317</v>
      </c>
      <c r="S95" s="91">
        <v>44877.52521990741</v>
      </c>
      <c r="T95" s="66" t="s">
        <v>321</v>
      </c>
      <c r="U95" s="94" t="str">
        <f>HYPERLINK("https://www.youtube.com/watch?v=xb0JCOgMsXc&amp;feature=youtu.be")</f>
        <v>https://www.youtube.com/watch?v=xb0JCOgMsXc&amp;feature=youtu.be</v>
      </c>
      <c r="V95" s="66" t="s">
        <v>403</v>
      </c>
      <c r="W95" s="97" t="s">
        <v>424</v>
      </c>
      <c r="X95" s="94" t="str">
        <f>HYPERLINK("https://pbs.twimg.com/media/FhW7ZTpXkAAZ4Hh.jpg")</f>
        <v>https://pbs.twimg.com/media/FhW7ZTpXkAAZ4Hh.jpg</v>
      </c>
      <c r="Y95" s="94" t="str">
        <f>HYPERLINK("https://pbs.twimg.com/media/FhW7ZTpXkAAZ4Hh.jpg")</f>
        <v>https://pbs.twimg.com/media/FhW7ZTpXkAAZ4Hh.jpg</v>
      </c>
      <c r="Z95" s="91">
        <v>44877.52521990741</v>
      </c>
      <c r="AA95" s="100">
        <v>44877</v>
      </c>
      <c r="AB95" s="97" t="s">
        <v>468</v>
      </c>
      <c r="AC95" s="94" t="str">
        <f>HYPERLINK("https://twitter.com/hashtagmarketi7/status/1591409554893725697")</f>
        <v>https://twitter.com/hashtagmarketi7/status/1591409554893725697</v>
      </c>
      <c r="AD95" s="66"/>
      <c r="AE95" s="66"/>
      <c r="AF95" s="97" t="s">
        <v>601</v>
      </c>
      <c r="AG95" s="66"/>
      <c r="AH95" s="66" t="b">
        <v>0</v>
      </c>
      <c r="AI95" s="66">
        <v>6</v>
      </c>
      <c r="AJ95" s="97" t="s">
        <v>712</v>
      </c>
      <c r="AK95" s="66" t="b">
        <v>0</v>
      </c>
      <c r="AL95" s="66" t="s">
        <v>715</v>
      </c>
      <c r="AM95" s="66"/>
      <c r="AN95" s="97" t="s">
        <v>712</v>
      </c>
      <c r="AO95" s="66" t="b">
        <v>0</v>
      </c>
      <c r="AP95" s="66">
        <v>5</v>
      </c>
      <c r="AQ95" s="97" t="s">
        <v>712</v>
      </c>
      <c r="AR95" s="97" t="s">
        <v>717</v>
      </c>
      <c r="AS95" s="66" t="b">
        <v>0</v>
      </c>
      <c r="AT95" s="97" t="s">
        <v>601</v>
      </c>
      <c r="AU95" s="66" t="s">
        <v>241</v>
      </c>
      <c r="AV95" s="66">
        <v>0</v>
      </c>
      <c r="AW95" s="66">
        <v>0</v>
      </c>
      <c r="AX95" s="66"/>
      <c r="AY95" s="66"/>
      <c r="AZ95" s="66"/>
      <c r="BA95" s="66"/>
      <c r="BB95" s="66"/>
      <c r="BC95" s="66"/>
      <c r="BD95" s="66"/>
      <c r="BE95" s="66"/>
      <c r="BF95" s="45"/>
      <c r="BG95" s="46"/>
      <c r="BH95" s="45"/>
      <c r="BI95" s="46"/>
      <c r="BJ95" s="45"/>
      <c r="BK95" s="46"/>
      <c r="BL95" s="45"/>
      <c r="BM95" s="46"/>
      <c r="BN95" s="45"/>
    </row>
    <row r="96" spans="1:66" ht="15">
      <c r="A96" s="62" t="s">
        <v>298</v>
      </c>
      <c r="B96" s="62" t="s">
        <v>301</v>
      </c>
      <c r="C96" s="64" t="s">
        <v>1504</v>
      </c>
      <c r="D96" s="67">
        <v>3</v>
      </c>
      <c r="E96" s="68" t="s">
        <v>132</v>
      </c>
      <c r="F96" s="69">
        <v>32</v>
      </c>
      <c r="G96" s="64"/>
      <c r="H96" s="70"/>
      <c r="I96" s="71"/>
      <c r="J96" s="71"/>
      <c r="K96" s="31" t="s">
        <v>66</v>
      </c>
      <c r="L96" s="79">
        <v>96</v>
      </c>
      <c r="M96" s="79"/>
      <c r="N96" s="73"/>
      <c r="O96" s="66">
        <v>1</v>
      </c>
      <c r="P96" s="63" t="str">
        <f>REPLACE(INDEX(GroupVertices[Group],MATCH(Edges[[#This Row],[Vertex 1]],GroupVertices[Vertex],0)),1,1,"")</f>
        <v>2</v>
      </c>
      <c r="Q96" s="63" t="str">
        <f>REPLACE(INDEX(GroupVertices[Group],MATCH(Edges[[#This Row],[Vertex 2]],GroupVertices[Vertex],0)),1,1,"")</f>
        <v>3</v>
      </c>
      <c r="R96" s="66" t="s">
        <v>317</v>
      </c>
      <c r="S96" s="91">
        <v>44877.42091435185</v>
      </c>
      <c r="T96" s="66" t="s">
        <v>320</v>
      </c>
      <c r="U96" s="94" t="str">
        <f>HYPERLINK("https://www.youtube.com/watch?v=xb0JCOgMsXc&amp;feature=youtu.be")</f>
        <v>https://www.youtube.com/watch?v=xb0JCOgMsXc&amp;feature=youtu.be</v>
      </c>
      <c r="V96" s="66" t="s">
        <v>403</v>
      </c>
      <c r="W96" s="97" t="s">
        <v>423</v>
      </c>
      <c r="X96" s="94" t="str">
        <f>HYPERLINK("https://pbs.twimg.com/media/FhWu7YzX0AEJMfI.png")</f>
        <v>https://pbs.twimg.com/media/FhWu7YzX0AEJMfI.png</v>
      </c>
      <c r="Y96" s="94" t="str">
        <f>HYPERLINK("https://pbs.twimg.com/media/FhWu7YzX0AEJMfI.png")</f>
        <v>https://pbs.twimg.com/media/FhWu7YzX0AEJMfI.png</v>
      </c>
      <c r="Z96" s="91">
        <v>44877.42091435185</v>
      </c>
      <c r="AA96" s="100">
        <v>44877</v>
      </c>
      <c r="AB96" s="97" t="s">
        <v>480</v>
      </c>
      <c r="AC96" s="94" t="str">
        <f>HYPERLINK("https://twitter.com/transvisionmad1/status/1591371754617946112")</f>
        <v>https://twitter.com/transvisionmad1/status/1591371754617946112</v>
      </c>
      <c r="AD96" s="66"/>
      <c r="AE96" s="66"/>
      <c r="AF96" s="97" t="s">
        <v>613</v>
      </c>
      <c r="AG96" s="66"/>
      <c r="AH96" s="66" t="b">
        <v>0</v>
      </c>
      <c r="AI96" s="66">
        <v>3</v>
      </c>
      <c r="AJ96" s="97" t="s">
        <v>712</v>
      </c>
      <c r="AK96" s="66" t="b">
        <v>0</v>
      </c>
      <c r="AL96" s="66" t="s">
        <v>715</v>
      </c>
      <c r="AM96" s="66"/>
      <c r="AN96" s="97" t="s">
        <v>712</v>
      </c>
      <c r="AO96" s="66" t="b">
        <v>0</v>
      </c>
      <c r="AP96" s="66">
        <v>5</v>
      </c>
      <c r="AQ96" s="97" t="s">
        <v>712</v>
      </c>
      <c r="AR96" s="97" t="s">
        <v>717</v>
      </c>
      <c r="AS96" s="66" t="b">
        <v>0</v>
      </c>
      <c r="AT96" s="97" t="s">
        <v>613</v>
      </c>
      <c r="AU96" s="66" t="s">
        <v>241</v>
      </c>
      <c r="AV96" s="66">
        <v>0</v>
      </c>
      <c r="AW96" s="66">
        <v>0</v>
      </c>
      <c r="AX96" s="66"/>
      <c r="AY96" s="66"/>
      <c r="AZ96" s="66"/>
      <c r="BA96" s="66"/>
      <c r="BB96" s="66"/>
      <c r="BC96" s="66"/>
      <c r="BD96" s="66"/>
      <c r="BE96" s="66"/>
      <c r="BF96" s="45"/>
      <c r="BG96" s="46"/>
      <c r="BH96" s="45"/>
      <c r="BI96" s="46"/>
      <c r="BJ96" s="45"/>
      <c r="BK96" s="46"/>
      <c r="BL96" s="45"/>
      <c r="BM96" s="46"/>
      <c r="BN96" s="45"/>
    </row>
    <row r="97" spans="1:66" ht="15">
      <c r="A97" s="62" t="s">
        <v>298</v>
      </c>
      <c r="B97" s="62" t="s">
        <v>301</v>
      </c>
      <c r="C97" s="64" t="s">
        <v>1504</v>
      </c>
      <c r="D97" s="67">
        <v>3</v>
      </c>
      <c r="E97" s="68" t="s">
        <v>132</v>
      </c>
      <c r="F97" s="69">
        <v>32</v>
      </c>
      <c r="G97" s="64"/>
      <c r="H97" s="70"/>
      <c r="I97" s="71"/>
      <c r="J97" s="71"/>
      <c r="K97" s="31" t="s">
        <v>66</v>
      </c>
      <c r="L97" s="79">
        <v>97</v>
      </c>
      <c r="M97" s="79"/>
      <c r="N97" s="73"/>
      <c r="O97" s="66">
        <v>1</v>
      </c>
      <c r="P97" s="63" t="str">
        <f>REPLACE(INDEX(GroupVertices[Group],MATCH(Edges[[#This Row],[Vertex 1]],GroupVertices[Vertex],0)),1,1,"")</f>
        <v>2</v>
      </c>
      <c r="Q97" s="63" t="str">
        <f>REPLACE(INDEX(GroupVertices[Group],MATCH(Edges[[#This Row],[Vertex 2]],GroupVertices[Vertex],0)),1,1,"")</f>
        <v>3</v>
      </c>
      <c r="R97" s="66" t="s">
        <v>316</v>
      </c>
      <c r="S97" s="91">
        <v>44877.526192129626</v>
      </c>
      <c r="T97" s="66" t="s">
        <v>321</v>
      </c>
      <c r="U97" s="94" t="str">
        <f>HYPERLINK("https://www.youtube.com/watch?v=xb0JCOgMsXc&amp;feature=youtu.be")</f>
        <v>https://www.youtube.com/watch?v=xb0JCOgMsXc&amp;feature=youtu.be</v>
      </c>
      <c r="V97" s="66" t="s">
        <v>403</v>
      </c>
      <c r="W97" s="97" t="s">
        <v>424</v>
      </c>
      <c r="X97" s="94" t="str">
        <f>HYPERLINK("https://pbs.twimg.com/media/FhW7ZTpXkAAZ4Hh.jpg")</f>
        <v>https://pbs.twimg.com/media/FhW7ZTpXkAAZ4Hh.jpg</v>
      </c>
      <c r="Y97" s="94" t="str">
        <f>HYPERLINK("https://pbs.twimg.com/media/FhW7ZTpXkAAZ4Hh.jpg")</f>
        <v>https://pbs.twimg.com/media/FhW7ZTpXkAAZ4Hh.jpg</v>
      </c>
      <c r="Z97" s="91">
        <v>44877.526192129626</v>
      </c>
      <c r="AA97" s="100">
        <v>44877</v>
      </c>
      <c r="AB97" s="97" t="s">
        <v>469</v>
      </c>
      <c r="AC97" s="94" t="str">
        <f>HYPERLINK("https://twitter.com/transvisionmad1/status/1591409908440002562")</f>
        <v>https://twitter.com/transvisionmad1/status/1591409908440002562</v>
      </c>
      <c r="AD97" s="66"/>
      <c r="AE97" s="66"/>
      <c r="AF97" s="97" t="s">
        <v>602</v>
      </c>
      <c r="AG97" s="66"/>
      <c r="AH97" s="66" t="b">
        <v>0</v>
      </c>
      <c r="AI97" s="66">
        <v>0</v>
      </c>
      <c r="AJ97" s="97" t="s">
        <v>712</v>
      </c>
      <c r="AK97" s="66" t="b">
        <v>0</v>
      </c>
      <c r="AL97" s="66" t="s">
        <v>715</v>
      </c>
      <c r="AM97" s="66"/>
      <c r="AN97" s="97" t="s">
        <v>712</v>
      </c>
      <c r="AO97" s="66" t="b">
        <v>0</v>
      </c>
      <c r="AP97" s="66">
        <v>5</v>
      </c>
      <c r="AQ97" s="97" t="s">
        <v>601</v>
      </c>
      <c r="AR97" s="97" t="s">
        <v>717</v>
      </c>
      <c r="AS97" s="66" t="b">
        <v>0</v>
      </c>
      <c r="AT97" s="97" t="s">
        <v>601</v>
      </c>
      <c r="AU97" s="66" t="s">
        <v>241</v>
      </c>
      <c r="AV97" s="66">
        <v>0</v>
      </c>
      <c r="AW97" s="66">
        <v>0</v>
      </c>
      <c r="AX97" s="66"/>
      <c r="AY97" s="66"/>
      <c r="AZ97" s="66"/>
      <c r="BA97" s="66"/>
      <c r="BB97" s="66"/>
      <c r="BC97" s="66"/>
      <c r="BD97" s="66"/>
      <c r="BE97" s="66"/>
      <c r="BF97" s="45"/>
      <c r="BG97" s="46"/>
      <c r="BH97" s="45"/>
      <c r="BI97" s="46"/>
      <c r="BJ97" s="45"/>
      <c r="BK97" s="46"/>
      <c r="BL97" s="45"/>
      <c r="BM97" s="46"/>
      <c r="BN97" s="45"/>
    </row>
    <row r="98" spans="1:66" ht="15">
      <c r="A98" s="62" t="s">
        <v>296</v>
      </c>
      <c r="B98" s="62" t="s">
        <v>311</v>
      </c>
      <c r="C98" s="64" t="s">
        <v>1504</v>
      </c>
      <c r="D98" s="67">
        <v>3</v>
      </c>
      <c r="E98" s="68" t="s">
        <v>132</v>
      </c>
      <c r="F98" s="69">
        <v>32</v>
      </c>
      <c r="G98" s="64"/>
      <c r="H98" s="70"/>
      <c r="I98" s="71"/>
      <c r="J98" s="71"/>
      <c r="K98" s="31" t="s">
        <v>65</v>
      </c>
      <c r="L98" s="79">
        <v>98</v>
      </c>
      <c r="M98" s="79"/>
      <c r="N98" s="73"/>
      <c r="O98" s="66">
        <v>1</v>
      </c>
      <c r="P98" s="63" t="str">
        <f>REPLACE(INDEX(GroupVertices[Group],MATCH(Edges[[#This Row],[Vertex 1]],GroupVertices[Vertex],0)),1,1,"")</f>
        <v>3</v>
      </c>
      <c r="Q98" s="63" t="str">
        <f>REPLACE(INDEX(GroupVertices[Group],MATCH(Edges[[#This Row],[Vertex 2]],GroupVertices[Vertex],0)),1,1,"")</f>
        <v>1</v>
      </c>
      <c r="R98" s="66" t="s">
        <v>316</v>
      </c>
      <c r="S98" s="91">
        <v>44877.56275462963</v>
      </c>
      <c r="T98" s="66" t="s">
        <v>321</v>
      </c>
      <c r="U98" s="94" t="str">
        <f>HYPERLINK("https://www.youtube.com/watch?v=xb0JCOgMsXc&amp;feature=youtu.be")</f>
        <v>https://www.youtube.com/watch?v=xb0JCOgMsXc&amp;feature=youtu.be</v>
      </c>
      <c r="V98" s="66" t="s">
        <v>403</v>
      </c>
      <c r="W98" s="97" t="s">
        <v>424</v>
      </c>
      <c r="X98" s="94" t="str">
        <f>HYPERLINK("https://pbs.twimg.com/media/FhW7ZTpXkAAZ4Hh.jpg")</f>
        <v>https://pbs.twimg.com/media/FhW7ZTpXkAAZ4Hh.jpg</v>
      </c>
      <c r="Y98" s="94" t="str">
        <f>HYPERLINK("https://pbs.twimg.com/media/FhW7ZTpXkAAZ4Hh.jpg")</f>
        <v>https://pbs.twimg.com/media/FhW7ZTpXkAAZ4Hh.jpg</v>
      </c>
      <c r="Z98" s="91">
        <v>44877.56275462963</v>
      </c>
      <c r="AA98" s="100">
        <v>44877</v>
      </c>
      <c r="AB98" s="97" t="s">
        <v>467</v>
      </c>
      <c r="AC98" s="94" t="str">
        <f>HYPERLINK("https://twitter.com/adsdulantoscott/status/1591423156446789635")</f>
        <v>https://twitter.com/adsdulantoscott/status/1591423156446789635</v>
      </c>
      <c r="AD98" s="66"/>
      <c r="AE98" s="66"/>
      <c r="AF98" s="97" t="s">
        <v>600</v>
      </c>
      <c r="AG98" s="66"/>
      <c r="AH98" s="66" t="b">
        <v>0</v>
      </c>
      <c r="AI98" s="66">
        <v>0</v>
      </c>
      <c r="AJ98" s="97" t="s">
        <v>712</v>
      </c>
      <c r="AK98" s="66" t="b">
        <v>0</v>
      </c>
      <c r="AL98" s="66" t="s">
        <v>715</v>
      </c>
      <c r="AM98" s="66"/>
      <c r="AN98" s="97" t="s">
        <v>712</v>
      </c>
      <c r="AO98" s="66" t="b">
        <v>0</v>
      </c>
      <c r="AP98" s="66">
        <v>5</v>
      </c>
      <c r="AQ98" s="97" t="s">
        <v>601</v>
      </c>
      <c r="AR98" s="97" t="s">
        <v>718</v>
      </c>
      <c r="AS98" s="66" t="b">
        <v>0</v>
      </c>
      <c r="AT98" s="97" t="s">
        <v>601</v>
      </c>
      <c r="AU98" s="66" t="s">
        <v>241</v>
      </c>
      <c r="AV98" s="66">
        <v>0</v>
      </c>
      <c r="AW98" s="66">
        <v>0</v>
      </c>
      <c r="AX98" s="66"/>
      <c r="AY98" s="66"/>
      <c r="AZ98" s="66"/>
      <c r="BA98" s="66"/>
      <c r="BB98" s="66"/>
      <c r="BC98" s="66"/>
      <c r="BD98" s="66"/>
      <c r="BE98" s="66"/>
      <c r="BF98" s="45"/>
      <c r="BG98" s="46"/>
      <c r="BH98" s="45"/>
      <c r="BI98" s="46"/>
      <c r="BJ98" s="45"/>
      <c r="BK98" s="46"/>
      <c r="BL98" s="45"/>
      <c r="BM98" s="46"/>
      <c r="BN98" s="45"/>
    </row>
    <row r="99" spans="1:66" ht="15">
      <c r="A99" s="62" t="s">
        <v>297</v>
      </c>
      <c r="B99" s="62" t="s">
        <v>311</v>
      </c>
      <c r="C99" s="64" t="s">
        <v>1504</v>
      </c>
      <c r="D99" s="67">
        <v>3</v>
      </c>
      <c r="E99" s="68" t="s">
        <v>132</v>
      </c>
      <c r="F99" s="69">
        <v>32</v>
      </c>
      <c r="G99" s="64"/>
      <c r="H99" s="70"/>
      <c r="I99" s="71"/>
      <c r="J99" s="71"/>
      <c r="K99" s="31" t="s">
        <v>65</v>
      </c>
      <c r="L99" s="79">
        <v>99</v>
      </c>
      <c r="M99" s="79"/>
      <c r="N99" s="73"/>
      <c r="O99" s="66">
        <v>1</v>
      </c>
      <c r="P99" s="63" t="str">
        <f>REPLACE(INDEX(GroupVertices[Group],MATCH(Edges[[#This Row],[Vertex 1]],GroupVertices[Vertex],0)),1,1,"")</f>
        <v>1</v>
      </c>
      <c r="Q99" s="63" t="str">
        <f>REPLACE(INDEX(GroupVertices[Group],MATCH(Edges[[#This Row],[Vertex 2]],GroupVertices[Vertex],0)),1,1,"")</f>
        <v>1</v>
      </c>
      <c r="R99" s="66" t="s">
        <v>317</v>
      </c>
      <c r="S99" s="91">
        <v>44877.52521990741</v>
      </c>
      <c r="T99" s="66" t="s">
        <v>321</v>
      </c>
      <c r="U99" s="94" t="str">
        <f>HYPERLINK("https://www.youtube.com/watch?v=xb0JCOgMsXc&amp;feature=youtu.be")</f>
        <v>https://www.youtube.com/watch?v=xb0JCOgMsXc&amp;feature=youtu.be</v>
      </c>
      <c r="V99" s="66" t="s">
        <v>403</v>
      </c>
      <c r="W99" s="97" t="s">
        <v>424</v>
      </c>
      <c r="X99" s="94" t="str">
        <f>HYPERLINK("https://pbs.twimg.com/media/FhW7ZTpXkAAZ4Hh.jpg")</f>
        <v>https://pbs.twimg.com/media/FhW7ZTpXkAAZ4Hh.jpg</v>
      </c>
      <c r="Y99" s="94" t="str">
        <f>HYPERLINK("https://pbs.twimg.com/media/FhW7ZTpXkAAZ4Hh.jpg")</f>
        <v>https://pbs.twimg.com/media/FhW7ZTpXkAAZ4Hh.jpg</v>
      </c>
      <c r="Z99" s="91">
        <v>44877.52521990741</v>
      </c>
      <c r="AA99" s="100">
        <v>44877</v>
      </c>
      <c r="AB99" s="97" t="s">
        <v>468</v>
      </c>
      <c r="AC99" s="94" t="str">
        <f>HYPERLINK("https://twitter.com/hashtagmarketi7/status/1591409554893725697")</f>
        <v>https://twitter.com/hashtagmarketi7/status/1591409554893725697</v>
      </c>
      <c r="AD99" s="66"/>
      <c r="AE99" s="66"/>
      <c r="AF99" s="97" t="s">
        <v>601</v>
      </c>
      <c r="AG99" s="66"/>
      <c r="AH99" s="66" t="b">
        <v>0</v>
      </c>
      <c r="AI99" s="66">
        <v>6</v>
      </c>
      <c r="AJ99" s="97" t="s">
        <v>712</v>
      </c>
      <c r="AK99" s="66" t="b">
        <v>0</v>
      </c>
      <c r="AL99" s="66" t="s">
        <v>715</v>
      </c>
      <c r="AM99" s="66"/>
      <c r="AN99" s="97" t="s">
        <v>712</v>
      </c>
      <c r="AO99" s="66" t="b">
        <v>0</v>
      </c>
      <c r="AP99" s="66">
        <v>5</v>
      </c>
      <c r="AQ99" s="97" t="s">
        <v>712</v>
      </c>
      <c r="AR99" s="97" t="s">
        <v>717</v>
      </c>
      <c r="AS99" s="66" t="b">
        <v>0</v>
      </c>
      <c r="AT99" s="97" t="s">
        <v>601</v>
      </c>
      <c r="AU99" s="66" t="s">
        <v>241</v>
      </c>
      <c r="AV99" s="66">
        <v>0</v>
      </c>
      <c r="AW99" s="66">
        <v>0</v>
      </c>
      <c r="AX99" s="66"/>
      <c r="AY99" s="66"/>
      <c r="AZ99" s="66"/>
      <c r="BA99" s="66"/>
      <c r="BB99" s="66"/>
      <c r="BC99" s="66"/>
      <c r="BD99" s="66"/>
      <c r="BE99" s="66"/>
      <c r="BF99" s="45"/>
      <c r="BG99" s="46"/>
      <c r="BH99" s="45"/>
      <c r="BI99" s="46"/>
      <c r="BJ99" s="45"/>
      <c r="BK99" s="46"/>
      <c r="BL99" s="45"/>
      <c r="BM99" s="46"/>
      <c r="BN99" s="45"/>
    </row>
    <row r="100" spans="1:66" ht="15">
      <c r="A100" s="62" t="s">
        <v>298</v>
      </c>
      <c r="B100" s="62" t="s">
        <v>311</v>
      </c>
      <c r="C100" s="64" t="s">
        <v>1504</v>
      </c>
      <c r="D100" s="67">
        <v>3</v>
      </c>
      <c r="E100" s="68" t="s">
        <v>132</v>
      </c>
      <c r="F100" s="69">
        <v>32</v>
      </c>
      <c r="G100" s="64"/>
      <c r="H100" s="70"/>
      <c r="I100" s="71"/>
      <c r="J100" s="71"/>
      <c r="K100" s="31" t="s">
        <v>65</v>
      </c>
      <c r="L100" s="79">
        <v>100</v>
      </c>
      <c r="M100" s="79"/>
      <c r="N100" s="73"/>
      <c r="O100" s="66">
        <v>1</v>
      </c>
      <c r="P100" s="63" t="str">
        <f>REPLACE(INDEX(GroupVertices[Group],MATCH(Edges[[#This Row],[Vertex 1]],GroupVertices[Vertex],0)),1,1,"")</f>
        <v>2</v>
      </c>
      <c r="Q100" s="63" t="str">
        <f>REPLACE(INDEX(GroupVertices[Group],MATCH(Edges[[#This Row],[Vertex 2]],GroupVertices[Vertex],0)),1,1,"")</f>
        <v>1</v>
      </c>
      <c r="R100" s="66" t="s">
        <v>316</v>
      </c>
      <c r="S100" s="91">
        <v>44877.526192129626</v>
      </c>
      <c r="T100" s="66" t="s">
        <v>321</v>
      </c>
      <c r="U100" s="94" t="str">
        <f>HYPERLINK("https://www.youtube.com/watch?v=xb0JCOgMsXc&amp;feature=youtu.be")</f>
        <v>https://www.youtube.com/watch?v=xb0JCOgMsXc&amp;feature=youtu.be</v>
      </c>
      <c r="V100" s="66" t="s">
        <v>403</v>
      </c>
      <c r="W100" s="97" t="s">
        <v>424</v>
      </c>
      <c r="X100" s="94" t="str">
        <f>HYPERLINK("https://pbs.twimg.com/media/FhW7ZTpXkAAZ4Hh.jpg")</f>
        <v>https://pbs.twimg.com/media/FhW7ZTpXkAAZ4Hh.jpg</v>
      </c>
      <c r="Y100" s="94" t="str">
        <f>HYPERLINK("https://pbs.twimg.com/media/FhW7ZTpXkAAZ4Hh.jpg")</f>
        <v>https://pbs.twimg.com/media/FhW7ZTpXkAAZ4Hh.jpg</v>
      </c>
      <c r="Z100" s="91">
        <v>44877.526192129626</v>
      </c>
      <c r="AA100" s="100">
        <v>44877</v>
      </c>
      <c r="AB100" s="97" t="s">
        <v>469</v>
      </c>
      <c r="AC100" s="94" t="str">
        <f>HYPERLINK("https://twitter.com/transvisionmad1/status/1591409908440002562")</f>
        <v>https://twitter.com/transvisionmad1/status/1591409908440002562</v>
      </c>
      <c r="AD100" s="66"/>
      <c r="AE100" s="66"/>
      <c r="AF100" s="97" t="s">
        <v>602</v>
      </c>
      <c r="AG100" s="66"/>
      <c r="AH100" s="66" t="b">
        <v>0</v>
      </c>
      <c r="AI100" s="66">
        <v>0</v>
      </c>
      <c r="AJ100" s="97" t="s">
        <v>712</v>
      </c>
      <c r="AK100" s="66" t="b">
        <v>0</v>
      </c>
      <c r="AL100" s="66" t="s">
        <v>715</v>
      </c>
      <c r="AM100" s="66"/>
      <c r="AN100" s="97" t="s">
        <v>712</v>
      </c>
      <c r="AO100" s="66" t="b">
        <v>0</v>
      </c>
      <c r="AP100" s="66">
        <v>5</v>
      </c>
      <c r="AQ100" s="97" t="s">
        <v>601</v>
      </c>
      <c r="AR100" s="97" t="s">
        <v>717</v>
      </c>
      <c r="AS100" s="66" t="b">
        <v>0</v>
      </c>
      <c r="AT100" s="97" t="s">
        <v>601</v>
      </c>
      <c r="AU100" s="66" t="s">
        <v>241</v>
      </c>
      <c r="AV100" s="66">
        <v>0</v>
      </c>
      <c r="AW100" s="66">
        <v>0</v>
      </c>
      <c r="AX100" s="66"/>
      <c r="AY100" s="66"/>
      <c r="AZ100" s="66"/>
      <c r="BA100" s="66"/>
      <c r="BB100" s="66"/>
      <c r="BC100" s="66"/>
      <c r="BD100" s="66"/>
      <c r="BE100" s="66"/>
      <c r="BF100" s="45"/>
      <c r="BG100" s="46"/>
      <c r="BH100" s="45"/>
      <c r="BI100" s="46"/>
      <c r="BJ100" s="45"/>
      <c r="BK100" s="46"/>
      <c r="BL100" s="45"/>
      <c r="BM100" s="46"/>
      <c r="BN100" s="45"/>
    </row>
    <row r="101" spans="1:66" ht="15">
      <c r="A101" s="62" t="s">
        <v>302</v>
      </c>
      <c r="B101" s="62" t="s">
        <v>298</v>
      </c>
      <c r="C101" s="64" t="s">
        <v>1504</v>
      </c>
      <c r="D101" s="67">
        <v>3</v>
      </c>
      <c r="E101" s="68" t="s">
        <v>132</v>
      </c>
      <c r="F101" s="69">
        <v>32</v>
      </c>
      <c r="G101" s="64"/>
      <c r="H101" s="70"/>
      <c r="I101" s="71"/>
      <c r="J101" s="71"/>
      <c r="K101" s="31" t="s">
        <v>66</v>
      </c>
      <c r="L101" s="79">
        <v>101</v>
      </c>
      <c r="M101" s="79"/>
      <c r="N101" s="73"/>
      <c r="O101" s="66">
        <v>1</v>
      </c>
      <c r="P101" s="63" t="str">
        <f>REPLACE(INDEX(GroupVertices[Group],MATCH(Edges[[#This Row],[Vertex 1]],GroupVertices[Vertex],0)),1,1,"")</f>
        <v>1</v>
      </c>
      <c r="Q101" s="63" t="str">
        <f>REPLACE(INDEX(GroupVertices[Group],MATCH(Edges[[#This Row],[Vertex 2]],GroupVertices[Vertex],0)),1,1,"")</f>
        <v>2</v>
      </c>
      <c r="R101" s="66" t="s">
        <v>317</v>
      </c>
      <c r="S101" s="91">
        <v>44876.452152777776</v>
      </c>
      <c r="T101" s="66" t="s">
        <v>338</v>
      </c>
      <c r="U101" s="94" t="str">
        <f>HYPERLINK("https://www.locomunicas.es/cumbre-internacional/")</f>
        <v>https://www.locomunicas.es/cumbre-internacional/</v>
      </c>
      <c r="V101" s="66" t="s">
        <v>410</v>
      </c>
      <c r="W101" s="97" t="s">
        <v>432</v>
      </c>
      <c r="X101" s="66"/>
      <c r="Y101" s="94" t="str">
        <f>HYPERLINK("https://pbs.twimg.com/profile_images/1054503139993440256/anuZLkr5_normal.jpg")</f>
        <v>https://pbs.twimg.com/profile_images/1054503139993440256/anuZLkr5_normal.jpg</v>
      </c>
      <c r="Z101" s="91">
        <v>44876.452152777776</v>
      </c>
      <c r="AA101" s="100">
        <v>44876</v>
      </c>
      <c r="AB101" s="97" t="s">
        <v>481</v>
      </c>
      <c r="AC101" s="94" t="str">
        <f>HYPERLINK("https://twitter.com/rosanaribera/status/1591020687967531010")</f>
        <v>https://twitter.com/rosanaribera/status/1591020687967531010</v>
      </c>
      <c r="AD101" s="66"/>
      <c r="AE101" s="66"/>
      <c r="AF101" s="97" t="s">
        <v>614</v>
      </c>
      <c r="AG101" s="66"/>
      <c r="AH101" s="66" t="b">
        <v>0</v>
      </c>
      <c r="AI101" s="66">
        <v>2</v>
      </c>
      <c r="AJ101" s="97" t="s">
        <v>712</v>
      </c>
      <c r="AK101" s="66" t="b">
        <v>0</v>
      </c>
      <c r="AL101" s="66" t="s">
        <v>715</v>
      </c>
      <c r="AM101" s="66"/>
      <c r="AN101" s="97" t="s">
        <v>712</v>
      </c>
      <c r="AO101" s="66" t="b">
        <v>0</v>
      </c>
      <c r="AP101" s="66">
        <v>2</v>
      </c>
      <c r="AQ101" s="97" t="s">
        <v>712</v>
      </c>
      <c r="AR101" s="97" t="s">
        <v>719</v>
      </c>
      <c r="AS101" s="66" t="b">
        <v>0</v>
      </c>
      <c r="AT101" s="97" t="s">
        <v>614</v>
      </c>
      <c r="AU101" s="66" t="s">
        <v>241</v>
      </c>
      <c r="AV101" s="66">
        <v>0</v>
      </c>
      <c r="AW101" s="66">
        <v>0</v>
      </c>
      <c r="AX101" s="66"/>
      <c r="AY101" s="66"/>
      <c r="AZ101" s="66"/>
      <c r="BA101" s="66"/>
      <c r="BB101" s="66"/>
      <c r="BC101" s="66"/>
      <c r="BD101" s="66"/>
      <c r="BE101" s="66"/>
      <c r="BF101" s="45">
        <v>0</v>
      </c>
      <c r="BG101" s="46">
        <v>0</v>
      </c>
      <c r="BH101" s="45">
        <v>0</v>
      </c>
      <c r="BI101" s="46">
        <v>0</v>
      </c>
      <c r="BJ101" s="45">
        <v>0</v>
      </c>
      <c r="BK101" s="46">
        <v>0</v>
      </c>
      <c r="BL101" s="45">
        <v>19</v>
      </c>
      <c r="BM101" s="46">
        <v>63.333333333333336</v>
      </c>
      <c r="BN101" s="45">
        <v>30</v>
      </c>
    </row>
    <row r="102" spans="1:66" ht="15">
      <c r="A102" s="62" t="s">
        <v>296</v>
      </c>
      <c r="B102" s="62" t="s">
        <v>302</v>
      </c>
      <c r="C102" s="64" t="s">
        <v>1504</v>
      </c>
      <c r="D102" s="67">
        <v>3</v>
      </c>
      <c r="E102" s="68" t="s">
        <v>132</v>
      </c>
      <c r="F102" s="69">
        <v>32</v>
      </c>
      <c r="G102" s="64"/>
      <c r="H102" s="70"/>
      <c r="I102" s="71"/>
      <c r="J102" s="71"/>
      <c r="K102" s="31" t="s">
        <v>65</v>
      </c>
      <c r="L102" s="79">
        <v>102</v>
      </c>
      <c r="M102" s="79"/>
      <c r="N102" s="73"/>
      <c r="O102" s="66">
        <v>1</v>
      </c>
      <c r="P102" s="63" t="str">
        <f>REPLACE(INDEX(GroupVertices[Group],MATCH(Edges[[#This Row],[Vertex 1]],GroupVertices[Vertex],0)),1,1,"")</f>
        <v>3</v>
      </c>
      <c r="Q102" s="63" t="str">
        <f>REPLACE(INDEX(GroupVertices[Group],MATCH(Edges[[#This Row],[Vertex 2]],GroupVertices[Vertex],0)),1,1,"")</f>
        <v>1</v>
      </c>
      <c r="R102" s="66" t="s">
        <v>316</v>
      </c>
      <c r="S102" s="91">
        <v>44877.56275462963</v>
      </c>
      <c r="T102" s="66" t="s">
        <v>321</v>
      </c>
      <c r="U102" s="94" t="str">
        <f>HYPERLINK("https://www.youtube.com/watch?v=xb0JCOgMsXc&amp;feature=youtu.be")</f>
        <v>https://www.youtube.com/watch?v=xb0JCOgMsXc&amp;feature=youtu.be</v>
      </c>
      <c r="V102" s="66" t="s">
        <v>403</v>
      </c>
      <c r="W102" s="97" t="s">
        <v>424</v>
      </c>
      <c r="X102" s="94" t="str">
        <f>HYPERLINK("https://pbs.twimg.com/media/FhW7ZTpXkAAZ4Hh.jpg")</f>
        <v>https://pbs.twimg.com/media/FhW7ZTpXkAAZ4Hh.jpg</v>
      </c>
      <c r="Y102" s="94" t="str">
        <f>HYPERLINK("https://pbs.twimg.com/media/FhW7ZTpXkAAZ4Hh.jpg")</f>
        <v>https://pbs.twimg.com/media/FhW7ZTpXkAAZ4Hh.jpg</v>
      </c>
      <c r="Z102" s="91">
        <v>44877.56275462963</v>
      </c>
      <c r="AA102" s="100">
        <v>44877</v>
      </c>
      <c r="AB102" s="97" t="s">
        <v>467</v>
      </c>
      <c r="AC102" s="94" t="str">
        <f>HYPERLINK("https://twitter.com/adsdulantoscott/status/1591423156446789635")</f>
        <v>https://twitter.com/adsdulantoscott/status/1591423156446789635</v>
      </c>
      <c r="AD102" s="66"/>
      <c r="AE102" s="66"/>
      <c r="AF102" s="97" t="s">
        <v>600</v>
      </c>
      <c r="AG102" s="66"/>
      <c r="AH102" s="66" t="b">
        <v>0</v>
      </c>
      <c r="AI102" s="66">
        <v>0</v>
      </c>
      <c r="AJ102" s="97" t="s">
        <v>712</v>
      </c>
      <c r="AK102" s="66" t="b">
        <v>0</v>
      </c>
      <c r="AL102" s="66" t="s">
        <v>715</v>
      </c>
      <c r="AM102" s="66"/>
      <c r="AN102" s="97" t="s">
        <v>712</v>
      </c>
      <c r="AO102" s="66" t="b">
        <v>0</v>
      </c>
      <c r="AP102" s="66">
        <v>5</v>
      </c>
      <c r="AQ102" s="97" t="s">
        <v>601</v>
      </c>
      <c r="AR102" s="97" t="s">
        <v>718</v>
      </c>
      <c r="AS102" s="66" t="b">
        <v>0</v>
      </c>
      <c r="AT102" s="97" t="s">
        <v>601</v>
      </c>
      <c r="AU102" s="66" t="s">
        <v>241</v>
      </c>
      <c r="AV102" s="66">
        <v>0</v>
      </c>
      <c r="AW102" s="66">
        <v>0</v>
      </c>
      <c r="AX102" s="66"/>
      <c r="AY102" s="66"/>
      <c r="AZ102" s="66"/>
      <c r="BA102" s="66"/>
      <c r="BB102" s="66"/>
      <c r="BC102" s="66"/>
      <c r="BD102" s="66"/>
      <c r="BE102" s="66"/>
      <c r="BF102" s="45"/>
      <c r="BG102" s="46"/>
      <c r="BH102" s="45"/>
      <c r="BI102" s="46"/>
      <c r="BJ102" s="45"/>
      <c r="BK102" s="46"/>
      <c r="BL102" s="45"/>
      <c r="BM102" s="46"/>
      <c r="BN102" s="45"/>
    </row>
    <row r="103" spans="1:66" ht="15">
      <c r="A103" s="62" t="s">
        <v>297</v>
      </c>
      <c r="B103" s="62" t="s">
        <v>302</v>
      </c>
      <c r="C103" s="64" t="s">
        <v>1504</v>
      </c>
      <c r="D103" s="67">
        <v>3</v>
      </c>
      <c r="E103" s="68" t="s">
        <v>132</v>
      </c>
      <c r="F103" s="69">
        <v>32</v>
      </c>
      <c r="G103" s="64"/>
      <c r="H103" s="70"/>
      <c r="I103" s="71"/>
      <c r="J103" s="71"/>
      <c r="K103" s="31" t="s">
        <v>65</v>
      </c>
      <c r="L103" s="79">
        <v>103</v>
      </c>
      <c r="M103" s="79"/>
      <c r="N103" s="73"/>
      <c r="O103" s="66">
        <v>1</v>
      </c>
      <c r="P103" s="63" t="str">
        <f>REPLACE(INDEX(GroupVertices[Group],MATCH(Edges[[#This Row],[Vertex 1]],GroupVertices[Vertex],0)),1,1,"")</f>
        <v>1</v>
      </c>
      <c r="Q103" s="63" t="str">
        <f>REPLACE(INDEX(GroupVertices[Group],MATCH(Edges[[#This Row],[Vertex 2]],GroupVertices[Vertex],0)),1,1,"")</f>
        <v>1</v>
      </c>
      <c r="R103" s="66" t="s">
        <v>317</v>
      </c>
      <c r="S103" s="91">
        <v>44877.52521990741</v>
      </c>
      <c r="T103" s="66" t="s">
        <v>321</v>
      </c>
      <c r="U103" s="94" t="str">
        <f>HYPERLINK("https://www.youtube.com/watch?v=xb0JCOgMsXc&amp;feature=youtu.be")</f>
        <v>https://www.youtube.com/watch?v=xb0JCOgMsXc&amp;feature=youtu.be</v>
      </c>
      <c r="V103" s="66" t="s">
        <v>403</v>
      </c>
      <c r="W103" s="97" t="s">
        <v>424</v>
      </c>
      <c r="X103" s="94" t="str">
        <f>HYPERLINK("https://pbs.twimg.com/media/FhW7ZTpXkAAZ4Hh.jpg")</f>
        <v>https://pbs.twimg.com/media/FhW7ZTpXkAAZ4Hh.jpg</v>
      </c>
      <c r="Y103" s="94" t="str">
        <f>HYPERLINK("https://pbs.twimg.com/media/FhW7ZTpXkAAZ4Hh.jpg")</f>
        <v>https://pbs.twimg.com/media/FhW7ZTpXkAAZ4Hh.jpg</v>
      </c>
      <c r="Z103" s="91">
        <v>44877.52521990741</v>
      </c>
      <c r="AA103" s="100">
        <v>44877</v>
      </c>
      <c r="AB103" s="97" t="s">
        <v>468</v>
      </c>
      <c r="AC103" s="94" t="str">
        <f>HYPERLINK("https://twitter.com/hashtagmarketi7/status/1591409554893725697")</f>
        <v>https://twitter.com/hashtagmarketi7/status/1591409554893725697</v>
      </c>
      <c r="AD103" s="66"/>
      <c r="AE103" s="66"/>
      <c r="AF103" s="97" t="s">
        <v>601</v>
      </c>
      <c r="AG103" s="66"/>
      <c r="AH103" s="66" t="b">
        <v>0</v>
      </c>
      <c r="AI103" s="66">
        <v>6</v>
      </c>
      <c r="AJ103" s="97" t="s">
        <v>712</v>
      </c>
      <c r="AK103" s="66" t="b">
        <v>0</v>
      </c>
      <c r="AL103" s="66" t="s">
        <v>715</v>
      </c>
      <c r="AM103" s="66"/>
      <c r="AN103" s="97" t="s">
        <v>712</v>
      </c>
      <c r="AO103" s="66" t="b">
        <v>0</v>
      </c>
      <c r="AP103" s="66">
        <v>5</v>
      </c>
      <c r="AQ103" s="97" t="s">
        <v>712</v>
      </c>
      <c r="AR103" s="97" t="s">
        <v>717</v>
      </c>
      <c r="AS103" s="66" t="b">
        <v>0</v>
      </c>
      <c r="AT103" s="97" t="s">
        <v>601</v>
      </c>
      <c r="AU103" s="66" t="s">
        <v>241</v>
      </c>
      <c r="AV103" s="66">
        <v>0</v>
      </c>
      <c r="AW103" s="66">
        <v>0</v>
      </c>
      <c r="AX103" s="66"/>
      <c r="AY103" s="66"/>
      <c r="AZ103" s="66"/>
      <c r="BA103" s="66"/>
      <c r="BB103" s="66"/>
      <c r="BC103" s="66"/>
      <c r="BD103" s="66"/>
      <c r="BE103" s="66"/>
      <c r="BF103" s="45"/>
      <c r="BG103" s="46"/>
      <c r="BH103" s="45"/>
      <c r="BI103" s="46"/>
      <c r="BJ103" s="45"/>
      <c r="BK103" s="46"/>
      <c r="BL103" s="45"/>
      <c r="BM103" s="46"/>
      <c r="BN103" s="45"/>
    </row>
    <row r="104" spans="1:66" ht="15">
      <c r="A104" s="62" t="s">
        <v>298</v>
      </c>
      <c r="B104" s="62" t="s">
        <v>302</v>
      </c>
      <c r="C104" s="64" t="s">
        <v>1504</v>
      </c>
      <c r="D104" s="67">
        <v>3</v>
      </c>
      <c r="E104" s="68" t="s">
        <v>132</v>
      </c>
      <c r="F104" s="69">
        <v>32</v>
      </c>
      <c r="G104" s="64"/>
      <c r="H104" s="70"/>
      <c r="I104" s="71"/>
      <c r="J104" s="71"/>
      <c r="K104" s="31" t="s">
        <v>66</v>
      </c>
      <c r="L104" s="79">
        <v>104</v>
      </c>
      <c r="M104" s="79"/>
      <c r="N104" s="73"/>
      <c r="O104" s="66">
        <v>1</v>
      </c>
      <c r="P104" s="63" t="str">
        <f>REPLACE(INDEX(GroupVertices[Group],MATCH(Edges[[#This Row],[Vertex 1]],GroupVertices[Vertex],0)),1,1,"")</f>
        <v>2</v>
      </c>
      <c r="Q104" s="63" t="str">
        <f>REPLACE(INDEX(GroupVertices[Group],MATCH(Edges[[#This Row],[Vertex 2]],GroupVertices[Vertex],0)),1,1,"")</f>
        <v>1</v>
      </c>
      <c r="R104" s="66" t="s">
        <v>315</v>
      </c>
      <c r="S104" s="91">
        <v>44877.404756944445</v>
      </c>
      <c r="T104" s="66" t="s">
        <v>338</v>
      </c>
      <c r="U104" s="94" t="str">
        <f>HYPERLINK("https://www.locomunicas.es/cumbre-internacional/")</f>
        <v>https://www.locomunicas.es/cumbre-internacional/</v>
      </c>
      <c r="V104" s="66" t="s">
        <v>410</v>
      </c>
      <c r="W104" s="97" t="s">
        <v>432</v>
      </c>
      <c r="X104" s="66"/>
      <c r="Y104" s="94" t="str">
        <f>HYPERLINK("https://pbs.twimg.com/profile_images/1416462775400927235/DSrY8TK-_normal.jpg")</f>
        <v>https://pbs.twimg.com/profile_images/1416462775400927235/DSrY8TK-_normal.jpg</v>
      </c>
      <c r="Z104" s="91">
        <v>44877.404756944445</v>
      </c>
      <c r="AA104" s="100">
        <v>44877</v>
      </c>
      <c r="AB104" s="97" t="s">
        <v>482</v>
      </c>
      <c r="AC104" s="94" t="str">
        <f>HYPERLINK("https://twitter.com/transvisionmad1/status/1591365902465105920")</f>
        <v>https://twitter.com/transvisionmad1/status/1591365902465105920</v>
      </c>
      <c r="AD104" s="66"/>
      <c r="AE104" s="66"/>
      <c r="AF104" s="97" t="s">
        <v>615</v>
      </c>
      <c r="AG104" s="66"/>
      <c r="AH104" s="66" t="b">
        <v>0</v>
      </c>
      <c r="AI104" s="66">
        <v>0</v>
      </c>
      <c r="AJ104" s="97" t="s">
        <v>712</v>
      </c>
      <c r="AK104" s="66" t="b">
        <v>0</v>
      </c>
      <c r="AL104" s="66" t="s">
        <v>715</v>
      </c>
      <c r="AM104" s="66"/>
      <c r="AN104" s="97" t="s">
        <v>712</v>
      </c>
      <c r="AO104" s="66" t="b">
        <v>0</v>
      </c>
      <c r="AP104" s="66">
        <v>2</v>
      </c>
      <c r="AQ104" s="97" t="s">
        <v>614</v>
      </c>
      <c r="AR104" s="97" t="s">
        <v>717</v>
      </c>
      <c r="AS104" s="66" t="b">
        <v>0</v>
      </c>
      <c r="AT104" s="97" t="s">
        <v>614</v>
      </c>
      <c r="AU104" s="66" t="s">
        <v>241</v>
      </c>
      <c r="AV104" s="66">
        <v>0</v>
      </c>
      <c r="AW104" s="66">
        <v>0</v>
      </c>
      <c r="AX104" s="66"/>
      <c r="AY104" s="66"/>
      <c r="AZ104" s="66"/>
      <c r="BA104" s="66"/>
      <c r="BB104" s="66"/>
      <c r="BC104" s="66"/>
      <c r="BD104" s="66"/>
      <c r="BE104" s="66"/>
      <c r="BF104" s="45">
        <v>0</v>
      </c>
      <c r="BG104" s="46">
        <v>0</v>
      </c>
      <c r="BH104" s="45">
        <v>0</v>
      </c>
      <c r="BI104" s="46">
        <v>0</v>
      </c>
      <c r="BJ104" s="45">
        <v>0</v>
      </c>
      <c r="BK104" s="46">
        <v>0</v>
      </c>
      <c r="BL104" s="45">
        <v>19</v>
      </c>
      <c r="BM104" s="46">
        <v>63.333333333333336</v>
      </c>
      <c r="BN104" s="45">
        <v>30</v>
      </c>
    </row>
    <row r="105" spans="1:66" ht="15">
      <c r="A105" s="62" t="s">
        <v>298</v>
      </c>
      <c r="B105" s="62" t="s">
        <v>302</v>
      </c>
      <c r="C105" s="64" t="s">
        <v>1504</v>
      </c>
      <c r="D105" s="67">
        <v>3</v>
      </c>
      <c r="E105" s="68" t="s">
        <v>132</v>
      </c>
      <c r="F105" s="69">
        <v>32</v>
      </c>
      <c r="G105" s="64"/>
      <c r="H105" s="70"/>
      <c r="I105" s="71"/>
      <c r="J105" s="71"/>
      <c r="K105" s="31" t="s">
        <v>66</v>
      </c>
      <c r="L105" s="79">
        <v>105</v>
      </c>
      <c r="M105" s="79"/>
      <c r="N105" s="73"/>
      <c r="O105" s="66">
        <v>1</v>
      </c>
      <c r="P105" s="63" t="str">
        <f>REPLACE(INDEX(GroupVertices[Group],MATCH(Edges[[#This Row],[Vertex 1]],GroupVertices[Vertex],0)),1,1,"")</f>
        <v>2</v>
      </c>
      <c r="Q105" s="63" t="str">
        <f>REPLACE(INDEX(GroupVertices[Group],MATCH(Edges[[#This Row],[Vertex 2]],GroupVertices[Vertex],0)),1,1,"")</f>
        <v>1</v>
      </c>
      <c r="R105" s="66" t="s">
        <v>316</v>
      </c>
      <c r="S105" s="91">
        <v>44877.526192129626</v>
      </c>
      <c r="T105" s="66" t="s">
        <v>321</v>
      </c>
      <c r="U105" s="94" t="str">
        <f>HYPERLINK("https://www.youtube.com/watch?v=xb0JCOgMsXc&amp;feature=youtu.be")</f>
        <v>https://www.youtube.com/watch?v=xb0JCOgMsXc&amp;feature=youtu.be</v>
      </c>
      <c r="V105" s="66" t="s">
        <v>403</v>
      </c>
      <c r="W105" s="97" t="s">
        <v>424</v>
      </c>
      <c r="X105" s="94" t="str">
        <f>HYPERLINK("https://pbs.twimg.com/media/FhW7ZTpXkAAZ4Hh.jpg")</f>
        <v>https://pbs.twimg.com/media/FhW7ZTpXkAAZ4Hh.jpg</v>
      </c>
      <c r="Y105" s="94" t="str">
        <f>HYPERLINK("https://pbs.twimg.com/media/FhW7ZTpXkAAZ4Hh.jpg")</f>
        <v>https://pbs.twimg.com/media/FhW7ZTpXkAAZ4Hh.jpg</v>
      </c>
      <c r="Z105" s="91">
        <v>44877.526192129626</v>
      </c>
      <c r="AA105" s="100">
        <v>44877</v>
      </c>
      <c r="AB105" s="97" t="s">
        <v>469</v>
      </c>
      <c r="AC105" s="94" t="str">
        <f>HYPERLINK("https://twitter.com/transvisionmad1/status/1591409908440002562")</f>
        <v>https://twitter.com/transvisionmad1/status/1591409908440002562</v>
      </c>
      <c r="AD105" s="66"/>
      <c r="AE105" s="66"/>
      <c r="AF105" s="97" t="s">
        <v>602</v>
      </c>
      <c r="AG105" s="66"/>
      <c r="AH105" s="66" t="b">
        <v>0</v>
      </c>
      <c r="AI105" s="66">
        <v>0</v>
      </c>
      <c r="AJ105" s="97" t="s">
        <v>712</v>
      </c>
      <c r="AK105" s="66" t="b">
        <v>0</v>
      </c>
      <c r="AL105" s="66" t="s">
        <v>715</v>
      </c>
      <c r="AM105" s="66"/>
      <c r="AN105" s="97" t="s">
        <v>712</v>
      </c>
      <c r="AO105" s="66" t="b">
        <v>0</v>
      </c>
      <c r="AP105" s="66">
        <v>5</v>
      </c>
      <c r="AQ105" s="97" t="s">
        <v>601</v>
      </c>
      <c r="AR105" s="97" t="s">
        <v>717</v>
      </c>
      <c r="AS105" s="66" t="b">
        <v>0</v>
      </c>
      <c r="AT105" s="97" t="s">
        <v>601</v>
      </c>
      <c r="AU105" s="66" t="s">
        <v>241</v>
      </c>
      <c r="AV105" s="66">
        <v>0</v>
      </c>
      <c r="AW105" s="66">
        <v>0</v>
      </c>
      <c r="AX105" s="66"/>
      <c r="AY105" s="66"/>
      <c r="AZ105" s="66"/>
      <c r="BA105" s="66"/>
      <c r="BB105" s="66"/>
      <c r="BC105" s="66"/>
      <c r="BD105" s="66"/>
      <c r="BE105" s="66"/>
      <c r="BF105" s="45"/>
      <c r="BG105" s="46"/>
      <c r="BH105" s="45"/>
      <c r="BI105" s="46"/>
      <c r="BJ105" s="45"/>
      <c r="BK105" s="46"/>
      <c r="BL105" s="45"/>
      <c r="BM105" s="46"/>
      <c r="BN105" s="45"/>
    </row>
    <row r="106" spans="1:66" ht="15">
      <c r="A106" s="62" t="s">
        <v>296</v>
      </c>
      <c r="B106" s="62" t="s">
        <v>298</v>
      </c>
      <c r="C106" s="64" t="s">
        <v>1506</v>
      </c>
      <c r="D106" s="67">
        <v>6.5</v>
      </c>
      <c r="E106" s="68" t="s">
        <v>136</v>
      </c>
      <c r="F106" s="69">
        <v>30.470588235294116</v>
      </c>
      <c r="G106" s="64"/>
      <c r="H106" s="70"/>
      <c r="I106" s="71"/>
      <c r="J106" s="71"/>
      <c r="K106" s="31" t="s">
        <v>66</v>
      </c>
      <c r="L106" s="79">
        <v>106</v>
      </c>
      <c r="M106" s="79"/>
      <c r="N106" s="73"/>
      <c r="O106" s="66">
        <v>3</v>
      </c>
      <c r="P106" s="63" t="str">
        <f>REPLACE(INDEX(GroupVertices[Group],MATCH(Edges[[#This Row],[Vertex 1]],GroupVertices[Vertex],0)),1,1,"")</f>
        <v>3</v>
      </c>
      <c r="Q106" s="63" t="str">
        <f>REPLACE(INDEX(GroupVertices[Group],MATCH(Edges[[#This Row],[Vertex 2]],GroupVertices[Vertex],0)),1,1,"")</f>
        <v>2</v>
      </c>
      <c r="R106" s="66" t="s">
        <v>315</v>
      </c>
      <c r="S106" s="91">
        <v>44877.46508101852</v>
      </c>
      <c r="T106" s="66" t="s">
        <v>339</v>
      </c>
      <c r="U106" s="94" t="str">
        <f>HYPERLINK("https://www.youtube.com/watch?v=xb0JCOgMsXc")</f>
        <v>https://www.youtube.com/watch?v=xb0JCOgMsXc</v>
      </c>
      <c r="V106" s="66" t="s">
        <v>403</v>
      </c>
      <c r="W106" s="97" t="s">
        <v>433</v>
      </c>
      <c r="X106" s="94" t="str">
        <f>HYPERLINK("https://pbs.twimg.com/media/FhW1XNFXgAACXVj.jpg")</f>
        <v>https://pbs.twimg.com/media/FhW1XNFXgAACXVj.jpg</v>
      </c>
      <c r="Y106" s="94" t="str">
        <f>HYPERLINK("https://pbs.twimg.com/media/FhW1XNFXgAACXVj.jpg")</f>
        <v>https://pbs.twimg.com/media/FhW1XNFXgAACXVj.jpg</v>
      </c>
      <c r="Z106" s="91">
        <v>44877.46508101852</v>
      </c>
      <c r="AA106" s="100">
        <v>44877</v>
      </c>
      <c r="AB106" s="97" t="s">
        <v>483</v>
      </c>
      <c r="AC106" s="94" t="str">
        <f>HYPERLINK("https://twitter.com/adsdulantoscott/status/1591387760287690754")</f>
        <v>https://twitter.com/adsdulantoscott/status/1591387760287690754</v>
      </c>
      <c r="AD106" s="66"/>
      <c r="AE106" s="66"/>
      <c r="AF106" s="97" t="s">
        <v>616</v>
      </c>
      <c r="AG106" s="66"/>
      <c r="AH106" s="66" t="b">
        <v>0</v>
      </c>
      <c r="AI106" s="66">
        <v>0</v>
      </c>
      <c r="AJ106" s="97" t="s">
        <v>712</v>
      </c>
      <c r="AK106" s="66" t="b">
        <v>0</v>
      </c>
      <c r="AL106" s="66" t="s">
        <v>715</v>
      </c>
      <c r="AM106" s="66"/>
      <c r="AN106" s="97" t="s">
        <v>712</v>
      </c>
      <c r="AO106" s="66" t="b">
        <v>0</v>
      </c>
      <c r="AP106" s="66">
        <v>2</v>
      </c>
      <c r="AQ106" s="97" t="s">
        <v>653</v>
      </c>
      <c r="AR106" s="97" t="s">
        <v>718</v>
      </c>
      <c r="AS106" s="66" t="b">
        <v>0</v>
      </c>
      <c r="AT106" s="97" t="s">
        <v>653</v>
      </c>
      <c r="AU106" s="66" t="s">
        <v>241</v>
      </c>
      <c r="AV106" s="66">
        <v>0</v>
      </c>
      <c r="AW106" s="66">
        <v>0</v>
      </c>
      <c r="AX106" s="66"/>
      <c r="AY106" s="66"/>
      <c r="AZ106" s="66"/>
      <c r="BA106" s="66"/>
      <c r="BB106" s="66"/>
      <c r="BC106" s="66"/>
      <c r="BD106" s="66"/>
      <c r="BE106" s="66"/>
      <c r="BF106" s="45">
        <v>0</v>
      </c>
      <c r="BG106" s="46">
        <v>0</v>
      </c>
      <c r="BH106" s="45">
        <v>0</v>
      </c>
      <c r="BI106" s="46">
        <v>0</v>
      </c>
      <c r="BJ106" s="45">
        <v>0</v>
      </c>
      <c r="BK106" s="46">
        <v>0</v>
      </c>
      <c r="BL106" s="45">
        <v>22</v>
      </c>
      <c r="BM106" s="46">
        <v>66.66666666666667</v>
      </c>
      <c r="BN106" s="45">
        <v>33</v>
      </c>
    </row>
    <row r="107" spans="1:66" ht="15">
      <c r="A107" s="62" t="s">
        <v>296</v>
      </c>
      <c r="B107" s="62" t="s">
        <v>305</v>
      </c>
      <c r="C107" s="64" t="s">
        <v>1505</v>
      </c>
      <c r="D107" s="67">
        <v>4.75</v>
      </c>
      <c r="E107" s="68" t="s">
        <v>136</v>
      </c>
      <c r="F107" s="69">
        <v>31.235294117647058</v>
      </c>
      <c r="G107" s="64"/>
      <c r="H107" s="70"/>
      <c r="I107" s="71"/>
      <c r="J107" s="71"/>
      <c r="K107" s="31" t="s">
        <v>65</v>
      </c>
      <c r="L107" s="79">
        <v>107</v>
      </c>
      <c r="M107" s="79"/>
      <c r="N107" s="73"/>
      <c r="O107" s="66">
        <v>2</v>
      </c>
      <c r="P107" s="63" t="str">
        <f>REPLACE(INDEX(GroupVertices[Group],MATCH(Edges[[#This Row],[Vertex 1]],GroupVertices[Vertex],0)),1,1,"")</f>
        <v>3</v>
      </c>
      <c r="Q107" s="63" t="str">
        <f>REPLACE(INDEX(GroupVertices[Group],MATCH(Edges[[#This Row],[Vertex 2]],GroupVertices[Vertex],0)),1,1,"")</f>
        <v>4</v>
      </c>
      <c r="R107" s="66" t="s">
        <v>316</v>
      </c>
      <c r="S107" s="91">
        <v>44877.465775462966</v>
      </c>
      <c r="T107" s="66" t="s">
        <v>320</v>
      </c>
      <c r="U107" s="94" t="str">
        <f>HYPERLINK("https://www.youtube.com/watch?v=xb0JCOgMsXc&amp;feature=youtu.be")</f>
        <v>https://www.youtube.com/watch?v=xb0JCOgMsXc&amp;feature=youtu.be</v>
      </c>
      <c r="V107" s="66" t="s">
        <v>403</v>
      </c>
      <c r="W107" s="97" t="s">
        <v>423</v>
      </c>
      <c r="X107" s="94" t="str">
        <f>HYPERLINK("https://pbs.twimg.com/media/FhWu7YzX0AEJMfI.png")</f>
        <v>https://pbs.twimg.com/media/FhWu7YzX0AEJMfI.png</v>
      </c>
      <c r="Y107" s="94" t="str">
        <f>HYPERLINK("https://pbs.twimg.com/media/FhWu7YzX0AEJMfI.png")</f>
        <v>https://pbs.twimg.com/media/FhWu7YzX0AEJMfI.png</v>
      </c>
      <c r="Z107" s="91">
        <v>44877.465775462966</v>
      </c>
      <c r="AA107" s="100">
        <v>44877</v>
      </c>
      <c r="AB107" s="97" t="s">
        <v>472</v>
      </c>
      <c r="AC107" s="94" t="str">
        <f>HYPERLINK("https://twitter.com/adsdulantoscott/status/1591388011895623680")</f>
        <v>https://twitter.com/adsdulantoscott/status/1591388011895623680</v>
      </c>
      <c r="AD107" s="66"/>
      <c r="AE107" s="66"/>
      <c r="AF107" s="97" t="s">
        <v>605</v>
      </c>
      <c r="AG107" s="66"/>
      <c r="AH107" s="66" t="b">
        <v>0</v>
      </c>
      <c r="AI107" s="66">
        <v>0</v>
      </c>
      <c r="AJ107" s="97" t="s">
        <v>712</v>
      </c>
      <c r="AK107" s="66" t="b">
        <v>0</v>
      </c>
      <c r="AL107" s="66" t="s">
        <v>715</v>
      </c>
      <c r="AM107" s="66"/>
      <c r="AN107" s="97" t="s">
        <v>712</v>
      </c>
      <c r="AO107" s="66" t="b">
        <v>0</v>
      </c>
      <c r="AP107" s="66">
        <v>5</v>
      </c>
      <c r="AQ107" s="97" t="s">
        <v>613</v>
      </c>
      <c r="AR107" s="97" t="s">
        <v>718</v>
      </c>
      <c r="AS107" s="66" t="b">
        <v>0</v>
      </c>
      <c r="AT107" s="97" t="s">
        <v>613</v>
      </c>
      <c r="AU107" s="66" t="s">
        <v>241</v>
      </c>
      <c r="AV107" s="66">
        <v>0</v>
      </c>
      <c r="AW107" s="66">
        <v>0</v>
      </c>
      <c r="AX107" s="66"/>
      <c r="AY107" s="66"/>
      <c r="AZ107" s="66"/>
      <c r="BA107" s="66"/>
      <c r="BB107" s="66"/>
      <c r="BC107" s="66"/>
      <c r="BD107" s="66"/>
      <c r="BE107" s="66"/>
      <c r="BF107" s="45"/>
      <c r="BG107" s="46"/>
      <c r="BH107" s="45"/>
      <c r="BI107" s="46"/>
      <c r="BJ107" s="45"/>
      <c r="BK107" s="46"/>
      <c r="BL107" s="45"/>
      <c r="BM107" s="46"/>
      <c r="BN107" s="45"/>
    </row>
    <row r="108" spans="1:66" ht="15">
      <c r="A108" s="62" t="s">
        <v>296</v>
      </c>
      <c r="B108" s="62" t="s">
        <v>300</v>
      </c>
      <c r="C108" s="64" t="s">
        <v>1504</v>
      </c>
      <c r="D108" s="67">
        <v>3</v>
      </c>
      <c r="E108" s="68" t="s">
        <v>132</v>
      </c>
      <c r="F108" s="69">
        <v>32</v>
      </c>
      <c r="G108" s="64"/>
      <c r="H108" s="70"/>
      <c r="I108" s="71"/>
      <c r="J108" s="71"/>
      <c r="K108" s="31" t="s">
        <v>65</v>
      </c>
      <c r="L108" s="79">
        <v>108</v>
      </c>
      <c r="M108" s="79"/>
      <c r="N108" s="73"/>
      <c r="O108" s="66">
        <v>1</v>
      </c>
      <c r="P108" s="63" t="str">
        <f>REPLACE(INDEX(GroupVertices[Group],MATCH(Edges[[#This Row],[Vertex 1]],GroupVertices[Vertex],0)),1,1,"")</f>
        <v>3</v>
      </c>
      <c r="Q108" s="63" t="str">
        <f>REPLACE(INDEX(GroupVertices[Group],MATCH(Edges[[#This Row],[Vertex 2]],GroupVertices[Vertex],0)),1,1,"")</f>
        <v>3</v>
      </c>
      <c r="R108" s="66" t="s">
        <v>316</v>
      </c>
      <c r="S108" s="91">
        <v>44877.465775462966</v>
      </c>
      <c r="T108" s="66" t="s">
        <v>320</v>
      </c>
      <c r="U108" s="94" t="str">
        <f>HYPERLINK("https://www.youtube.com/watch?v=xb0JCOgMsXc&amp;feature=youtu.be")</f>
        <v>https://www.youtube.com/watch?v=xb0JCOgMsXc&amp;feature=youtu.be</v>
      </c>
      <c r="V108" s="66" t="s">
        <v>403</v>
      </c>
      <c r="W108" s="97" t="s">
        <v>423</v>
      </c>
      <c r="X108" s="94" t="str">
        <f>HYPERLINK("https://pbs.twimg.com/media/FhWu7YzX0AEJMfI.png")</f>
        <v>https://pbs.twimg.com/media/FhWu7YzX0AEJMfI.png</v>
      </c>
      <c r="Y108" s="94" t="str">
        <f>HYPERLINK("https://pbs.twimg.com/media/FhWu7YzX0AEJMfI.png")</f>
        <v>https://pbs.twimg.com/media/FhWu7YzX0AEJMfI.png</v>
      </c>
      <c r="Z108" s="91">
        <v>44877.465775462966</v>
      </c>
      <c r="AA108" s="100">
        <v>44877</v>
      </c>
      <c r="AB108" s="97" t="s">
        <v>472</v>
      </c>
      <c r="AC108" s="94" t="str">
        <f>HYPERLINK("https://twitter.com/adsdulantoscott/status/1591388011895623680")</f>
        <v>https://twitter.com/adsdulantoscott/status/1591388011895623680</v>
      </c>
      <c r="AD108" s="66"/>
      <c r="AE108" s="66"/>
      <c r="AF108" s="97" t="s">
        <v>605</v>
      </c>
      <c r="AG108" s="66"/>
      <c r="AH108" s="66" t="b">
        <v>0</v>
      </c>
      <c r="AI108" s="66">
        <v>0</v>
      </c>
      <c r="AJ108" s="97" t="s">
        <v>712</v>
      </c>
      <c r="AK108" s="66" t="b">
        <v>0</v>
      </c>
      <c r="AL108" s="66" t="s">
        <v>715</v>
      </c>
      <c r="AM108" s="66"/>
      <c r="AN108" s="97" t="s">
        <v>712</v>
      </c>
      <c r="AO108" s="66" t="b">
        <v>0</v>
      </c>
      <c r="AP108" s="66">
        <v>5</v>
      </c>
      <c r="AQ108" s="97" t="s">
        <v>613</v>
      </c>
      <c r="AR108" s="97" t="s">
        <v>718</v>
      </c>
      <c r="AS108" s="66" t="b">
        <v>0</v>
      </c>
      <c r="AT108" s="97" t="s">
        <v>613</v>
      </c>
      <c r="AU108" s="66" t="s">
        <v>241</v>
      </c>
      <c r="AV108" s="66">
        <v>0</v>
      </c>
      <c r="AW108" s="66">
        <v>0</v>
      </c>
      <c r="AX108" s="66"/>
      <c r="AY108" s="66"/>
      <c r="AZ108" s="66"/>
      <c r="BA108" s="66"/>
      <c r="BB108" s="66"/>
      <c r="BC108" s="66"/>
      <c r="BD108" s="66"/>
      <c r="BE108" s="66"/>
      <c r="BF108" s="45"/>
      <c r="BG108" s="46"/>
      <c r="BH108" s="45"/>
      <c r="BI108" s="46"/>
      <c r="BJ108" s="45"/>
      <c r="BK108" s="46"/>
      <c r="BL108" s="45"/>
      <c r="BM108" s="46"/>
      <c r="BN108" s="45"/>
    </row>
    <row r="109" spans="1:66" ht="15">
      <c r="A109" s="62" t="s">
        <v>296</v>
      </c>
      <c r="B109" s="62" t="s">
        <v>307</v>
      </c>
      <c r="C109" s="64" t="s">
        <v>1505</v>
      </c>
      <c r="D109" s="67">
        <v>4.75</v>
      </c>
      <c r="E109" s="68" t="s">
        <v>136</v>
      </c>
      <c r="F109" s="69">
        <v>31.235294117647058</v>
      </c>
      <c r="G109" s="64"/>
      <c r="H109" s="70"/>
      <c r="I109" s="71"/>
      <c r="J109" s="71"/>
      <c r="K109" s="31" t="s">
        <v>65</v>
      </c>
      <c r="L109" s="79">
        <v>109</v>
      </c>
      <c r="M109" s="79"/>
      <c r="N109" s="73"/>
      <c r="O109" s="66">
        <v>2</v>
      </c>
      <c r="P109" s="63" t="str">
        <f>REPLACE(INDEX(GroupVertices[Group],MATCH(Edges[[#This Row],[Vertex 1]],GroupVertices[Vertex],0)),1,1,"")</f>
        <v>3</v>
      </c>
      <c r="Q109" s="63" t="str">
        <f>REPLACE(INDEX(GroupVertices[Group],MATCH(Edges[[#This Row],[Vertex 2]],GroupVertices[Vertex],0)),1,1,"")</f>
        <v>3</v>
      </c>
      <c r="R109" s="66" t="s">
        <v>316</v>
      </c>
      <c r="S109" s="91">
        <v>44877.465775462966</v>
      </c>
      <c r="T109" s="66" t="s">
        <v>320</v>
      </c>
      <c r="U109" s="94" t="str">
        <f>HYPERLINK("https://www.youtube.com/watch?v=xb0JCOgMsXc&amp;feature=youtu.be")</f>
        <v>https://www.youtube.com/watch?v=xb0JCOgMsXc&amp;feature=youtu.be</v>
      </c>
      <c r="V109" s="66" t="s">
        <v>403</v>
      </c>
      <c r="W109" s="97" t="s">
        <v>423</v>
      </c>
      <c r="X109" s="94" t="str">
        <f>HYPERLINK("https://pbs.twimg.com/media/FhWu7YzX0AEJMfI.png")</f>
        <v>https://pbs.twimg.com/media/FhWu7YzX0AEJMfI.png</v>
      </c>
      <c r="Y109" s="94" t="str">
        <f>HYPERLINK("https://pbs.twimg.com/media/FhWu7YzX0AEJMfI.png")</f>
        <v>https://pbs.twimg.com/media/FhWu7YzX0AEJMfI.png</v>
      </c>
      <c r="Z109" s="91">
        <v>44877.465775462966</v>
      </c>
      <c r="AA109" s="100">
        <v>44877</v>
      </c>
      <c r="AB109" s="97" t="s">
        <v>472</v>
      </c>
      <c r="AC109" s="94" t="str">
        <f>HYPERLINK("https://twitter.com/adsdulantoscott/status/1591388011895623680")</f>
        <v>https://twitter.com/adsdulantoscott/status/1591388011895623680</v>
      </c>
      <c r="AD109" s="66"/>
      <c r="AE109" s="66"/>
      <c r="AF109" s="97" t="s">
        <v>605</v>
      </c>
      <c r="AG109" s="66"/>
      <c r="AH109" s="66" t="b">
        <v>0</v>
      </c>
      <c r="AI109" s="66">
        <v>0</v>
      </c>
      <c r="AJ109" s="97" t="s">
        <v>712</v>
      </c>
      <c r="AK109" s="66" t="b">
        <v>0</v>
      </c>
      <c r="AL109" s="66" t="s">
        <v>715</v>
      </c>
      <c r="AM109" s="66"/>
      <c r="AN109" s="97" t="s">
        <v>712</v>
      </c>
      <c r="AO109" s="66" t="b">
        <v>0</v>
      </c>
      <c r="AP109" s="66">
        <v>5</v>
      </c>
      <c r="AQ109" s="97" t="s">
        <v>613</v>
      </c>
      <c r="AR109" s="97" t="s">
        <v>718</v>
      </c>
      <c r="AS109" s="66" t="b">
        <v>0</v>
      </c>
      <c r="AT109" s="97" t="s">
        <v>613</v>
      </c>
      <c r="AU109" s="66" t="s">
        <v>241</v>
      </c>
      <c r="AV109" s="66">
        <v>0</v>
      </c>
      <c r="AW109" s="66">
        <v>0</v>
      </c>
      <c r="AX109" s="66"/>
      <c r="AY109" s="66"/>
      <c r="AZ109" s="66"/>
      <c r="BA109" s="66"/>
      <c r="BB109" s="66"/>
      <c r="BC109" s="66"/>
      <c r="BD109" s="66"/>
      <c r="BE109" s="66"/>
      <c r="BF109" s="45"/>
      <c r="BG109" s="46"/>
      <c r="BH109" s="45"/>
      <c r="BI109" s="46"/>
      <c r="BJ109" s="45"/>
      <c r="BK109" s="46"/>
      <c r="BL109" s="45"/>
      <c r="BM109" s="46"/>
      <c r="BN109" s="45"/>
    </row>
    <row r="110" spans="1:66" ht="15">
      <c r="A110" s="62" t="s">
        <v>296</v>
      </c>
      <c r="B110" s="62" t="s">
        <v>308</v>
      </c>
      <c r="C110" s="64" t="s">
        <v>1505</v>
      </c>
      <c r="D110" s="67">
        <v>4.75</v>
      </c>
      <c r="E110" s="68" t="s">
        <v>136</v>
      </c>
      <c r="F110" s="69">
        <v>31.235294117647058</v>
      </c>
      <c r="G110" s="64"/>
      <c r="H110" s="70"/>
      <c r="I110" s="71"/>
      <c r="J110" s="71"/>
      <c r="K110" s="31" t="s">
        <v>65</v>
      </c>
      <c r="L110" s="79">
        <v>110</v>
      </c>
      <c r="M110" s="79"/>
      <c r="N110" s="73"/>
      <c r="O110" s="66">
        <v>2</v>
      </c>
      <c r="P110" s="63" t="str">
        <f>REPLACE(INDEX(GroupVertices[Group],MATCH(Edges[[#This Row],[Vertex 1]],GroupVertices[Vertex],0)),1,1,"")</f>
        <v>3</v>
      </c>
      <c r="Q110" s="63" t="str">
        <f>REPLACE(INDEX(GroupVertices[Group],MATCH(Edges[[#This Row],[Vertex 2]],GroupVertices[Vertex],0)),1,1,"")</f>
        <v>3</v>
      </c>
      <c r="R110" s="66" t="s">
        <v>316</v>
      </c>
      <c r="S110" s="91">
        <v>44877.465775462966</v>
      </c>
      <c r="T110" s="66" t="s">
        <v>320</v>
      </c>
      <c r="U110" s="94" t="str">
        <f>HYPERLINK("https://www.youtube.com/watch?v=xb0JCOgMsXc&amp;feature=youtu.be")</f>
        <v>https://www.youtube.com/watch?v=xb0JCOgMsXc&amp;feature=youtu.be</v>
      </c>
      <c r="V110" s="66" t="s">
        <v>403</v>
      </c>
      <c r="W110" s="97" t="s">
        <v>423</v>
      </c>
      <c r="X110" s="94" t="str">
        <f>HYPERLINK("https://pbs.twimg.com/media/FhWu7YzX0AEJMfI.png")</f>
        <v>https://pbs.twimg.com/media/FhWu7YzX0AEJMfI.png</v>
      </c>
      <c r="Y110" s="94" t="str">
        <f>HYPERLINK("https://pbs.twimg.com/media/FhWu7YzX0AEJMfI.png")</f>
        <v>https://pbs.twimg.com/media/FhWu7YzX0AEJMfI.png</v>
      </c>
      <c r="Z110" s="91">
        <v>44877.465775462966</v>
      </c>
      <c r="AA110" s="100">
        <v>44877</v>
      </c>
      <c r="AB110" s="97" t="s">
        <v>472</v>
      </c>
      <c r="AC110" s="94" t="str">
        <f>HYPERLINK("https://twitter.com/adsdulantoscott/status/1591388011895623680")</f>
        <v>https://twitter.com/adsdulantoscott/status/1591388011895623680</v>
      </c>
      <c r="AD110" s="66"/>
      <c r="AE110" s="66"/>
      <c r="AF110" s="97" t="s">
        <v>605</v>
      </c>
      <c r="AG110" s="66"/>
      <c r="AH110" s="66" t="b">
        <v>0</v>
      </c>
      <c r="AI110" s="66">
        <v>0</v>
      </c>
      <c r="AJ110" s="97" t="s">
        <v>712</v>
      </c>
      <c r="AK110" s="66" t="b">
        <v>0</v>
      </c>
      <c r="AL110" s="66" t="s">
        <v>715</v>
      </c>
      <c r="AM110" s="66"/>
      <c r="AN110" s="97" t="s">
        <v>712</v>
      </c>
      <c r="AO110" s="66" t="b">
        <v>0</v>
      </c>
      <c r="AP110" s="66">
        <v>5</v>
      </c>
      <c r="AQ110" s="97" t="s">
        <v>613</v>
      </c>
      <c r="AR110" s="97" t="s">
        <v>718</v>
      </c>
      <c r="AS110" s="66" t="b">
        <v>0</v>
      </c>
      <c r="AT110" s="97" t="s">
        <v>613</v>
      </c>
      <c r="AU110" s="66" t="s">
        <v>241</v>
      </c>
      <c r="AV110" s="66">
        <v>0</v>
      </c>
      <c r="AW110" s="66">
        <v>0</v>
      </c>
      <c r="AX110" s="66"/>
      <c r="AY110" s="66"/>
      <c r="AZ110" s="66"/>
      <c r="BA110" s="66"/>
      <c r="BB110" s="66"/>
      <c r="BC110" s="66"/>
      <c r="BD110" s="66"/>
      <c r="BE110" s="66"/>
      <c r="BF110" s="45"/>
      <c r="BG110" s="46"/>
      <c r="BH110" s="45"/>
      <c r="BI110" s="46"/>
      <c r="BJ110" s="45"/>
      <c r="BK110" s="46"/>
      <c r="BL110" s="45"/>
      <c r="BM110" s="46"/>
      <c r="BN110" s="45"/>
    </row>
    <row r="111" spans="1:66" ht="15">
      <c r="A111" s="62" t="s">
        <v>296</v>
      </c>
      <c r="B111" s="62" t="s">
        <v>298</v>
      </c>
      <c r="C111" s="64" t="s">
        <v>1506</v>
      </c>
      <c r="D111" s="67">
        <v>6.5</v>
      </c>
      <c r="E111" s="68" t="s">
        <v>136</v>
      </c>
      <c r="F111" s="69">
        <v>30.470588235294116</v>
      </c>
      <c r="G111" s="64"/>
      <c r="H111" s="70"/>
      <c r="I111" s="71"/>
      <c r="J111" s="71"/>
      <c r="K111" s="31" t="s">
        <v>66</v>
      </c>
      <c r="L111" s="79">
        <v>111</v>
      </c>
      <c r="M111" s="79"/>
      <c r="N111" s="73"/>
      <c r="O111" s="66">
        <v>3</v>
      </c>
      <c r="P111" s="63" t="str">
        <f>REPLACE(INDEX(GroupVertices[Group],MATCH(Edges[[#This Row],[Vertex 1]],GroupVertices[Vertex],0)),1,1,"")</f>
        <v>3</v>
      </c>
      <c r="Q111" s="63" t="str">
        <f>REPLACE(INDEX(GroupVertices[Group],MATCH(Edges[[#This Row],[Vertex 2]],GroupVertices[Vertex],0)),1,1,"")</f>
        <v>2</v>
      </c>
      <c r="R111" s="66" t="s">
        <v>315</v>
      </c>
      <c r="S111" s="91">
        <v>44877.465775462966</v>
      </c>
      <c r="T111" s="66" t="s">
        <v>320</v>
      </c>
      <c r="U111" s="94" t="str">
        <f>HYPERLINK("https://www.youtube.com/watch?v=xb0JCOgMsXc&amp;feature=youtu.be")</f>
        <v>https://www.youtube.com/watch?v=xb0JCOgMsXc&amp;feature=youtu.be</v>
      </c>
      <c r="V111" s="66" t="s">
        <v>403</v>
      </c>
      <c r="W111" s="97" t="s">
        <v>423</v>
      </c>
      <c r="X111" s="94" t="str">
        <f>HYPERLINK("https://pbs.twimg.com/media/FhWu7YzX0AEJMfI.png")</f>
        <v>https://pbs.twimg.com/media/FhWu7YzX0AEJMfI.png</v>
      </c>
      <c r="Y111" s="94" t="str">
        <f>HYPERLINK("https://pbs.twimg.com/media/FhWu7YzX0AEJMfI.png")</f>
        <v>https://pbs.twimg.com/media/FhWu7YzX0AEJMfI.png</v>
      </c>
      <c r="Z111" s="91">
        <v>44877.465775462966</v>
      </c>
      <c r="AA111" s="100">
        <v>44877</v>
      </c>
      <c r="AB111" s="97" t="s">
        <v>472</v>
      </c>
      <c r="AC111" s="94" t="str">
        <f>HYPERLINK("https://twitter.com/adsdulantoscott/status/1591388011895623680")</f>
        <v>https://twitter.com/adsdulantoscott/status/1591388011895623680</v>
      </c>
      <c r="AD111" s="66"/>
      <c r="AE111" s="66"/>
      <c r="AF111" s="97" t="s">
        <v>605</v>
      </c>
      <c r="AG111" s="66"/>
      <c r="AH111" s="66" t="b">
        <v>0</v>
      </c>
      <c r="AI111" s="66">
        <v>0</v>
      </c>
      <c r="AJ111" s="97" t="s">
        <v>712</v>
      </c>
      <c r="AK111" s="66" t="b">
        <v>0</v>
      </c>
      <c r="AL111" s="66" t="s">
        <v>715</v>
      </c>
      <c r="AM111" s="66"/>
      <c r="AN111" s="97" t="s">
        <v>712</v>
      </c>
      <c r="AO111" s="66" t="b">
        <v>0</v>
      </c>
      <c r="AP111" s="66">
        <v>5</v>
      </c>
      <c r="AQ111" s="97" t="s">
        <v>613</v>
      </c>
      <c r="AR111" s="97" t="s">
        <v>718</v>
      </c>
      <c r="AS111" s="66" t="b">
        <v>0</v>
      </c>
      <c r="AT111" s="97" t="s">
        <v>613</v>
      </c>
      <c r="AU111" s="66" t="s">
        <v>241</v>
      </c>
      <c r="AV111" s="66">
        <v>0</v>
      </c>
      <c r="AW111" s="66">
        <v>0</v>
      </c>
      <c r="AX111" s="66"/>
      <c r="AY111" s="66"/>
      <c r="AZ111" s="66"/>
      <c r="BA111" s="66"/>
      <c r="BB111" s="66"/>
      <c r="BC111" s="66"/>
      <c r="BD111" s="66"/>
      <c r="BE111" s="66"/>
      <c r="BF111" s="45">
        <v>0</v>
      </c>
      <c r="BG111" s="46">
        <v>0</v>
      </c>
      <c r="BH111" s="45">
        <v>0</v>
      </c>
      <c r="BI111" s="46">
        <v>0</v>
      </c>
      <c r="BJ111" s="45">
        <v>0</v>
      </c>
      <c r="BK111" s="46">
        <v>0</v>
      </c>
      <c r="BL111" s="45">
        <v>15</v>
      </c>
      <c r="BM111" s="46">
        <v>83.33333333333333</v>
      </c>
      <c r="BN111" s="45">
        <v>18</v>
      </c>
    </row>
    <row r="112" spans="1:66" ht="15">
      <c r="A112" s="62" t="s">
        <v>296</v>
      </c>
      <c r="B112" s="62" t="s">
        <v>304</v>
      </c>
      <c r="C112" s="64" t="s">
        <v>1504</v>
      </c>
      <c r="D112" s="67">
        <v>3</v>
      </c>
      <c r="E112" s="68" t="s">
        <v>132</v>
      </c>
      <c r="F112" s="69">
        <v>32</v>
      </c>
      <c r="G112" s="64"/>
      <c r="H112" s="70"/>
      <c r="I112" s="71"/>
      <c r="J112" s="71"/>
      <c r="K112" s="31" t="s">
        <v>65</v>
      </c>
      <c r="L112" s="79">
        <v>112</v>
      </c>
      <c r="M112" s="79"/>
      <c r="N112" s="73"/>
      <c r="O112" s="66">
        <v>1</v>
      </c>
      <c r="P112" s="63" t="str">
        <f>REPLACE(INDEX(GroupVertices[Group],MATCH(Edges[[#This Row],[Vertex 1]],GroupVertices[Vertex],0)),1,1,"")</f>
        <v>3</v>
      </c>
      <c r="Q112" s="63" t="str">
        <f>REPLACE(INDEX(GroupVertices[Group],MATCH(Edges[[#This Row],[Vertex 2]],GroupVertices[Vertex],0)),1,1,"")</f>
        <v>5</v>
      </c>
      <c r="R112" s="66" t="s">
        <v>316</v>
      </c>
      <c r="S112" s="91">
        <v>44877.56275462963</v>
      </c>
      <c r="T112" s="66" t="s">
        <v>321</v>
      </c>
      <c r="U112" s="94" t="str">
        <f>HYPERLINK("https://www.youtube.com/watch?v=xb0JCOgMsXc&amp;feature=youtu.be")</f>
        <v>https://www.youtube.com/watch?v=xb0JCOgMsXc&amp;feature=youtu.be</v>
      </c>
      <c r="V112" s="66" t="s">
        <v>403</v>
      </c>
      <c r="W112" s="97" t="s">
        <v>424</v>
      </c>
      <c r="X112" s="94" t="str">
        <f>HYPERLINK("https://pbs.twimg.com/media/FhW7ZTpXkAAZ4Hh.jpg")</f>
        <v>https://pbs.twimg.com/media/FhW7ZTpXkAAZ4Hh.jpg</v>
      </c>
      <c r="Y112" s="94" t="str">
        <f>HYPERLINK("https://pbs.twimg.com/media/FhW7ZTpXkAAZ4Hh.jpg")</f>
        <v>https://pbs.twimg.com/media/FhW7ZTpXkAAZ4Hh.jpg</v>
      </c>
      <c r="Z112" s="91">
        <v>44877.56275462963</v>
      </c>
      <c r="AA112" s="100">
        <v>44877</v>
      </c>
      <c r="AB112" s="97" t="s">
        <v>467</v>
      </c>
      <c r="AC112" s="94" t="str">
        <f>HYPERLINK("https://twitter.com/adsdulantoscott/status/1591423156446789635")</f>
        <v>https://twitter.com/adsdulantoscott/status/1591423156446789635</v>
      </c>
      <c r="AD112" s="66"/>
      <c r="AE112" s="66"/>
      <c r="AF112" s="97" t="s">
        <v>600</v>
      </c>
      <c r="AG112" s="66"/>
      <c r="AH112" s="66" t="b">
        <v>0</v>
      </c>
      <c r="AI112" s="66">
        <v>0</v>
      </c>
      <c r="AJ112" s="97" t="s">
        <v>712</v>
      </c>
      <c r="AK112" s="66" t="b">
        <v>0</v>
      </c>
      <c r="AL112" s="66" t="s">
        <v>715</v>
      </c>
      <c r="AM112" s="66"/>
      <c r="AN112" s="97" t="s">
        <v>712</v>
      </c>
      <c r="AO112" s="66" t="b">
        <v>0</v>
      </c>
      <c r="AP112" s="66">
        <v>5</v>
      </c>
      <c r="AQ112" s="97" t="s">
        <v>601</v>
      </c>
      <c r="AR112" s="97" t="s">
        <v>718</v>
      </c>
      <c r="AS112" s="66" t="b">
        <v>0</v>
      </c>
      <c r="AT112" s="97" t="s">
        <v>601</v>
      </c>
      <c r="AU112" s="66" t="s">
        <v>241</v>
      </c>
      <c r="AV112" s="66">
        <v>0</v>
      </c>
      <c r="AW112" s="66">
        <v>0</v>
      </c>
      <c r="AX112" s="66"/>
      <c r="AY112" s="66"/>
      <c r="AZ112" s="66"/>
      <c r="BA112" s="66"/>
      <c r="BB112" s="66"/>
      <c r="BC112" s="66"/>
      <c r="BD112" s="66"/>
      <c r="BE112" s="66"/>
      <c r="BF112" s="45"/>
      <c r="BG112" s="46"/>
      <c r="BH112" s="45"/>
      <c r="BI112" s="46"/>
      <c r="BJ112" s="45"/>
      <c r="BK112" s="46"/>
      <c r="BL112" s="45"/>
      <c r="BM112" s="46"/>
      <c r="BN112" s="45"/>
    </row>
    <row r="113" spans="1:66" ht="15">
      <c r="A113" s="62" t="s">
        <v>296</v>
      </c>
      <c r="B113" s="62" t="s">
        <v>308</v>
      </c>
      <c r="C113" s="64" t="s">
        <v>1505</v>
      </c>
      <c r="D113" s="67">
        <v>4.75</v>
      </c>
      <c r="E113" s="68" t="s">
        <v>136</v>
      </c>
      <c r="F113" s="69">
        <v>31.235294117647058</v>
      </c>
      <c r="G113" s="64"/>
      <c r="H113" s="70"/>
      <c r="I113" s="71"/>
      <c r="J113" s="71"/>
      <c r="K113" s="31" t="s">
        <v>65</v>
      </c>
      <c r="L113" s="79">
        <v>113</v>
      </c>
      <c r="M113" s="79"/>
      <c r="N113" s="73"/>
      <c r="O113" s="66">
        <v>2</v>
      </c>
      <c r="P113" s="63" t="str">
        <f>REPLACE(INDEX(GroupVertices[Group],MATCH(Edges[[#This Row],[Vertex 1]],GroupVertices[Vertex],0)),1,1,"")</f>
        <v>3</v>
      </c>
      <c r="Q113" s="63" t="str">
        <f>REPLACE(INDEX(GroupVertices[Group],MATCH(Edges[[#This Row],[Vertex 2]],GroupVertices[Vertex],0)),1,1,"")</f>
        <v>3</v>
      </c>
      <c r="R113" s="66" t="s">
        <v>316</v>
      </c>
      <c r="S113" s="91">
        <v>44877.56275462963</v>
      </c>
      <c r="T113" s="66" t="s">
        <v>321</v>
      </c>
      <c r="U113" s="94" t="str">
        <f>HYPERLINK("https://www.youtube.com/watch?v=xb0JCOgMsXc&amp;feature=youtu.be")</f>
        <v>https://www.youtube.com/watch?v=xb0JCOgMsXc&amp;feature=youtu.be</v>
      </c>
      <c r="V113" s="66" t="s">
        <v>403</v>
      </c>
      <c r="W113" s="97" t="s">
        <v>424</v>
      </c>
      <c r="X113" s="94" t="str">
        <f>HYPERLINK("https://pbs.twimg.com/media/FhW7ZTpXkAAZ4Hh.jpg")</f>
        <v>https://pbs.twimg.com/media/FhW7ZTpXkAAZ4Hh.jpg</v>
      </c>
      <c r="Y113" s="94" t="str">
        <f>HYPERLINK("https://pbs.twimg.com/media/FhW7ZTpXkAAZ4Hh.jpg")</f>
        <v>https://pbs.twimg.com/media/FhW7ZTpXkAAZ4Hh.jpg</v>
      </c>
      <c r="Z113" s="91">
        <v>44877.56275462963</v>
      </c>
      <c r="AA113" s="100">
        <v>44877</v>
      </c>
      <c r="AB113" s="97" t="s">
        <v>467</v>
      </c>
      <c r="AC113" s="94" t="str">
        <f>HYPERLINK("https://twitter.com/adsdulantoscott/status/1591423156446789635")</f>
        <v>https://twitter.com/adsdulantoscott/status/1591423156446789635</v>
      </c>
      <c r="AD113" s="66"/>
      <c r="AE113" s="66"/>
      <c r="AF113" s="97" t="s">
        <v>600</v>
      </c>
      <c r="AG113" s="66"/>
      <c r="AH113" s="66" t="b">
        <v>0</v>
      </c>
      <c r="AI113" s="66">
        <v>0</v>
      </c>
      <c r="AJ113" s="97" t="s">
        <v>712</v>
      </c>
      <c r="AK113" s="66" t="b">
        <v>0</v>
      </c>
      <c r="AL113" s="66" t="s">
        <v>715</v>
      </c>
      <c r="AM113" s="66"/>
      <c r="AN113" s="97" t="s">
        <v>712</v>
      </c>
      <c r="AO113" s="66" t="b">
        <v>0</v>
      </c>
      <c r="AP113" s="66">
        <v>5</v>
      </c>
      <c r="AQ113" s="97" t="s">
        <v>601</v>
      </c>
      <c r="AR113" s="97" t="s">
        <v>718</v>
      </c>
      <c r="AS113" s="66" t="b">
        <v>0</v>
      </c>
      <c r="AT113" s="97" t="s">
        <v>601</v>
      </c>
      <c r="AU113" s="66" t="s">
        <v>241</v>
      </c>
      <c r="AV113" s="66">
        <v>0</v>
      </c>
      <c r="AW113" s="66">
        <v>0</v>
      </c>
      <c r="AX113" s="66"/>
      <c r="AY113" s="66"/>
      <c r="AZ113" s="66"/>
      <c r="BA113" s="66"/>
      <c r="BB113" s="66"/>
      <c r="BC113" s="66"/>
      <c r="BD113" s="66"/>
      <c r="BE113" s="66"/>
      <c r="BF113" s="45"/>
      <c r="BG113" s="46"/>
      <c r="BH113" s="45"/>
      <c r="BI113" s="46"/>
      <c r="BJ113" s="45"/>
      <c r="BK113" s="46"/>
      <c r="BL113" s="45"/>
      <c r="BM113" s="46"/>
      <c r="BN113" s="45"/>
    </row>
    <row r="114" spans="1:66" ht="15">
      <c r="A114" s="62" t="s">
        <v>296</v>
      </c>
      <c r="B114" s="62" t="s">
        <v>310</v>
      </c>
      <c r="C114" s="64" t="s">
        <v>1504</v>
      </c>
      <c r="D114" s="67">
        <v>3</v>
      </c>
      <c r="E114" s="68" t="s">
        <v>132</v>
      </c>
      <c r="F114" s="69">
        <v>32</v>
      </c>
      <c r="G114" s="64"/>
      <c r="H114" s="70"/>
      <c r="I114" s="71"/>
      <c r="J114" s="71"/>
      <c r="K114" s="31" t="s">
        <v>65</v>
      </c>
      <c r="L114" s="79">
        <v>114</v>
      </c>
      <c r="M114" s="79"/>
      <c r="N114" s="73"/>
      <c r="O114" s="66">
        <v>1</v>
      </c>
      <c r="P114" s="63" t="str">
        <f>REPLACE(INDEX(GroupVertices[Group],MATCH(Edges[[#This Row],[Vertex 1]],GroupVertices[Vertex],0)),1,1,"")</f>
        <v>3</v>
      </c>
      <c r="Q114" s="63" t="str">
        <f>REPLACE(INDEX(GroupVertices[Group],MATCH(Edges[[#This Row],[Vertex 2]],GroupVertices[Vertex],0)),1,1,"")</f>
        <v>2</v>
      </c>
      <c r="R114" s="66" t="s">
        <v>316</v>
      </c>
      <c r="S114" s="91">
        <v>44877.56275462963</v>
      </c>
      <c r="T114" s="66" t="s">
        <v>321</v>
      </c>
      <c r="U114" s="94" t="str">
        <f>HYPERLINK("https://www.youtube.com/watch?v=xb0JCOgMsXc&amp;feature=youtu.be")</f>
        <v>https://www.youtube.com/watch?v=xb0JCOgMsXc&amp;feature=youtu.be</v>
      </c>
      <c r="V114" s="66" t="s">
        <v>403</v>
      </c>
      <c r="W114" s="97" t="s">
        <v>424</v>
      </c>
      <c r="X114" s="94" t="str">
        <f>HYPERLINK("https://pbs.twimg.com/media/FhW7ZTpXkAAZ4Hh.jpg")</f>
        <v>https://pbs.twimg.com/media/FhW7ZTpXkAAZ4Hh.jpg</v>
      </c>
      <c r="Y114" s="94" t="str">
        <f>HYPERLINK("https://pbs.twimg.com/media/FhW7ZTpXkAAZ4Hh.jpg")</f>
        <v>https://pbs.twimg.com/media/FhW7ZTpXkAAZ4Hh.jpg</v>
      </c>
      <c r="Z114" s="91">
        <v>44877.56275462963</v>
      </c>
      <c r="AA114" s="100">
        <v>44877</v>
      </c>
      <c r="AB114" s="97" t="s">
        <v>467</v>
      </c>
      <c r="AC114" s="94" t="str">
        <f>HYPERLINK("https://twitter.com/adsdulantoscott/status/1591423156446789635")</f>
        <v>https://twitter.com/adsdulantoscott/status/1591423156446789635</v>
      </c>
      <c r="AD114" s="66"/>
      <c r="AE114" s="66"/>
      <c r="AF114" s="97" t="s">
        <v>600</v>
      </c>
      <c r="AG114" s="66"/>
      <c r="AH114" s="66" t="b">
        <v>0</v>
      </c>
      <c r="AI114" s="66">
        <v>0</v>
      </c>
      <c r="AJ114" s="97" t="s">
        <v>712</v>
      </c>
      <c r="AK114" s="66" t="b">
        <v>0</v>
      </c>
      <c r="AL114" s="66" t="s">
        <v>715</v>
      </c>
      <c r="AM114" s="66"/>
      <c r="AN114" s="97" t="s">
        <v>712</v>
      </c>
      <c r="AO114" s="66" t="b">
        <v>0</v>
      </c>
      <c r="AP114" s="66">
        <v>5</v>
      </c>
      <c r="AQ114" s="97" t="s">
        <v>601</v>
      </c>
      <c r="AR114" s="97" t="s">
        <v>718</v>
      </c>
      <c r="AS114" s="66" t="b">
        <v>0</v>
      </c>
      <c r="AT114" s="97" t="s">
        <v>601</v>
      </c>
      <c r="AU114" s="66" t="s">
        <v>241</v>
      </c>
      <c r="AV114" s="66">
        <v>0</v>
      </c>
      <c r="AW114" s="66">
        <v>0</v>
      </c>
      <c r="AX114" s="66"/>
      <c r="AY114" s="66"/>
      <c r="AZ114" s="66"/>
      <c r="BA114" s="66"/>
      <c r="BB114" s="66"/>
      <c r="BC114" s="66"/>
      <c r="BD114" s="66"/>
      <c r="BE114" s="66"/>
      <c r="BF114" s="45"/>
      <c r="BG114" s="46"/>
      <c r="BH114" s="45"/>
      <c r="BI114" s="46"/>
      <c r="BJ114" s="45"/>
      <c r="BK114" s="46"/>
      <c r="BL114" s="45"/>
      <c r="BM114" s="46"/>
      <c r="BN114" s="45"/>
    </row>
    <row r="115" spans="1:66" ht="15">
      <c r="A115" s="62" t="s">
        <v>296</v>
      </c>
      <c r="B115" s="62" t="s">
        <v>307</v>
      </c>
      <c r="C115" s="64" t="s">
        <v>1505</v>
      </c>
      <c r="D115" s="67">
        <v>4.75</v>
      </c>
      <c r="E115" s="68" t="s">
        <v>136</v>
      </c>
      <c r="F115" s="69">
        <v>31.235294117647058</v>
      </c>
      <c r="G115" s="64"/>
      <c r="H115" s="70"/>
      <c r="I115" s="71"/>
      <c r="J115" s="71"/>
      <c r="K115" s="31" t="s">
        <v>65</v>
      </c>
      <c r="L115" s="79">
        <v>115</v>
      </c>
      <c r="M115" s="79"/>
      <c r="N115" s="73"/>
      <c r="O115" s="66">
        <v>2</v>
      </c>
      <c r="P115" s="63" t="str">
        <f>REPLACE(INDEX(GroupVertices[Group],MATCH(Edges[[#This Row],[Vertex 1]],GroupVertices[Vertex],0)),1,1,"")</f>
        <v>3</v>
      </c>
      <c r="Q115" s="63" t="str">
        <f>REPLACE(INDEX(GroupVertices[Group],MATCH(Edges[[#This Row],[Vertex 2]],GroupVertices[Vertex],0)),1,1,"")</f>
        <v>3</v>
      </c>
      <c r="R115" s="66" t="s">
        <v>316</v>
      </c>
      <c r="S115" s="91">
        <v>44877.56275462963</v>
      </c>
      <c r="T115" s="66" t="s">
        <v>321</v>
      </c>
      <c r="U115" s="94" t="str">
        <f>HYPERLINK("https://www.youtube.com/watch?v=xb0JCOgMsXc&amp;feature=youtu.be")</f>
        <v>https://www.youtube.com/watch?v=xb0JCOgMsXc&amp;feature=youtu.be</v>
      </c>
      <c r="V115" s="66" t="s">
        <v>403</v>
      </c>
      <c r="W115" s="97" t="s">
        <v>424</v>
      </c>
      <c r="X115" s="94" t="str">
        <f>HYPERLINK("https://pbs.twimg.com/media/FhW7ZTpXkAAZ4Hh.jpg")</f>
        <v>https://pbs.twimg.com/media/FhW7ZTpXkAAZ4Hh.jpg</v>
      </c>
      <c r="Y115" s="94" t="str">
        <f>HYPERLINK("https://pbs.twimg.com/media/FhW7ZTpXkAAZ4Hh.jpg")</f>
        <v>https://pbs.twimg.com/media/FhW7ZTpXkAAZ4Hh.jpg</v>
      </c>
      <c r="Z115" s="91">
        <v>44877.56275462963</v>
      </c>
      <c r="AA115" s="100">
        <v>44877</v>
      </c>
      <c r="AB115" s="97" t="s">
        <v>467</v>
      </c>
      <c r="AC115" s="94" t="str">
        <f>HYPERLINK("https://twitter.com/adsdulantoscott/status/1591423156446789635")</f>
        <v>https://twitter.com/adsdulantoscott/status/1591423156446789635</v>
      </c>
      <c r="AD115" s="66"/>
      <c r="AE115" s="66"/>
      <c r="AF115" s="97" t="s">
        <v>600</v>
      </c>
      <c r="AG115" s="66"/>
      <c r="AH115" s="66" t="b">
        <v>0</v>
      </c>
      <c r="AI115" s="66">
        <v>0</v>
      </c>
      <c r="AJ115" s="97" t="s">
        <v>712</v>
      </c>
      <c r="AK115" s="66" t="b">
        <v>0</v>
      </c>
      <c r="AL115" s="66" t="s">
        <v>715</v>
      </c>
      <c r="AM115" s="66"/>
      <c r="AN115" s="97" t="s">
        <v>712</v>
      </c>
      <c r="AO115" s="66" t="b">
        <v>0</v>
      </c>
      <c r="AP115" s="66">
        <v>5</v>
      </c>
      <c r="AQ115" s="97" t="s">
        <v>601</v>
      </c>
      <c r="AR115" s="97" t="s">
        <v>718</v>
      </c>
      <c r="AS115" s="66" t="b">
        <v>0</v>
      </c>
      <c r="AT115" s="97" t="s">
        <v>601</v>
      </c>
      <c r="AU115" s="66" t="s">
        <v>241</v>
      </c>
      <c r="AV115" s="66">
        <v>0</v>
      </c>
      <c r="AW115" s="66">
        <v>0</v>
      </c>
      <c r="AX115" s="66"/>
      <c r="AY115" s="66"/>
      <c r="AZ115" s="66"/>
      <c r="BA115" s="66"/>
      <c r="BB115" s="66"/>
      <c r="BC115" s="66"/>
      <c r="BD115" s="66"/>
      <c r="BE115" s="66"/>
      <c r="BF115" s="45"/>
      <c r="BG115" s="46"/>
      <c r="BH115" s="45"/>
      <c r="BI115" s="46"/>
      <c r="BJ115" s="45"/>
      <c r="BK115" s="46"/>
      <c r="BL115" s="45"/>
      <c r="BM115" s="46"/>
      <c r="BN115" s="45"/>
    </row>
    <row r="116" spans="1:66" ht="15">
      <c r="A116" s="62" t="s">
        <v>296</v>
      </c>
      <c r="B116" s="62" t="s">
        <v>305</v>
      </c>
      <c r="C116" s="64" t="s">
        <v>1505</v>
      </c>
      <c r="D116" s="67">
        <v>4.75</v>
      </c>
      <c r="E116" s="68" t="s">
        <v>136</v>
      </c>
      <c r="F116" s="69">
        <v>31.235294117647058</v>
      </c>
      <c r="G116" s="64"/>
      <c r="H116" s="70"/>
      <c r="I116" s="71"/>
      <c r="J116" s="71"/>
      <c r="K116" s="31" t="s">
        <v>65</v>
      </c>
      <c r="L116" s="79">
        <v>116</v>
      </c>
      <c r="M116" s="79"/>
      <c r="N116" s="73"/>
      <c r="O116" s="66">
        <v>2</v>
      </c>
      <c r="P116" s="63" t="str">
        <f>REPLACE(INDEX(GroupVertices[Group],MATCH(Edges[[#This Row],[Vertex 1]],GroupVertices[Vertex],0)),1,1,"")</f>
        <v>3</v>
      </c>
      <c r="Q116" s="63" t="str">
        <f>REPLACE(INDEX(GroupVertices[Group],MATCH(Edges[[#This Row],[Vertex 2]],GroupVertices[Vertex],0)),1,1,"")</f>
        <v>4</v>
      </c>
      <c r="R116" s="66" t="s">
        <v>316</v>
      </c>
      <c r="S116" s="91">
        <v>44877.56275462963</v>
      </c>
      <c r="T116" s="66" t="s">
        <v>321</v>
      </c>
      <c r="U116" s="94" t="str">
        <f>HYPERLINK("https://www.youtube.com/watch?v=xb0JCOgMsXc&amp;feature=youtu.be")</f>
        <v>https://www.youtube.com/watch?v=xb0JCOgMsXc&amp;feature=youtu.be</v>
      </c>
      <c r="V116" s="66" t="s">
        <v>403</v>
      </c>
      <c r="W116" s="97" t="s">
        <v>424</v>
      </c>
      <c r="X116" s="94" t="str">
        <f>HYPERLINK("https://pbs.twimg.com/media/FhW7ZTpXkAAZ4Hh.jpg")</f>
        <v>https://pbs.twimg.com/media/FhW7ZTpXkAAZ4Hh.jpg</v>
      </c>
      <c r="Y116" s="94" t="str">
        <f>HYPERLINK("https://pbs.twimg.com/media/FhW7ZTpXkAAZ4Hh.jpg")</f>
        <v>https://pbs.twimg.com/media/FhW7ZTpXkAAZ4Hh.jpg</v>
      </c>
      <c r="Z116" s="91">
        <v>44877.56275462963</v>
      </c>
      <c r="AA116" s="100">
        <v>44877</v>
      </c>
      <c r="AB116" s="97" t="s">
        <v>467</v>
      </c>
      <c r="AC116" s="94" t="str">
        <f>HYPERLINK("https://twitter.com/adsdulantoscott/status/1591423156446789635")</f>
        <v>https://twitter.com/adsdulantoscott/status/1591423156446789635</v>
      </c>
      <c r="AD116" s="66"/>
      <c r="AE116" s="66"/>
      <c r="AF116" s="97" t="s">
        <v>600</v>
      </c>
      <c r="AG116" s="66"/>
      <c r="AH116" s="66" t="b">
        <v>0</v>
      </c>
      <c r="AI116" s="66">
        <v>0</v>
      </c>
      <c r="AJ116" s="97" t="s">
        <v>712</v>
      </c>
      <c r="AK116" s="66" t="b">
        <v>0</v>
      </c>
      <c r="AL116" s="66" t="s">
        <v>715</v>
      </c>
      <c r="AM116" s="66"/>
      <c r="AN116" s="97" t="s">
        <v>712</v>
      </c>
      <c r="AO116" s="66" t="b">
        <v>0</v>
      </c>
      <c r="AP116" s="66">
        <v>5</v>
      </c>
      <c r="AQ116" s="97" t="s">
        <v>601</v>
      </c>
      <c r="AR116" s="97" t="s">
        <v>718</v>
      </c>
      <c r="AS116" s="66" t="b">
        <v>0</v>
      </c>
      <c r="AT116" s="97" t="s">
        <v>601</v>
      </c>
      <c r="AU116" s="66" t="s">
        <v>241</v>
      </c>
      <c r="AV116" s="66">
        <v>0</v>
      </c>
      <c r="AW116" s="66">
        <v>0</v>
      </c>
      <c r="AX116" s="66"/>
      <c r="AY116" s="66"/>
      <c r="AZ116" s="66"/>
      <c r="BA116" s="66"/>
      <c r="BB116" s="66"/>
      <c r="BC116" s="66"/>
      <c r="BD116" s="66"/>
      <c r="BE116" s="66"/>
      <c r="BF116" s="45"/>
      <c r="BG116" s="46"/>
      <c r="BH116" s="45"/>
      <c r="BI116" s="46"/>
      <c r="BJ116" s="45"/>
      <c r="BK116" s="46"/>
      <c r="BL116" s="45"/>
      <c r="BM116" s="46"/>
      <c r="BN116" s="45"/>
    </row>
    <row r="117" spans="1:66" ht="15">
      <c r="A117" s="62" t="s">
        <v>296</v>
      </c>
      <c r="B117" s="62" t="s">
        <v>312</v>
      </c>
      <c r="C117" s="64" t="s">
        <v>1504</v>
      </c>
      <c r="D117" s="67">
        <v>3</v>
      </c>
      <c r="E117" s="68" t="s">
        <v>132</v>
      </c>
      <c r="F117" s="69">
        <v>32</v>
      </c>
      <c r="G117" s="64"/>
      <c r="H117" s="70"/>
      <c r="I117" s="71"/>
      <c r="J117" s="71"/>
      <c r="K117" s="31" t="s">
        <v>65</v>
      </c>
      <c r="L117" s="79">
        <v>117</v>
      </c>
      <c r="M117" s="79"/>
      <c r="N117" s="73"/>
      <c r="O117" s="66">
        <v>1</v>
      </c>
      <c r="P117" s="63" t="str">
        <f>REPLACE(INDEX(GroupVertices[Group],MATCH(Edges[[#This Row],[Vertex 1]],GroupVertices[Vertex],0)),1,1,"")</f>
        <v>3</v>
      </c>
      <c r="Q117" s="63" t="str">
        <f>REPLACE(INDEX(GroupVertices[Group],MATCH(Edges[[#This Row],[Vertex 2]],GroupVertices[Vertex],0)),1,1,"")</f>
        <v>1</v>
      </c>
      <c r="R117" s="66" t="s">
        <v>316</v>
      </c>
      <c r="S117" s="91">
        <v>44877.56275462963</v>
      </c>
      <c r="T117" s="66" t="s">
        <v>321</v>
      </c>
      <c r="U117" s="94" t="str">
        <f>HYPERLINK("https://www.youtube.com/watch?v=xb0JCOgMsXc&amp;feature=youtu.be")</f>
        <v>https://www.youtube.com/watch?v=xb0JCOgMsXc&amp;feature=youtu.be</v>
      </c>
      <c r="V117" s="66" t="s">
        <v>403</v>
      </c>
      <c r="W117" s="97" t="s">
        <v>424</v>
      </c>
      <c r="X117" s="94" t="str">
        <f>HYPERLINK("https://pbs.twimg.com/media/FhW7ZTpXkAAZ4Hh.jpg")</f>
        <v>https://pbs.twimg.com/media/FhW7ZTpXkAAZ4Hh.jpg</v>
      </c>
      <c r="Y117" s="94" t="str">
        <f>HYPERLINK("https://pbs.twimg.com/media/FhW7ZTpXkAAZ4Hh.jpg")</f>
        <v>https://pbs.twimg.com/media/FhW7ZTpXkAAZ4Hh.jpg</v>
      </c>
      <c r="Z117" s="91">
        <v>44877.56275462963</v>
      </c>
      <c r="AA117" s="100">
        <v>44877</v>
      </c>
      <c r="AB117" s="97" t="s">
        <v>467</v>
      </c>
      <c r="AC117" s="94" t="str">
        <f>HYPERLINK("https://twitter.com/adsdulantoscott/status/1591423156446789635")</f>
        <v>https://twitter.com/adsdulantoscott/status/1591423156446789635</v>
      </c>
      <c r="AD117" s="66"/>
      <c r="AE117" s="66"/>
      <c r="AF117" s="97" t="s">
        <v>600</v>
      </c>
      <c r="AG117" s="66"/>
      <c r="AH117" s="66" t="b">
        <v>0</v>
      </c>
      <c r="AI117" s="66">
        <v>0</v>
      </c>
      <c r="AJ117" s="97" t="s">
        <v>712</v>
      </c>
      <c r="AK117" s="66" t="b">
        <v>0</v>
      </c>
      <c r="AL117" s="66" t="s">
        <v>715</v>
      </c>
      <c r="AM117" s="66"/>
      <c r="AN117" s="97" t="s">
        <v>712</v>
      </c>
      <c r="AO117" s="66" t="b">
        <v>0</v>
      </c>
      <c r="AP117" s="66">
        <v>5</v>
      </c>
      <c r="AQ117" s="97" t="s">
        <v>601</v>
      </c>
      <c r="AR117" s="97" t="s">
        <v>718</v>
      </c>
      <c r="AS117" s="66" t="b">
        <v>0</v>
      </c>
      <c r="AT117" s="97" t="s">
        <v>601</v>
      </c>
      <c r="AU117" s="66" t="s">
        <v>241</v>
      </c>
      <c r="AV117" s="66">
        <v>0</v>
      </c>
      <c r="AW117" s="66">
        <v>0</v>
      </c>
      <c r="AX117" s="66"/>
      <c r="AY117" s="66"/>
      <c r="AZ117" s="66"/>
      <c r="BA117" s="66"/>
      <c r="BB117" s="66"/>
      <c r="BC117" s="66"/>
      <c r="BD117" s="66"/>
      <c r="BE117" s="66"/>
      <c r="BF117" s="45"/>
      <c r="BG117" s="46"/>
      <c r="BH117" s="45"/>
      <c r="BI117" s="46"/>
      <c r="BJ117" s="45"/>
      <c r="BK117" s="46"/>
      <c r="BL117" s="45"/>
      <c r="BM117" s="46"/>
      <c r="BN117" s="45"/>
    </row>
    <row r="118" spans="1:66" ht="15">
      <c r="A118" s="62" t="s">
        <v>296</v>
      </c>
      <c r="B118" s="62" t="s">
        <v>313</v>
      </c>
      <c r="C118" s="64" t="s">
        <v>1504</v>
      </c>
      <c r="D118" s="67">
        <v>3</v>
      </c>
      <c r="E118" s="68" t="s">
        <v>132</v>
      </c>
      <c r="F118" s="69">
        <v>32</v>
      </c>
      <c r="G118" s="64"/>
      <c r="H118" s="70"/>
      <c r="I118" s="71"/>
      <c r="J118" s="71"/>
      <c r="K118" s="31" t="s">
        <v>65</v>
      </c>
      <c r="L118" s="79">
        <v>118</v>
      </c>
      <c r="M118" s="79"/>
      <c r="N118" s="73"/>
      <c r="O118" s="66">
        <v>1</v>
      </c>
      <c r="P118" s="63" t="str">
        <f>REPLACE(INDEX(GroupVertices[Group],MATCH(Edges[[#This Row],[Vertex 1]],GroupVertices[Vertex],0)),1,1,"")</f>
        <v>3</v>
      </c>
      <c r="Q118" s="63" t="str">
        <f>REPLACE(INDEX(GroupVertices[Group],MATCH(Edges[[#This Row],[Vertex 2]],GroupVertices[Vertex],0)),1,1,"")</f>
        <v>1</v>
      </c>
      <c r="R118" s="66" t="s">
        <v>316</v>
      </c>
      <c r="S118" s="91">
        <v>44877.56275462963</v>
      </c>
      <c r="T118" s="66" t="s">
        <v>321</v>
      </c>
      <c r="U118" s="94" t="str">
        <f>HYPERLINK("https://www.youtube.com/watch?v=xb0JCOgMsXc&amp;feature=youtu.be")</f>
        <v>https://www.youtube.com/watch?v=xb0JCOgMsXc&amp;feature=youtu.be</v>
      </c>
      <c r="V118" s="66" t="s">
        <v>403</v>
      </c>
      <c r="W118" s="97" t="s">
        <v>424</v>
      </c>
      <c r="X118" s="94" t="str">
        <f>HYPERLINK("https://pbs.twimg.com/media/FhW7ZTpXkAAZ4Hh.jpg")</f>
        <v>https://pbs.twimg.com/media/FhW7ZTpXkAAZ4Hh.jpg</v>
      </c>
      <c r="Y118" s="94" t="str">
        <f>HYPERLINK("https://pbs.twimg.com/media/FhW7ZTpXkAAZ4Hh.jpg")</f>
        <v>https://pbs.twimg.com/media/FhW7ZTpXkAAZ4Hh.jpg</v>
      </c>
      <c r="Z118" s="91">
        <v>44877.56275462963</v>
      </c>
      <c r="AA118" s="100">
        <v>44877</v>
      </c>
      <c r="AB118" s="97" t="s">
        <v>467</v>
      </c>
      <c r="AC118" s="94" t="str">
        <f>HYPERLINK("https://twitter.com/adsdulantoscott/status/1591423156446789635")</f>
        <v>https://twitter.com/adsdulantoscott/status/1591423156446789635</v>
      </c>
      <c r="AD118" s="66"/>
      <c r="AE118" s="66"/>
      <c r="AF118" s="97" t="s">
        <v>600</v>
      </c>
      <c r="AG118" s="66"/>
      <c r="AH118" s="66" t="b">
        <v>0</v>
      </c>
      <c r="AI118" s="66">
        <v>0</v>
      </c>
      <c r="AJ118" s="97" t="s">
        <v>712</v>
      </c>
      <c r="AK118" s="66" t="b">
        <v>0</v>
      </c>
      <c r="AL118" s="66" t="s">
        <v>715</v>
      </c>
      <c r="AM118" s="66"/>
      <c r="AN118" s="97" t="s">
        <v>712</v>
      </c>
      <c r="AO118" s="66" t="b">
        <v>0</v>
      </c>
      <c r="AP118" s="66">
        <v>5</v>
      </c>
      <c r="AQ118" s="97" t="s">
        <v>601</v>
      </c>
      <c r="AR118" s="97" t="s">
        <v>718</v>
      </c>
      <c r="AS118" s="66" t="b">
        <v>0</v>
      </c>
      <c r="AT118" s="97" t="s">
        <v>601</v>
      </c>
      <c r="AU118" s="66" t="s">
        <v>241</v>
      </c>
      <c r="AV118" s="66">
        <v>0</v>
      </c>
      <c r="AW118" s="66">
        <v>0</v>
      </c>
      <c r="AX118" s="66"/>
      <c r="AY118" s="66"/>
      <c r="AZ118" s="66"/>
      <c r="BA118" s="66"/>
      <c r="BB118" s="66"/>
      <c r="BC118" s="66"/>
      <c r="BD118" s="66"/>
      <c r="BE118" s="66"/>
      <c r="BF118" s="45"/>
      <c r="BG118" s="46"/>
      <c r="BH118" s="45"/>
      <c r="BI118" s="46"/>
      <c r="BJ118" s="45"/>
      <c r="BK118" s="46"/>
      <c r="BL118" s="45"/>
      <c r="BM118" s="46"/>
      <c r="BN118" s="45"/>
    </row>
    <row r="119" spans="1:66" ht="15">
      <c r="A119" s="62" t="s">
        <v>296</v>
      </c>
      <c r="B119" s="62" t="s">
        <v>297</v>
      </c>
      <c r="C119" s="64" t="s">
        <v>1504</v>
      </c>
      <c r="D119" s="67">
        <v>3</v>
      </c>
      <c r="E119" s="68" t="s">
        <v>132</v>
      </c>
      <c r="F119" s="69">
        <v>32</v>
      </c>
      <c r="G119" s="64"/>
      <c r="H119" s="70"/>
      <c r="I119" s="71"/>
      <c r="J119" s="71"/>
      <c r="K119" s="31" t="s">
        <v>66</v>
      </c>
      <c r="L119" s="79">
        <v>119</v>
      </c>
      <c r="M119" s="79"/>
      <c r="N119" s="73"/>
      <c r="O119" s="66">
        <v>1</v>
      </c>
      <c r="P119" s="63" t="str">
        <f>REPLACE(INDEX(GroupVertices[Group],MATCH(Edges[[#This Row],[Vertex 1]],GroupVertices[Vertex],0)),1,1,"")</f>
        <v>3</v>
      </c>
      <c r="Q119" s="63" t="str">
        <f>REPLACE(INDEX(GroupVertices[Group],MATCH(Edges[[#This Row],[Vertex 2]],GroupVertices[Vertex],0)),1,1,"")</f>
        <v>1</v>
      </c>
      <c r="R119" s="66" t="s">
        <v>315</v>
      </c>
      <c r="S119" s="91">
        <v>44877.56275462963</v>
      </c>
      <c r="T119" s="66" t="s">
        <v>321</v>
      </c>
      <c r="U119" s="94" t="str">
        <f>HYPERLINK("https://www.youtube.com/watch?v=xb0JCOgMsXc&amp;feature=youtu.be")</f>
        <v>https://www.youtube.com/watch?v=xb0JCOgMsXc&amp;feature=youtu.be</v>
      </c>
      <c r="V119" s="66" t="s">
        <v>403</v>
      </c>
      <c r="W119" s="97" t="s">
        <v>424</v>
      </c>
      <c r="X119" s="94" t="str">
        <f>HYPERLINK("https://pbs.twimg.com/media/FhW7ZTpXkAAZ4Hh.jpg")</f>
        <v>https://pbs.twimg.com/media/FhW7ZTpXkAAZ4Hh.jpg</v>
      </c>
      <c r="Y119" s="94" t="str">
        <f>HYPERLINK("https://pbs.twimg.com/media/FhW7ZTpXkAAZ4Hh.jpg")</f>
        <v>https://pbs.twimg.com/media/FhW7ZTpXkAAZ4Hh.jpg</v>
      </c>
      <c r="Z119" s="91">
        <v>44877.56275462963</v>
      </c>
      <c r="AA119" s="100">
        <v>44877</v>
      </c>
      <c r="AB119" s="97" t="s">
        <v>467</v>
      </c>
      <c r="AC119" s="94" t="str">
        <f>HYPERLINK("https://twitter.com/adsdulantoscott/status/1591423156446789635")</f>
        <v>https://twitter.com/adsdulantoscott/status/1591423156446789635</v>
      </c>
      <c r="AD119" s="66"/>
      <c r="AE119" s="66"/>
      <c r="AF119" s="97" t="s">
        <v>600</v>
      </c>
      <c r="AG119" s="66"/>
      <c r="AH119" s="66" t="b">
        <v>0</v>
      </c>
      <c r="AI119" s="66">
        <v>0</v>
      </c>
      <c r="AJ119" s="97" t="s">
        <v>712</v>
      </c>
      <c r="AK119" s="66" t="b">
        <v>0</v>
      </c>
      <c r="AL119" s="66" t="s">
        <v>715</v>
      </c>
      <c r="AM119" s="66"/>
      <c r="AN119" s="97" t="s">
        <v>712</v>
      </c>
      <c r="AO119" s="66" t="b">
        <v>0</v>
      </c>
      <c r="AP119" s="66">
        <v>5</v>
      </c>
      <c r="AQ119" s="97" t="s">
        <v>601</v>
      </c>
      <c r="AR119" s="97" t="s">
        <v>718</v>
      </c>
      <c r="AS119" s="66" t="b">
        <v>0</v>
      </c>
      <c r="AT119" s="97" t="s">
        <v>601</v>
      </c>
      <c r="AU119" s="66" t="s">
        <v>241</v>
      </c>
      <c r="AV119" s="66">
        <v>0</v>
      </c>
      <c r="AW119" s="66">
        <v>0</v>
      </c>
      <c r="AX119" s="66"/>
      <c r="AY119" s="66"/>
      <c r="AZ119" s="66"/>
      <c r="BA119" s="66"/>
      <c r="BB119" s="66"/>
      <c r="BC119" s="66"/>
      <c r="BD119" s="66"/>
      <c r="BE119" s="66"/>
      <c r="BF119" s="45">
        <v>0</v>
      </c>
      <c r="BG119" s="46">
        <v>0</v>
      </c>
      <c r="BH119" s="45">
        <v>0</v>
      </c>
      <c r="BI119" s="46">
        <v>0</v>
      </c>
      <c r="BJ119" s="45">
        <v>0</v>
      </c>
      <c r="BK119" s="46">
        <v>0</v>
      </c>
      <c r="BL119" s="45">
        <v>21</v>
      </c>
      <c r="BM119" s="46">
        <v>91.30434782608695</v>
      </c>
      <c r="BN119" s="45">
        <v>23</v>
      </c>
    </row>
    <row r="120" spans="1:66" ht="15">
      <c r="A120" s="62" t="s">
        <v>296</v>
      </c>
      <c r="B120" s="62" t="s">
        <v>298</v>
      </c>
      <c r="C120" s="64" t="s">
        <v>1506</v>
      </c>
      <c r="D120" s="67">
        <v>6.5</v>
      </c>
      <c r="E120" s="68" t="s">
        <v>136</v>
      </c>
      <c r="F120" s="69">
        <v>30.470588235294116</v>
      </c>
      <c r="G120" s="64"/>
      <c r="H120" s="70"/>
      <c r="I120" s="71"/>
      <c r="J120" s="71"/>
      <c r="K120" s="31" t="s">
        <v>66</v>
      </c>
      <c r="L120" s="79">
        <v>120</v>
      </c>
      <c r="M120" s="79"/>
      <c r="N120" s="73"/>
      <c r="O120" s="66">
        <v>3</v>
      </c>
      <c r="P120" s="63" t="str">
        <f>REPLACE(INDEX(GroupVertices[Group],MATCH(Edges[[#This Row],[Vertex 1]],GroupVertices[Vertex],0)),1,1,"")</f>
        <v>3</v>
      </c>
      <c r="Q120" s="63" t="str">
        <f>REPLACE(INDEX(GroupVertices[Group],MATCH(Edges[[#This Row],[Vertex 2]],GroupVertices[Vertex],0)),1,1,"")</f>
        <v>2</v>
      </c>
      <c r="R120" s="66" t="s">
        <v>315</v>
      </c>
      <c r="S120" s="91">
        <v>44878.65078703704</v>
      </c>
      <c r="T120" s="66" t="s">
        <v>337</v>
      </c>
      <c r="U120" s="94" t="str">
        <f>HYPERLINK("https://www.youtube.com/c/AlianzaFuturista/streams")</f>
        <v>https://www.youtube.com/c/AlianzaFuturista/streams</v>
      </c>
      <c r="V120" s="66" t="s">
        <v>403</v>
      </c>
      <c r="W120" s="97" t="s">
        <v>429</v>
      </c>
      <c r="X120" s="94" t="str">
        <f>HYPERLINK("https://pbs.twimg.com/media/FhbRBMWWYAACddn.jpg")</f>
        <v>https://pbs.twimg.com/media/FhbRBMWWYAACddn.jpg</v>
      </c>
      <c r="Y120" s="94" t="str">
        <f>HYPERLINK("https://pbs.twimg.com/media/FhbRBMWWYAACddn.jpg")</f>
        <v>https://pbs.twimg.com/media/FhbRBMWWYAACddn.jpg</v>
      </c>
      <c r="Z120" s="91">
        <v>44878.65078703704</v>
      </c>
      <c r="AA120" s="100">
        <v>44878</v>
      </c>
      <c r="AB120" s="97" t="s">
        <v>484</v>
      </c>
      <c r="AC120" s="94" t="str">
        <f>HYPERLINK("https://twitter.com/adsdulantoscott/status/1591817446129897474")</f>
        <v>https://twitter.com/adsdulantoscott/status/1591817446129897474</v>
      </c>
      <c r="AD120" s="66"/>
      <c r="AE120" s="66"/>
      <c r="AF120" s="97" t="s">
        <v>617</v>
      </c>
      <c r="AG120" s="66"/>
      <c r="AH120" s="66" t="b">
        <v>0</v>
      </c>
      <c r="AI120" s="66">
        <v>0</v>
      </c>
      <c r="AJ120" s="97" t="s">
        <v>712</v>
      </c>
      <c r="AK120" s="66" t="b">
        <v>0</v>
      </c>
      <c r="AL120" s="66" t="s">
        <v>714</v>
      </c>
      <c r="AM120" s="66"/>
      <c r="AN120" s="97" t="s">
        <v>712</v>
      </c>
      <c r="AO120" s="66" t="b">
        <v>0</v>
      </c>
      <c r="AP120" s="66">
        <v>2</v>
      </c>
      <c r="AQ120" s="97" t="s">
        <v>661</v>
      </c>
      <c r="AR120" s="97" t="s">
        <v>718</v>
      </c>
      <c r="AS120" s="66" t="b">
        <v>0</v>
      </c>
      <c r="AT120" s="97" t="s">
        <v>661</v>
      </c>
      <c r="AU120" s="66" t="s">
        <v>241</v>
      </c>
      <c r="AV120" s="66">
        <v>0</v>
      </c>
      <c r="AW120" s="66">
        <v>0</v>
      </c>
      <c r="AX120" s="66"/>
      <c r="AY120" s="66"/>
      <c r="AZ120" s="66"/>
      <c r="BA120" s="66"/>
      <c r="BB120" s="66"/>
      <c r="BC120" s="66"/>
      <c r="BD120" s="66"/>
      <c r="BE120" s="66"/>
      <c r="BF120" s="45">
        <v>0</v>
      </c>
      <c r="BG120" s="46">
        <v>0</v>
      </c>
      <c r="BH120" s="45">
        <v>0</v>
      </c>
      <c r="BI120" s="46">
        <v>0</v>
      </c>
      <c r="BJ120" s="45">
        <v>0</v>
      </c>
      <c r="BK120" s="46">
        <v>0</v>
      </c>
      <c r="BL120" s="45">
        <v>19</v>
      </c>
      <c r="BM120" s="46">
        <v>59.375</v>
      </c>
      <c r="BN120" s="45">
        <v>32</v>
      </c>
    </row>
    <row r="121" spans="1:66" ht="15">
      <c r="A121" s="62" t="s">
        <v>297</v>
      </c>
      <c r="B121" s="62" t="s">
        <v>296</v>
      </c>
      <c r="C121" s="64" t="s">
        <v>1504</v>
      </c>
      <c r="D121" s="67">
        <v>3</v>
      </c>
      <c r="E121" s="68" t="s">
        <v>132</v>
      </c>
      <c r="F121" s="69">
        <v>32</v>
      </c>
      <c r="G121" s="64"/>
      <c r="H121" s="70"/>
      <c r="I121" s="71"/>
      <c r="J121" s="71"/>
      <c r="K121" s="31" t="s">
        <v>66</v>
      </c>
      <c r="L121" s="79">
        <v>121</v>
      </c>
      <c r="M121" s="79"/>
      <c r="N121" s="73"/>
      <c r="O121" s="66">
        <v>1</v>
      </c>
      <c r="P121" s="63" t="str">
        <f>REPLACE(INDEX(GroupVertices[Group],MATCH(Edges[[#This Row],[Vertex 1]],GroupVertices[Vertex],0)),1,1,"")</f>
        <v>1</v>
      </c>
      <c r="Q121" s="63" t="str">
        <f>REPLACE(INDEX(GroupVertices[Group],MATCH(Edges[[#This Row],[Vertex 2]],GroupVertices[Vertex],0)),1,1,"")</f>
        <v>3</v>
      </c>
      <c r="R121" s="66" t="s">
        <v>317</v>
      </c>
      <c r="S121" s="91">
        <v>44877.52521990741</v>
      </c>
      <c r="T121" s="66" t="s">
        <v>321</v>
      </c>
      <c r="U121" s="94" t="str">
        <f>HYPERLINK("https://www.youtube.com/watch?v=xb0JCOgMsXc&amp;feature=youtu.be")</f>
        <v>https://www.youtube.com/watch?v=xb0JCOgMsXc&amp;feature=youtu.be</v>
      </c>
      <c r="V121" s="66" t="s">
        <v>403</v>
      </c>
      <c r="W121" s="97" t="s">
        <v>424</v>
      </c>
      <c r="X121" s="94" t="str">
        <f>HYPERLINK("https://pbs.twimg.com/media/FhW7ZTpXkAAZ4Hh.jpg")</f>
        <v>https://pbs.twimg.com/media/FhW7ZTpXkAAZ4Hh.jpg</v>
      </c>
      <c r="Y121" s="94" t="str">
        <f>HYPERLINK("https://pbs.twimg.com/media/FhW7ZTpXkAAZ4Hh.jpg")</f>
        <v>https://pbs.twimg.com/media/FhW7ZTpXkAAZ4Hh.jpg</v>
      </c>
      <c r="Z121" s="91">
        <v>44877.52521990741</v>
      </c>
      <c r="AA121" s="100">
        <v>44877</v>
      </c>
      <c r="AB121" s="97" t="s">
        <v>468</v>
      </c>
      <c r="AC121" s="94" t="str">
        <f>HYPERLINK("https://twitter.com/hashtagmarketi7/status/1591409554893725697")</f>
        <v>https://twitter.com/hashtagmarketi7/status/1591409554893725697</v>
      </c>
      <c r="AD121" s="66"/>
      <c r="AE121" s="66"/>
      <c r="AF121" s="97" t="s">
        <v>601</v>
      </c>
      <c r="AG121" s="66"/>
      <c r="AH121" s="66" t="b">
        <v>0</v>
      </c>
      <c r="AI121" s="66">
        <v>6</v>
      </c>
      <c r="AJ121" s="97" t="s">
        <v>712</v>
      </c>
      <c r="AK121" s="66" t="b">
        <v>0</v>
      </c>
      <c r="AL121" s="66" t="s">
        <v>715</v>
      </c>
      <c r="AM121" s="66"/>
      <c r="AN121" s="97" t="s">
        <v>712</v>
      </c>
      <c r="AO121" s="66" t="b">
        <v>0</v>
      </c>
      <c r="AP121" s="66">
        <v>5</v>
      </c>
      <c r="AQ121" s="97" t="s">
        <v>712</v>
      </c>
      <c r="AR121" s="97" t="s">
        <v>717</v>
      </c>
      <c r="AS121" s="66" t="b">
        <v>0</v>
      </c>
      <c r="AT121" s="97" t="s">
        <v>601</v>
      </c>
      <c r="AU121" s="66" t="s">
        <v>241</v>
      </c>
      <c r="AV121" s="66">
        <v>0</v>
      </c>
      <c r="AW121" s="66">
        <v>0</v>
      </c>
      <c r="AX121" s="66"/>
      <c r="AY121" s="66"/>
      <c r="AZ121" s="66"/>
      <c r="BA121" s="66"/>
      <c r="BB121" s="66"/>
      <c r="BC121" s="66"/>
      <c r="BD121" s="66"/>
      <c r="BE121" s="66"/>
      <c r="BF121" s="45"/>
      <c r="BG121" s="46"/>
      <c r="BH121" s="45"/>
      <c r="BI121" s="46"/>
      <c r="BJ121" s="45"/>
      <c r="BK121" s="46"/>
      <c r="BL121" s="45"/>
      <c r="BM121" s="46"/>
      <c r="BN121" s="45"/>
    </row>
    <row r="122" spans="1:66" ht="15">
      <c r="A122" s="62" t="s">
        <v>298</v>
      </c>
      <c r="B122" s="62" t="s">
        <v>296</v>
      </c>
      <c r="C122" s="64" t="s">
        <v>1504</v>
      </c>
      <c r="D122" s="67">
        <v>3</v>
      </c>
      <c r="E122" s="68" t="s">
        <v>132</v>
      </c>
      <c r="F122" s="69">
        <v>32</v>
      </c>
      <c r="G122" s="64"/>
      <c r="H122" s="70"/>
      <c r="I122" s="71"/>
      <c r="J122" s="71"/>
      <c r="K122" s="31" t="s">
        <v>66</v>
      </c>
      <c r="L122" s="79">
        <v>122</v>
      </c>
      <c r="M122" s="79"/>
      <c r="N122" s="73"/>
      <c r="O122" s="66">
        <v>1</v>
      </c>
      <c r="P122" s="63" t="str">
        <f>REPLACE(INDEX(GroupVertices[Group],MATCH(Edges[[#This Row],[Vertex 1]],GroupVertices[Vertex],0)),1,1,"")</f>
        <v>2</v>
      </c>
      <c r="Q122" s="63" t="str">
        <f>REPLACE(INDEX(GroupVertices[Group],MATCH(Edges[[#This Row],[Vertex 2]],GroupVertices[Vertex],0)),1,1,"")</f>
        <v>3</v>
      </c>
      <c r="R122" s="66" t="s">
        <v>316</v>
      </c>
      <c r="S122" s="91">
        <v>44877.526192129626</v>
      </c>
      <c r="T122" s="66" t="s">
        <v>321</v>
      </c>
      <c r="U122" s="94" t="str">
        <f>HYPERLINK("https://www.youtube.com/watch?v=xb0JCOgMsXc&amp;feature=youtu.be")</f>
        <v>https://www.youtube.com/watch?v=xb0JCOgMsXc&amp;feature=youtu.be</v>
      </c>
      <c r="V122" s="66" t="s">
        <v>403</v>
      </c>
      <c r="W122" s="97" t="s">
        <v>424</v>
      </c>
      <c r="X122" s="94" t="str">
        <f>HYPERLINK("https://pbs.twimg.com/media/FhW7ZTpXkAAZ4Hh.jpg")</f>
        <v>https://pbs.twimg.com/media/FhW7ZTpXkAAZ4Hh.jpg</v>
      </c>
      <c r="Y122" s="94" t="str">
        <f>HYPERLINK("https://pbs.twimg.com/media/FhW7ZTpXkAAZ4Hh.jpg")</f>
        <v>https://pbs.twimg.com/media/FhW7ZTpXkAAZ4Hh.jpg</v>
      </c>
      <c r="Z122" s="91">
        <v>44877.526192129626</v>
      </c>
      <c r="AA122" s="100">
        <v>44877</v>
      </c>
      <c r="AB122" s="97" t="s">
        <v>469</v>
      </c>
      <c r="AC122" s="94" t="str">
        <f>HYPERLINK("https://twitter.com/transvisionmad1/status/1591409908440002562")</f>
        <v>https://twitter.com/transvisionmad1/status/1591409908440002562</v>
      </c>
      <c r="AD122" s="66"/>
      <c r="AE122" s="66"/>
      <c r="AF122" s="97" t="s">
        <v>602</v>
      </c>
      <c r="AG122" s="66"/>
      <c r="AH122" s="66" t="b">
        <v>0</v>
      </c>
      <c r="AI122" s="66">
        <v>0</v>
      </c>
      <c r="AJ122" s="97" t="s">
        <v>712</v>
      </c>
      <c r="AK122" s="66" t="b">
        <v>0</v>
      </c>
      <c r="AL122" s="66" t="s">
        <v>715</v>
      </c>
      <c r="AM122" s="66"/>
      <c r="AN122" s="97" t="s">
        <v>712</v>
      </c>
      <c r="AO122" s="66" t="b">
        <v>0</v>
      </c>
      <c r="AP122" s="66">
        <v>5</v>
      </c>
      <c r="AQ122" s="97" t="s">
        <v>601</v>
      </c>
      <c r="AR122" s="97" t="s">
        <v>717</v>
      </c>
      <c r="AS122" s="66" t="b">
        <v>0</v>
      </c>
      <c r="AT122" s="97" t="s">
        <v>601</v>
      </c>
      <c r="AU122" s="66" t="s">
        <v>241</v>
      </c>
      <c r="AV122" s="66">
        <v>0</v>
      </c>
      <c r="AW122" s="66">
        <v>0</v>
      </c>
      <c r="AX122" s="66"/>
      <c r="AY122" s="66"/>
      <c r="AZ122" s="66"/>
      <c r="BA122" s="66"/>
      <c r="BB122" s="66"/>
      <c r="BC122" s="66"/>
      <c r="BD122" s="66"/>
      <c r="BE122" s="66"/>
      <c r="BF122" s="45"/>
      <c r="BG122" s="46"/>
      <c r="BH122" s="45"/>
      <c r="BI122" s="46"/>
      <c r="BJ122" s="45"/>
      <c r="BK122" s="46"/>
      <c r="BL122" s="45"/>
      <c r="BM122" s="46"/>
      <c r="BN122" s="45"/>
    </row>
    <row r="123" spans="1:66" ht="15">
      <c r="A123" s="62" t="s">
        <v>297</v>
      </c>
      <c r="B123" s="62" t="s">
        <v>312</v>
      </c>
      <c r="C123" s="64" t="s">
        <v>1504</v>
      </c>
      <c r="D123" s="67">
        <v>3</v>
      </c>
      <c r="E123" s="68" t="s">
        <v>132</v>
      </c>
      <c r="F123" s="69">
        <v>32</v>
      </c>
      <c r="G123" s="64"/>
      <c r="H123" s="70"/>
      <c r="I123" s="71"/>
      <c r="J123" s="71"/>
      <c r="K123" s="31" t="s">
        <v>65</v>
      </c>
      <c r="L123" s="79">
        <v>123</v>
      </c>
      <c r="M123" s="79"/>
      <c r="N123" s="73"/>
      <c r="O123" s="66">
        <v>1</v>
      </c>
      <c r="P123" s="63" t="str">
        <f>REPLACE(INDEX(GroupVertices[Group],MATCH(Edges[[#This Row],[Vertex 1]],GroupVertices[Vertex],0)),1,1,"")</f>
        <v>1</v>
      </c>
      <c r="Q123" s="63" t="str">
        <f>REPLACE(INDEX(GroupVertices[Group],MATCH(Edges[[#This Row],[Vertex 2]],GroupVertices[Vertex],0)),1,1,"")</f>
        <v>1</v>
      </c>
      <c r="R123" s="66" t="s">
        <v>317</v>
      </c>
      <c r="S123" s="91">
        <v>44877.52521990741</v>
      </c>
      <c r="T123" s="66" t="s">
        <v>321</v>
      </c>
      <c r="U123" s="94" t="str">
        <f>HYPERLINK("https://www.youtube.com/watch?v=xb0JCOgMsXc&amp;feature=youtu.be")</f>
        <v>https://www.youtube.com/watch?v=xb0JCOgMsXc&amp;feature=youtu.be</v>
      </c>
      <c r="V123" s="66" t="s">
        <v>403</v>
      </c>
      <c r="W123" s="97" t="s">
        <v>424</v>
      </c>
      <c r="X123" s="94" t="str">
        <f>HYPERLINK("https://pbs.twimg.com/media/FhW7ZTpXkAAZ4Hh.jpg")</f>
        <v>https://pbs.twimg.com/media/FhW7ZTpXkAAZ4Hh.jpg</v>
      </c>
      <c r="Y123" s="94" t="str">
        <f>HYPERLINK("https://pbs.twimg.com/media/FhW7ZTpXkAAZ4Hh.jpg")</f>
        <v>https://pbs.twimg.com/media/FhW7ZTpXkAAZ4Hh.jpg</v>
      </c>
      <c r="Z123" s="91">
        <v>44877.52521990741</v>
      </c>
      <c r="AA123" s="100">
        <v>44877</v>
      </c>
      <c r="AB123" s="97" t="s">
        <v>468</v>
      </c>
      <c r="AC123" s="94" t="str">
        <f>HYPERLINK("https://twitter.com/hashtagmarketi7/status/1591409554893725697")</f>
        <v>https://twitter.com/hashtagmarketi7/status/1591409554893725697</v>
      </c>
      <c r="AD123" s="66"/>
      <c r="AE123" s="66"/>
      <c r="AF123" s="97" t="s">
        <v>601</v>
      </c>
      <c r="AG123" s="66"/>
      <c r="AH123" s="66" t="b">
        <v>0</v>
      </c>
      <c r="AI123" s="66">
        <v>6</v>
      </c>
      <c r="AJ123" s="97" t="s">
        <v>712</v>
      </c>
      <c r="AK123" s="66" t="b">
        <v>0</v>
      </c>
      <c r="AL123" s="66" t="s">
        <v>715</v>
      </c>
      <c r="AM123" s="66"/>
      <c r="AN123" s="97" t="s">
        <v>712</v>
      </c>
      <c r="AO123" s="66" t="b">
        <v>0</v>
      </c>
      <c r="AP123" s="66">
        <v>5</v>
      </c>
      <c r="AQ123" s="97" t="s">
        <v>712</v>
      </c>
      <c r="AR123" s="97" t="s">
        <v>717</v>
      </c>
      <c r="AS123" s="66" t="b">
        <v>0</v>
      </c>
      <c r="AT123" s="97" t="s">
        <v>601</v>
      </c>
      <c r="AU123" s="66" t="s">
        <v>241</v>
      </c>
      <c r="AV123" s="66">
        <v>0</v>
      </c>
      <c r="AW123" s="66">
        <v>0</v>
      </c>
      <c r="AX123" s="66"/>
      <c r="AY123" s="66"/>
      <c r="AZ123" s="66"/>
      <c r="BA123" s="66"/>
      <c r="BB123" s="66"/>
      <c r="BC123" s="66"/>
      <c r="BD123" s="66"/>
      <c r="BE123" s="66"/>
      <c r="BF123" s="45"/>
      <c r="BG123" s="46"/>
      <c r="BH123" s="45"/>
      <c r="BI123" s="46"/>
      <c r="BJ123" s="45"/>
      <c r="BK123" s="46"/>
      <c r="BL123" s="45"/>
      <c r="BM123" s="46"/>
      <c r="BN123" s="45"/>
    </row>
    <row r="124" spans="1:66" ht="15">
      <c r="A124" s="62" t="s">
        <v>298</v>
      </c>
      <c r="B124" s="62" t="s">
        <v>312</v>
      </c>
      <c r="C124" s="64" t="s">
        <v>1504</v>
      </c>
      <c r="D124" s="67">
        <v>3</v>
      </c>
      <c r="E124" s="68" t="s">
        <v>132</v>
      </c>
      <c r="F124" s="69">
        <v>32</v>
      </c>
      <c r="G124" s="64"/>
      <c r="H124" s="70"/>
      <c r="I124" s="71"/>
      <c r="J124" s="71"/>
      <c r="K124" s="31" t="s">
        <v>65</v>
      </c>
      <c r="L124" s="79">
        <v>124</v>
      </c>
      <c r="M124" s="79"/>
      <c r="N124" s="73"/>
      <c r="O124" s="66">
        <v>1</v>
      </c>
      <c r="P124" s="63" t="str">
        <f>REPLACE(INDEX(GroupVertices[Group],MATCH(Edges[[#This Row],[Vertex 1]],GroupVertices[Vertex],0)),1,1,"")</f>
        <v>2</v>
      </c>
      <c r="Q124" s="63" t="str">
        <f>REPLACE(INDEX(GroupVertices[Group],MATCH(Edges[[#This Row],[Vertex 2]],GroupVertices[Vertex],0)),1,1,"")</f>
        <v>1</v>
      </c>
      <c r="R124" s="66" t="s">
        <v>316</v>
      </c>
      <c r="S124" s="91">
        <v>44877.526192129626</v>
      </c>
      <c r="T124" s="66" t="s">
        <v>321</v>
      </c>
      <c r="U124" s="94" t="str">
        <f>HYPERLINK("https://www.youtube.com/watch?v=xb0JCOgMsXc&amp;feature=youtu.be")</f>
        <v>https://www.youtube.com/watch?v=xb0JCOgMsXc&amp;feature=youtu.be</v>
      </c>
      <c r="V124" s="66" t="s">
        <v>403</v>
      </c>
      <c r="W124" s="97" t="s">
        <v>424</v>
      </c>
      <c r="X124" s="94" t="str">
        <f>HYPERLINK("https://pbs.twimg.com/media/FhW7ZTpXkAAZ4Hh.jpg")</f>
        <v>https://pbs.twimg.com/media/FhW7ZTpXkAAZ4Hh.jpg</v>
      </c>
      <c r="Y124" s="94" t="str">
        <f>HYPERLINK("https://pbs.twimg.com/media/FhW7ZTpXkAAZ4Hh.jpg")</f>
        <v>https://pbs.twimg.com/media/FhW7ZTpXkAAZ4Hh.jpg</v>
      </c>
      <c r="Z124" s="91">
        <v>44877.526192129626</v>
      </c>
      <c r="AA124" s="100">
        <v>44877</v>
      </c>
      <c r="AB124" s="97" t="s">
        <v>469</v>
      </c>
      <c r="AC124" s="94" t="str">
        <f>HYPERLINK("https://twitter.com/transvisionmad1/status/1591409908440002562")</f>
        <v>https://twitter.com/transvisionmad1/status/1591409908440002562</v>
      </c>
      <c r="AD124" s="66"/>
      <c r="AE124" s="66"/>
      <c r="AF124" s="97" t="s">
        <v>602</v>
      </c>
      <c r="AG124" s="66"/>
      <c r="AH124" s="66" t="b">
        <v>0</v>
      </c>
      <c r="AI124" s="66">
        <v>0</v>
      </c>
      <c r="AJ124" s="97" t="s">
        <v>712</v>
      </c>
      <c r="AK124" s="66" t="b">
        <v>0</v>
      </c>
      <c r="AL124" s="66" t="s">
        <v>715</v>
      </c>
      <c r="AM124" s="66"/>
      <c r="AN124" s="97" t="s">
        <v>712</v>
      </c>
      <c r="AO124" s="66" t="b">
        <v>0</v>
      </c>
      <c r="AP124" s="66">
        <v>5</v>
      </c>
      <c r="AQ124" s="97" t="s">
        <v>601</v>
      </c>
      <c r="AR124" s="97" t="s">
        <v>717</v>
      </c>
      <c r="AS124" s="66" t="b">
        <v>0</v>
      </c>
      <c r="AT124" s="97" t="s">
        <v>601</v>
      </c>
      <c r="AU124" s="66" t="s">
        <v>241</v>
      </c>
      <c r="AV124" s="66">
        <v>0</v>
      </c>
      <c r="AW124" s="66">
        <v>0</v>
      </c>
      <c r="AX124" s="66"/>
      <c r="AY124" s="66"/>
      <c r="AZ124" s="66"/>
      <c r="BA124" s="66"/>
      <c r="BB124" s="66"/>
      <c r="BC124" s="66"/>
      <c r="BD124" s="66"/>
      <c r="BE124" s="66"/>
      <c r="BF124" s="45"/>
      <c r="BG124" s="46"/>
      <c r="BH124" s="45"/>
      <c r="BI124" s="46"/>
      <c r="BJ124" s="45"/>
      <c r="BK124" s="46"/>
      <c r="BL124" s="45"/>
      <c r="BM124" s="46"/>
      <c r="BN124" s="45"/>
    </row>
    <row r="125" spans="1:66" ht="15">
      <c r="A125" s="62" t="s">
        <v>297</v>
      </c>
      <c r="B125" s="62" t="s">
        <v>313</v>
      </c>
      <c r="C125" s="64" t="s">
        <v>1504</v>
      </c>
      <c r="D125" s="67">
        <v>3</v>
      </c>
      <c r="E125" s="68" t="s">
        <v>132</v>
      </c>
      <c r="F125" s="69">
        <v>32</v>
      </c>
      <c r="G125" s="64"/>
      <c r="H125" s="70"/>
      <c r="I125" s="71"/>
      <c r="J125" s="71"/>
      <c r="K125" s="31" t="s">
        <v>65</v>
      </c>
      <c r="L125" s="79">
        <v>125</v>
      </c>
      <c r="M125" s="79"/>
      <c r="N125" s="73"/>
      <c r="O125" s="66">
        <v>1</v>
      </c>
      <c r="P125" s="63" t="str">
        <f>REPLACE(INDEX(GroupVertices[Group],MATCH(Edges[[#This Row],[Vertex 1]],GroupVertices[Vertex],0)),1,1,"")</f>
        <v>1</v>
      </c>
      <c r="Q125" s="63" t="str">
        <f>REPLACE(INDEX(GroupVertices[Group],MATCH(Edges[[#This Row],[Vertex 2]],GroupVertices[Vertex],0)),1,1,"")</f>
        <v>1</v>
      </c>
      <c r="R125" s="66" t="s">
        <v>317</v>
      </c>
      <c r="S125" s="91">
        <v>44877.52521990741</v>
      </c>
      <c r="T125" s="66" t="s">
        <v>321</v>
      </c>
      <c r="U125" s="94" t="str">
        <f>HYPERLINK("https://www.youtube.com/watch?v=xb0JCOgMsXc&amp;feature=youtu.be")</f>
        <v>https://www.youtube.com/watch?v=xb0JCOgMsXc&amp;feature=youtu.be</v>
      </c>
      <c r="V125" s="66" t="s">
        <v>403</v>
      </c>
      <c r="W125" s="97" t="s">
        <v>424</v>
      </c>
      <c r="X125" s="94" t="str">
        <f>HYPERLINK("https://pbs.twimg.com/media/FhW7ZTpXkAAZ4Hh.jpg")</f>
        <v>https://pbs.twimg.com/media/FhW7ZTpXkAAZ4Hh.jpg</v>
      </c>
      <c r="Y125" s="94" t="str">
        <f>HYPERLINK("https://pbs.twimg.com/media/FhW7ZTpXkAAZ4Hh.jpg")</f>
        <v>https://pbs.twimg.com/media/FhW7ZTpXkAAZ4Hh.jpg</v>
      </c>
      <c r="Z125" s="91">
        <v>44877.52521990741</v>
      </c>
      <c r="AA125" s="100">
        <v>44877</v>
      </c>
      <c r="AB125" s="97" t="s">
        <v>468</v>
      </c>
      <c r="AC125" s="94" t="str">
        <f>HYPERLINK("https://twitter.com/hashtagmarketi7/status/1591409554893725697")</f>
        <v>https://twitter.com/hashtagmarketi7/status/1591409554893725697</v>
      </c>
      <c r="AD125" s="66"/>
      <c r="AE125" s="66"/>
      <c r="AF125" s="97" t="s">
        <v>601</v>
      </c>
      <c r="AG125" s="66"/>
      <c r="AH125" s="66" t="b">
        <v>0</v>
      </c>
      <c r="AI125" s="66">
        <v>6</v>
      </c>
      <c r="AJ125" s="97" t="s">
        <v>712</v>
      </c>
      <c r="AK125" s="66" t="b">
        <v>0</v>
      </c>
      <c r="AL125" s="66" t="s">
        <v>715</v>
      </c>
      <c r="AM125" s="66"/>
      <c r="AN125" s="97" t="s">
        <v>712</v>
      </c>
      <c r="AO125" s="66" t="b">
        <v>0</v>
      </c>
      <c r="AP125" s="66">
        <v>5</v>
      </c>
      <c r="AQ125" s="97" t="s">
        <v>712</v>
      </c>
      <c r="AR125" s="97" t="s">
        <v>717</v>
      </c>
      <c r="AS125" s="66" t="b">
        <v>0</v>
      </c>
      <c r="AT125" s="97" t="s">
        <v>601</v>
      </c>
      <c r="AU125" s="66" t="s">
        <v>241</v>
      </c>
      <c r="AV125" s="66">
        <v>0</v>
      </c>
      <c r="AW125" s="66">
        <v>0</v>
      </c>
      <c r="AX125" s="66"/>
      <c r="AY125" s="66"/>
      <c r="AZ125" s="66"/>
      <c r="BA125" s="66"/>
      <c r="BB125" s="66"/>
      <c r="BC125" s="66"/>
      <c r="BD125" s="66"/>
      <c r="BE125" s="66"/>
      <c r="BF125" s="45"/>
      <c r="BG125" s="46"/>
      <c r="BH125" s="45"/>
      <c r="BI125" s="46"/>
      <c r="BJ125" s="45"/>
      <c r="BK125" s="46"/>
      <c r="BL125" s="45"/>
      <c r="BM125" s="46"/>
      <c r="BN125" s="45"/>
    </row>
    <row r="126" spans="1:66" ht="15">
      <c r="A126" s="62" t="s">
        <v>298</v>
      </c>
      <c r="B126" s="62" t="s">
        <v>313</v>
      </c>
      <c r="C126" s="64" t="s">
        <v>1504</v>
      </c>
      <c r="D126" s="67">
        <v>3</v>
      </c>
      <c r="E126" s="68" t="s">
        <v>132</v>
      </c>
      <c r="F126" s="69">
        <v>32</v>
      </c>
      <c r="G126" s="64"/>
      <c r="H126" s="70"/>
      <c r="I126" s="71"/>
      <c r="J126" s="71"/>
      <c r="K126" s="31" t="s">
        <v>65</v>
      </c>
      <c r="L126" s="79">
        <v>126</v>
      </c>
      <c r="M126" s="79"/>
      <c r="N126" s="73"/>
      <c r="O126" s="66">
        <v>1</v>
      </c>
      <c r="P126" s="63" t="str">
        <f>REPLACE(INDEX(GroupVertices[Group],MATCH(Edges[[#This Row],[Vertex 1]],GroupVertices[Vertex],0)),1,1,"")</f>
        <v>2</v>
      </c>
      <c r="Q126" s="63" t="str">
        <f>REPLACE(INDEX(GroupVertices[Group],MATCH(Edges[[#This Row],[Vertex 2]],GroupVertices[Vertex],0)),1,1,"")</f>
        <v>1</v>
      </c>
      <c r="R126" s="66" t="s">
        <v>316</v>
      </c>
      <c r="S126" s="91">
        <v>44877.526192129626</v>
      </c>
      <c r="T126" s="66" t="s">
        <v>321</v>
      </c>
      <c r="U126" s="94" t="str">
        <f>HYPERLINK("https://www.youtube.com/watch?v=xb0JCOgMsXc&amp;feature=youtu.be")</f>
        <v>https://www.youtube.com/watch?v=xb0JCOgMsXc&amp;feature=youtu.be</v>
      </c>
      <c r="V126" s="66" t="s">
        <v>403</v>
      </c>
      <c r="W126" s="97" t="s">
        <v>424</v>
      </c>
      <c r="X126" s="94" t="str">
        <f>HYPERLINK("https://pbs.twimg.com/media/FhW7ZTpXkAAZ4Hh.jpg")</f>
        <v>https://pbs.twimg.com/media/FhW7ZTpXkAAZ4Hh.jpg</v>
      </c>
      <c r="Y126" s="94" t="str">
        <f>HYPERLINK("https://pbs.twimg.com/media/FhW7ZTpXkAAZ4Hh.jpg")</f>
        <v>https://pbs.twimg.com/media/FhW7ZTpXkAAZ4Hh.jpg</v>
      </c>
      <c r="Z126" s="91">
        <v>44877.526192129626</v>
      </c>
      <c r="AA126" s="100">
        <v>44877</v>
      </c>
      <c r="AB126" s="97" t="s">
        <v>469</v>
      </c>
      <c r="AC126" s="94" t="str">
        <f>HYPERLINK("https://twitter.com/transvisionmad1/status/1591409908440002562")</f>
        <v>https://twitter.com/transvisionmad1/status/1591409908440002562</v>
      </c>
      <c r="AD126" s="66"/>
      <c r="AE126" s="66"/>
      <c r="AF126" s="97" t="s">
        <v>602</v>
      </c>
      <c r="AG126" s="66"/>
      <c r="AH126" s="66" t="b">
        <v>0</v>
      </c>
      <c r="AI126" s="66">
        <v>0</v>
      </c>
      <c r="AJ126" s="97" t="s">
        <v>712</v>
      </c>
      <c r="AK126" s="66" t="b">
        <v>0</v>
      </c>
      <c r="AL126" s="66" t="s">
        <v>715</v>
      </c>
      <c r="AM126" s="66"/>
      <c r="AN126" s="97" t="s">
        <v>712</v>
      </c>
      <c r="AO126" s="66" t="b">
        <v>0</v>
      </c>
      <c r="AP126" s="66">
        <v>5</v>
      </c>
      <c r="AQ126" s="97" t="s">
        <v>601</v>
      </c>
      <c r="AR126" s="97" t="s">
        <v>717</v>
      </c>
      <c r="AS126" s="66" t="b">
        <v>0</v>
      </c>
      <c r="AT126" s="97" t="s">
        <v>601</v>
      </c>
      <c r="AU126" s="66" t="s">
        <v>241</v>
      </c>
      <c r="AV126" s="66">
        <v>0</v>
      </c>
      <c r="AW126" s="66">
        <v>0</v>
      </c>
      <c r="AX126" s="66"/>
      <c r="AY126" s="66"/>
      <c r="AZ126" s="66"/>
      <c r="BA126" s="66"/>
      <c r="BB126" s="66"/>
      <c r="BC126" s="66"/>
      <c r="BD126" s="66"/>
      <c r="BE126" s="66"/>
      <c r="BF126" s="45"/>
      <c r="BG126" s="46"/>
      <c r="BH126" s="45"/>
      <c r="BI126" s="46"/>
      <c r="BJ126" s="45"/>
      <c r="BK126" s="46"/>
      <c r="BL126" s="45"/>
      <c r="BM126" s="46"/>
      <c r="BN126" s="45"/>
    </row>
    <row r="127" spans="1:66" ht="15">
      <c r="A127" s="62" t="s">
        <v>303</v>
      </c>
      <c r="B127" s="62" t="s">
        <v>304</v>
      </c>
      <c r="C127" s="64" t="s">
        <v>1504</v>
      </c>
      <c r="D127" s="67">
        <v>3</v>
      </c>
      <c r="E127" s="68" t="s">
        <v>132</v>
      </c>
      <c r="F127" s="69">
        <v>32</v>
      </c>
      <c r="G127" s="64"/>
      <c r="H127" s="70"/>
      <c r="I127" s="71"/>
      <c r="J127" s="71"/>
      <c r="K127" s="31" t="s">
        <v>65</v>
      </c>
      <c r="L127" s="79">
        <v>127</v>
      </c>
      <c r="M127" s="79"/>
      <c r="N127" s="73"/>
      <c r="O127" s="66">
        <v>1</v>
      </c>
      <c r="P127" s="63" t="str">
        <f>REPLACE(INDEX(GroupVertices[Group],MATCH(Edges[[#This Row],[Vertex 1]],GroupVertices[Vertex],0)),1,1,"")</f>
        <v>5</v>
      </c>
      <c r="Q127" s="63" t="str">
        <f>REPLACE(INDEX(GroupVertices[Group],MATCH(Edges[[#This Row],[Vertex 2]],GroupVertices[Vertex],0)),1,1,"")</f>
        <v>5</v>
      </c>
      <c r="R127" s="66" t="s">
        <v>315</v>
      </c>
      <c r="S127" s="91">
        <v>44877.45737268519</v>
      </c>
      <c r="T127" s="66" t="s">
        <v>318</v>
      </c>
      <c r="U127" s="66"/>
      <c r="V127" s="66"/>
      <c r="W127" s="97" t="s">
        <v>421</v>
      </c>
      <c r="X127" s="94" t="str">
        <f>HYPERLINK("https://pbs.twimg.com/media/FhWdWZuXwAAO13Y.jpg")</f>
        <v>https://pbs.twimg.com/media/FhWdWZuXwAAO13Y.jpg</v>
      </c>
      <c r="Y127" s="94" t="str">
        <f>HYPERLINK("https://pbs.twimg.com/media/FhWdWZuXwAAO13Y.jpg")</f>
        <v>https://pbs.twimg.com/media/FhWdWZuXwAAO13Y.jpg</v>
      </c>
      <c r="Z127" s="91">
        <v>44877.45737268519</v>
      </c>
      <c r="AA127" s="100">
        <v>44877</v>
      </c>
      <c r="AB127" s="97" t="s">
        <v>485</v>
      </c>
      <c r="AC127" s="94" t="str">
        <f>HYPERLINK("https://twitter.com/kgomotsegoram/status/1591384969460723712")</f>
        <v>https://twitter.com/kgomotsegoram/status/1591384969460723712</v>
      </c>
      <c r="AD127" s="66"/>
      <c r="AE127" s="66"/>
      <c r="AF127" s="97" t="s">
        <v>618</v>
      </c>
      <c r="AG127" s="66"/>
      <c r="AH127" s="66" t="b">
        <v>0</v>
      </c>
      <c r="AI127" s="66">
        <v>0</v>
      </c>
      <c r="AJ127" s="97" t="s">
        <v>712</v>
      </c>
      <c r="AK127" s="66" t="b">
        <v>0</v>
      </c>
      <c r="AL127" s="66" t="s">
        <v>714</v>
      </c>
      <c r="AM127" s="66"/>
      <c r="AN127" s="97" t="s">
        <v>712</v>
      </c>
      <c r="AO127" s="66" t="b">
        <v>0</v>
      </c>
      <c r="AP127" s="66">
        <v>6</v>
      </c>
      <c r="AQ127" s="97" t="s">
        <v>638</v>
      </c>
      <c r="AR127" s="97" t="s">
        <v>718</v>
      </c>
      <c r="AS127" s="66" t="b">
        <v>0</v>
      </c>
      <c r="AT127" s="97" t="s">
        <v>638</v>
      </c>
      <c r="AU127" s="66" t="s">
        <v>241</v>
      </c>
      <c r="AV127" s="66">
        <v>0</v>
      </c>
      <c r="AW127" s="66">
        <v>0</v>
      </c>
      <c r="AX127" s="66"/>
      <c r="AY127" s="66"/>
      <c r="AZ127" s="66"/>
      <c r="BA127" s="66"/>
      <c r="BB127" s="66"/>
      <c r="BC127" s="66"/>
      <c r="BD127" s="66"/>
      <c r="BE127" s="66"/>
      <c r="BF127" s="45">
        <v>0</v>
      </c>
      <c r="BG127" s="46">
        <v>0</v>
      </c>
      <c r="BH127" s="45">
        <v>0</v>
      </c>
      <c r="BI127" s="46">
        <v>0</v>
      </c>
      <c r="BJ127" s="45">
        <v>0</v>
      </c>
      <c r="BK127" s="46">
        <v>0</v>
      </c>
      <c r="BL127" s="45">
        <v>5</v>
      </c>
      <c r="BM127" s="46">
        <v>83.33333333333333</v>
      </c>
      <c r="BN127" s="45">
        <v>6</v>
      </c>
    </row>
    <row r="128" spans="1:66" ht="15">
      <c r="A128" s="62" t="s">
        <v>303</v>
      </c>
      <c r="B128" s="62" t="s">
        <v>297</v>
      </c>
      <c r="C128" s="64" t="s">
        <v>1504</v>
      </c>
      <c r="D128" s="67">
        <v>3</v>
      </c>
      <c r="E128" s="68" t="s">
        <v>132</v>
      </c>
      <c r="F128" s="69">
        <v>32</v>
      </c>
      <c r="G128" s="64"/>
      <c r="H128" s="70"/>
      <c r="I128" s="71"/>
      <c r="J128" s="71"/>
      <c r="K128" s="31" t="s">
        <v>66</v>
      </c>
      <c r="L128" s="79">
        <v>128</v>
      </c>
      <c r="M128" s="79"/>
      <c r="N128" s="73"/>
      <c r="O128" s="66">
        <v>1</v>
      </c>
      <c r="P128" s="63" t="str">
        <f>REPLACE(INDEX(GroupVertices[Group],MATCH(Edges[[#This Row],[Vertex 1]],GroupVertices[Vertex],0)),1,1,"")</f>
        <v>5</v>
      </c>
      <c r="Q128" s="63" t="str">
        <f>REPLACE(INDEX(GroupVertices[Group],MATCH(Edges[[#This Row],[Vertex 2]],GroupVertices[Vertex],0)),1,1,"")</f>
        <v>1</v>
      </c>
      <c r="R128" s="66" t="s">
        <v>315</v>
      </c>
      <c r="S128" s="91">
        <v>44879.331921296296</v>
      </c>
      <c r="T128" s="66" t="s">
        <v>340</v>
      </c>
      <c r="U128" s="94" t="str">
        <f>HYPERLINK("https://twitter.com/kgomotsegoRam/status/1591376302753607680")</f>
        <v>https://twitter.com/kgomotsegoRam/status/1591376302753607680</v>
      </c>
      <c r="V128" s="66" t="s">
        <v>411</v>
      </c>
      <c r="W128" s="97" t="s">
        <v>421</v>
      </c>
      <c r="X128" s="94" t="str">
        <f>HYPERLINK("https://pbs.twimg.com/media/FhXmbl-XkAUqSzZ.jpg")</f>
        <v>https://pbs.twimg.com/media/FhXmbl-XkAUqSzZ.jpg</v>
      </c>
      <c r="Y128" s="94" t="str">
        <f>HYPERLINK("https://pbs.twimg.com/media/FhXmbl-XkAUqSzZ.jpg")</f>
        <v>https://pbs.twimg.com/media/FhXmbl-XkAUqSzZ.jpg</v>
      </c>
      <c r="Z128" s="91">
        <v>44879.331921296296</v>
      </c>
      <c r="AA128" s="100">
        <v>44879</v>
      </c>
      <c r="AB128" s="97" t="s">
        <v>486</v>
      </c>
      <c r="AC128" s="94" t="str">
        <f>HYPERLINK("https://twitter.com/kgomotsegoram/status/1592064281201332226")</f>
        <v>https://twitter.com/kgomotsegoram/status/1592064281201332226</v>
      </c>
      <c r="AD128" s="66"/>
      <c r="AE128" s="66"/>
      <c r="AF128" s="97" t="s">
        <v>619</v>
      </c>
      <c r="AG128" s="66"/>
      <c r="AH128" s="66" t="b">
        <v>0</v>
      </c>
      <c r="AI128" s="66">
        <v>0</v>
      </c>
      <c r="AJ128" s="97" t="s">
        <v>712</v>
      </c>
      <c r="AK128" s="66" t="b">
        <v>1</v>
      </c>
      <c r="AL128" s="66" t="s">
        <v>714</v>
      </c>
      <c r="AM128" s="66"/>
      <c r="AN128" s="97" t="s">
        <v>716</v>
      </c>
      <c r="AO128" s="66" t="b">
        <v>0</v>
      </c>
      <c r="AP128" s="66">
        <v>2</v>
      </c>
      <c r="AQ128" s="97" t="s">
        <v>620</v>
      </c>
      <c r="AR128" s="97" t="s">
        <v>719</v>
      </c>
      <c r="AS128" s="66" t="b">
        <v>0</v>
      </c>
      <c r="AT128" s="97" t="s">
        <v>620</v>
      </c>
      <c r="AU128" s="66" t="s">
        <v>241</v>
      </c>
      <c r="AV128" s="66">
        <v>0</v>
      </c>
      <c r="AW128" s="66">
        <v>0</v>
      </c>
      <c r="AX128" s="66"/>
      <c r="AY128" s="66"/>
      <c r="AZ128" s="66"/>
      <c r="BA128" s="66"/>
      <c r="BB128" s="66"/>
      <c r="BC128" s="66"/>
      <c r="BD128" s="66"/>
      <c r="BE128" s="66"/>
      <c r="BF128" s="45">
        <v>1</v>
      </c>
      <c r="BG128" s="46">
        <v>25</v>
      </c>
      <c r="BH128" s="45">
        <v>0</v>
      </c>
      <c r="BI128" s="46">
        <v>0</v>
      </c>
      <c r="BJ128" s="45">
        <v>0</v>
      </c>
      <c r="BK128" s="46">
        <v>0</v>
      </c>
      <c r="BL128" s="45">
        <v>2</v>
      </c>
      <c r="BM128" s="46">
        <v>50</v>
      </c>
      <c r="BN128" s="45">
        <v>4</v>
      </c>
    </row>
    <row r="129" spans="1:66" ht="15">
      <c r="A129" s="62" t="s">
        <v>297</v>
      </c>
      <c r="B129" s="62" t="s">
        <v>303</v>
      </c>
      <c r="C129" s="64" t="s">
        <v>1504</v>
      </c>
      <c r="D129" s="67">
        <v>3</v>
      </c>
      <c r="E129" s="68" t="s">
        <v>132</v>
      </c>
      <c r="F129" s="69">
        <v>32</v>
      </c>
      <c r="G129" s="64"/>
      <c r="H129" s="70"/>
      <c r="I129" s="71"/>
      <c r="J129" s="71"/>
      <c r="K129" s="31" t="s">
        <v>66</v>
      </c>
      <c r="L129" s="79">
        <v>129</v>
      </c>
      <c r="M129" s="79"/>
      <c r="N129" s="73"/>
      <c r="O129" s="66">
        <v>1</v>
      </c>
      <c r="P129" s="63" t="str">
        <f>REPLACE(INDEX(GroupVertices[Group],MATCH(Edges[[#This Row],[Vertex 1]],GroupVertices[Vertex],0)),1,1,"")</f>
        <v>1</v>
      </c>
      <c r="Q129" s="63" t="str">
        <f>REPLACE(INDEX(GroupVertices[Group],MATCH(Edges[[#This Row],[Vertex 2]],GroupVertices[Vertex],0)),1,1,"")</f>
        <v>5</v>
      </c>
      <c r="R129" s="66" t="s">
        <v>317</v>
      </c>
      <c r="S129" s="91">
        <v>44877.58607638889</v>
      </c>
      <c r="T129" s="66" t="s">
        <v>340</v>
      </c>
      <c r="U129" s="94" t="str">
        <f>HYPERLINK("https://twitter.com/kgomotsegoRam/status/1591376302753607680")</f>
        <v>https://twitter.com/kgomotsegoRam/status/1591376302753607680</v>
      </c>
      <c r="V129" s="66" t="s">
        <v>411</v>
      </c>
      <c r="W129" s="97" t="s">
        <v>421</v>
      </c>
      <c r="X129" s="94" t="str">
        <f>HYPERLINK("https://pbs.twimg.com/media/FhXmbl-XkAUqSzZ.jpg")</f>
        <v>https://pbs.twimg.com/media/FhXmbl-XkAUqSzZ.jpg</v>
      </c>
      <c r="Y129" s="94" t="str">
        <f>HYPERLINK("https://pbs.twimg.com/media/FhXmbl-XkAUqSzZ.jpg")</f>
        <v>https://pbs.twimg.com/media/FhXmbl-XkAUqSzZ.jpg</v>
      </c>
      <c r="Z129" s="91">
        <v>44877.58607638889</v>
      </c>
      <c r="AA129" s="100">
        <v>44877</v>
      </c>
      <c r="AB129" s="97" t="s">
        <v>487</v>
      </c>
      <c r="AC129" s="94" t="str">
        <f>HYPERLINK("https://twitter.com/hashtagmarketi7/status/1591431609135550464")</f>
        <v>https://twitter.com/hashtagmarketi7/status/1591431609135550464</v>
      </c>
      <c r="AD129" s="66"/>
      <c r="AE129" s="66"/>
      <c r="AF129" s="97" t="s">
        <v>620</v>
      </c>
      <c r="AG129" s="66"/>
      <c r="AH129" s="66" t="b">
        <v>0</v>
      </c>
      <c r="AI129" s="66">
        <v>2</v>
      </c>
      <c r="AJ129" s="97" t="s">
        <v>712</v>
      </c>
      <c r="AK129" s="66" t="b">
        <v>1</v>
      </c>
      <c r="AL129" s="66" t="s">
        <v>714</v>
      </c>
      <c r="AM129" s="66"/>
      <c r="AN129" s="97" t="s">
        <v>716</v>
      </c>
      <c r="AO129" s="66" t="b">
        <v>0</v>
      </c>
      <c r="AP129" s="66">
        <v>2</v>
      </c>
      <c r="AQ129" s="97" t="s">
        <v>712</v>
      </c>
      <c r="AR129" s="97" t="s">
        <v>717</v>
      </c>
      <c r="AS129" s="66" t="b">
        <v>0</v>
      </c>
      <c r="AT129" s="97" t="s">
        <v>620</v>
      </c>
      <c r="AU129" s="66" t="s">
        <v>241</v>
      </c>
      <c r="AV129" s="66">
        <v>0</v>
      </c>
      <c r="AW129" s="66">
        <v>0</v>
      </c>
      <c r="AX129" s="66"/>
      <c r="AY129" s="66"/>
      <c r="AZ129" s="66"/>
      <c r="BA129" s="66"/>
      <c r="BB129" s="66"/>
      <c r="BC129" s="66"/>
      <c r="BD129" s="66"/>
      <c r="BE129" s="66"/>
      <c r="BF129" s="45">
        <v>1</v>
      </c>
      <c r="BG129" s="46">
        <v>25</v>
      </c>
      <c r="BH129" s="45">
        <v>0</v>
      </c>
      <c r="BI129" s="46">
        <v>0</v>
      </c>
      <c r="BJ129" s="45">
        <v>0</v>
      </c>
      <c r="BK129" s="46">
        <v>0</v>
      </c>
      <c r="BL129" s="45">
        <v>2</v>
      </c>
      <c r="BM129" s="46">
        <v>50</v>
      </c>
      <c r="BN129" s="45">
        <v>4</v>
      </c>
    </row>
    <row r="130" spans="1:66" ht="15">
      <c r="A130" s="62" t="s">
        <v>298</v>
      </c>
      <c r="B130" s="62" t="s">
        <v>303</v>
      </c>
      <c r="C130" s="64" t="s">
        <v>1504</v>
      </c>
      <c r="D130" s="67">
        <v>3</v>
      </c>
      <c r="E130" s="68" t="s">
        <v>132</v>
      </c>
      <c r="F130" s="69">
        <v>32</v>
      </c>
      <c r="G130" s="64"/>
      <c r="H130" s="70"/>
      <c r="I130" s="71"/>
      <c r="J130" s="71"/>
      <c r="K130" s="31" t="s">
        <v>65</v>
      </c>
      <c r="L130" s="79">
        <v>130</v>
      </c>
      <c r="M130" s="79"/>
      <c r="N130" s="73"/>
      <c r="O130" s="66">
        <v>1</v>
      </c>
      <c r="P130" s="63" t="str">
        <f>REPLACE(INDEX(GroupVertices[Group],MATCH(Edges[[#This Row],[Vertex 1]],GroupVertices[Vertex],0)),1,1,"")</f>
        <v>2</v>
      </c>
      <c r="Q130" s="63" t="str">
        <f>REPLACE(INDEX(GroupVertices[Group],MATCH(Edges[[#This Row],[Vertex 2]],GroupVertices[Vertex],0)),1,1,"")</f>
        <v>5</v>
      </c>
      <c r="R130" s="66" t="s">
        <v>316</v>
      </c>
      <c r="S130" s="91">
        <v>44877.606203703705</v>
      </c>
      <c r="T130" s="66" t="s">
        <v>340</v>
      </c>
      <c r="U130" s="94" t="str">
        <f>HYPERLINK("https://twitter.com/kgomotsegoRam/status/1591376302753607680")</f>
        <v>https://twitter.com/kgomotsegoRam/status/1591376302753607680</v>
      </c>
      <c r="V130" s="66" t="s">
        <v>411</v>
      </c>
      <c r="W130" s="97" t="s">
        <v>421</v>
      </c>
      <c r="X130" s="94" t="str">
        <f>HYPERLINK("https://pbs.twimg.com/media/FhXmbl-XkAUqSzZ.jpg")</f>
        <v>https://pbs.twimg.com/media/FhXmbl-XkAUqSzZ.jpg</v>
      </c>
      <c r="Y130" s="94" t="str">
        <f>HYPERLINK("https://pbs.twimg.com/media/FhXmbl-XkAUqSzZ.jpg")</f>
        <v>https://pbs.twimg.com/media/FhXmbl-XkAUqSzZ.jpg</v>
      </c>
      <c r="Z130" s="91">
        <v>44877.606203703705</v>
      </c>
      <c r="AA130" s="100">
        <v>44877</v>
      </c>
      <c r="AB130" s="97" t="s">
        <v>488</v>
      </c>
      <c r="AC130" s="94" t="str">
        <f>HYPERLINK("https://twitter.com/transvisionmad1/status/1591438903516561414")</f>
        <v>https://twitter.com/transvisionmad1/status/1591438903516561414</v>
      </c>
      <c r="AD130" s="66"/>
      <c r="AE130" s="66"/>
      <c r="AF130" s="97" t="s">
        <v>621</v>
      </c>
      <c r="AG130" s="66"/>
      <c r="AH130" s="66" t="b">
        <v>0</v>
      </c>
      <c r="AI130" s="66">
        <v>0</v>
      </c>
      <c r="AJ130" s="97" t="s">
        <v>712</v>
      </c>
      <c r="AK130" s="66" t="b">
        <v>1</v>
      </c>
      <c r="AL130" s="66" t="s">
        <v>714</v>
      </c>
      <c r="AM130" s="66"/>
      <c r="AN130" s="97" t="s">
        <v>716</v>
      </c>
      <c r="AO130" s="66" t="b">
        <v>0</v>
      </c>
      <c r="AP130" s="66">
        <v>2</v>
      </c>
      <c r="AQ130" s="97" t="s">
        <v>620</v>
      </c>
      <c r="AR130" s="97" t="s">
        <v>717</v>
      </c>
      <c r="AS130" s="66" t="b">
        <v>0</v>
      </c>
      <c r="AT130" s="97" t="s">
        <v>620</v>
      </c>
      <c r="AU130" s="66" t="s">
        <v>241</v>
      </c>
      <c r="AV130" s="66">
        <v>0</v>
      </c>
      <c r="AW130" s="66">
        <v>0</v>
      </c>
      <c r="AX130" s="66"/>
      <c r="AY130" s="66"/>
      <c r="AZ130" s="66"/>
      <c r="BA130" s="66"/>
      <c r="BB130" s="66"/>
      <c r="BC130" s="66"/>
      <c r="BD130" s="66"/>
      <c r="BE130" s="66"/>
      <c r="BF130" s="45">
        <v>1</v>
      </c>
      <c r="BG130" s="46">
        <v>25</v>
      </c>
      <c r="BH130" s="45">
        <v>0</v>
      </c>
      <c r="BI130" s="46">
        <v>0</v>
      </c>
      <c r="BJ130" s="45">
        <v>0</v>
      </c>
      <c r="BK130" s="46">
        <v>0</v>
      </c>
      <c r="BL130" s="45">
        <v>2</v>
      </c>
      <c r="BM130" s="46">
        <v>50</v>
      </c>
      <c r="BN130" s="45">
        <v>4</v>
      </c>
    </row>
    <row r="131" spans="1:66" ht="15">
      <c r="A131" s="62" t="s">
        <v>297</v>
      </c>
      <c r="B131" s="62" t="s">
        <v>305</v>
      </c>
      <c r="C131" s="64" t="s">
        <v>1505</v>
      </c>
      <c r="D131" s="67">
        <v>4.75</v>
      </c>
      <c r="E131" s="68" t="s">
        <v>136</v>
      </c>
      <c r="F131" s="69">
        <v>31.235294117647058</v>
      </c>
      <c r="G131" s="64"/>
      <c r="H131" s="70"/>
      <c r="I131" s="71"/>
      <c r="J131" s="71"/>
      <c r="K131" s="31" t="s">
        <v>65</v>
      </c>
      <c r="L131" s="79">
        <v>131</v>
      </c>
      <c r="M131" s="79"/>
      <c r="N131" s="73"/>
      <c r="O131" s="66">
        <v>2</v>
      </c>
      <c r="P131" s="63" t="str">
        <f>REPLACE(INDEX(GroupVertices[Group],MATCH(Edges[[#This Row],[Vertex 1]],GroupVertices[Vertex],0)),1,1,"")</f>
        <v>1</v>
      </c>
      <c r="Q131" s="63" t="str">
        <f>REPLACE(INDEX(GroupVertices[Group],MATCH(Edges[[#This Row],[Vertex 2]],GroupVertices[Vertex],0)),1,1,"")</f>
        <v>4</v>
      </c>
      <c r="R131" s="66" t="s">
        <v>316</v>
      </c>
      <c r="S131" s="91">
        <v>44877.45034722222</v>
      </c>
      <c r="T131" s="66" t="s">
        <v>320</v>
      </c>
      <c r="U131" s="94" t="str">
        <f>HYPERLINK("https://www.youtube.com/watch?v=xb0JCOgMsXc&amp;feature=youtu.be")</f>
        <v>https://www.youtube.com/watch?v=xb0JCOgMsXc&amp;feature=youtu.be</v>
      </c>
      <c r="V131" s="66" t="s">
        <v>403</v>
      </c>
      <c r="W131" s="97" t="s">
        <v>423</v>
      </c>
      <c r="X131" s="94" t="str">
        <f>HYPERLINK("https://pbs.twimg.com/media/FhWu7YzX0AEJMfI.png")</f>
        <v>https://pbs.twimg.com/media/FhWu7YzX0AEJMfI.png</v>
      </c>
      <c r="Y131" s="94" t="str">
        <f>HYPERLINK("https://pbs.twimg.com/media/FhWu7YzX0AEJMfI.png")</f>
        <v>https://pbs.twimg.com/media/FhWu7YzX0AEJMfI.png</v>
      </c>
      <c r="Z131" s="91">
        <v>44877.45034722222</v>
      </c>
      <c r="AA131" s="100">
        <v>44877</v>
      </c>
      <c r="AB131" s="97" t="s">
        <v>479</v>
      </c>
      <c r="AC131" s="94" t="str">
        <f>HYPERLINK("https://twitter.com/hashtagmarketi7/status/1591382423438344198")</f>
        <v>https://twitter.com/hashtagmarketi7/status/1591382423438344198</v>
      </c>
      <c r="AD131" s="66"/>
      <c r="AE131" s="66"/>
      <c r="AF131" s="97" t="s">
        <v>612</v>
      </c>
      <c r="AG131" s="66"/>
      <c r="AH131" s="66" t="b">
        <v>0</v>
      </c>
      <c r="AI131" s="66">
        <v>0</v>
      </c>
      <c r="AJ131" s="97" t="s">
        <v>712</v>
      </c>
      <c r="AK131" s="66" t="b">
        <v>0</v>
      </c>
      <c r="AL131" s="66" t="s">
        <v>715</v>
      </c>
      <c r="AM131" s="66"/>
      <c r="AN131" s="97" t="s">
        <v>712</v>
      </c>
      <c r="AO131" s="66" t="b">
        <v>0</v>
      </c>
      <c r="AP131" s="66">
        <v>5</v>
      </c>
      <c r="AQ131" s="97" t="s">
        <v>613</v>
      </c>
      <c r="AR131" s="97" t="s">
        <v>717</v>
      </c>
      <c r="AS131" s="66" t="b">
        <v>0</v>
      </c>
      <c r="AT131" s="97" t="s">
        <v>613</v>
      </c>
      <c r="AU131" s="66" t="s">
        <v>241</v>
      </c>
      <c r="AV131" s="66">
        <v>0</v>
      </c>
      <c r="AW131" s="66">
        <v>0</v>
      </c>
      <c r="AX131" s="66"/>
      <c r="AY131" s="66"/>
      <c r="AZ131" s="66"/>
      <c r="BA131" s="66"/>
      <c r="BB131" s="66"/>
      <c r="BC131" s="66"/>
      <c r="BD131" s="66"/>
      <c r="BE131" s="66"/>
      <c r="BF131" s="45"/>
      <c r="BG131" s="46"/>
      <c r="BH131" s="45"/>
      <c r="BI131" s="46"/>
      <c r="BJ131" s="45"/>
      <c r="BK131" s="46"/>
      <c r="BL131" s="45"/>
      <c r="BM131" s="46"/>
      <c r="BN131" s="45"/>
    </row>
    <row r="132" spans="1:66" ht="15">
      <c r="A132" s="62" t="s">
        <v>297</v>
      </c>
      <c r="B132" s="62" t="s">
        <v>300</v>
      </c>
      <c r="C132" s="64" t="s">
        <v>1505</v>
      </c>
      <c r="D132" s="67">
        <v>4.75</v>
      </c>
      <c r="E132" s="68" t="s">
        <v>136</v>
      </c>
      <c r="F132" s="69">
        <v>31.235294117647058</v>
      </c>
      <c r="G132" s="64"/>
      <c r="H132" s="70"/>
      <c r="I132" s="71"/>
      <c r="J132" s="71"/>
      <c r="K132" s="31" t="s">
        <v>65</v>
      </c>
      <c r="L132" s="79">
        <v>132</v>
      </c>
      <c r="M132" s="79"/>
      <c r="N132" s="73"/>
      <c r="O132" s="66">
        <v>2</v>
      </c>
      <c r="P132" s="63" t="str">
        <f>REPLACE(INDEX(GroupVertices[Group],MATCH(Edges[[#This Row],[Vertex 1]],GroupVertices[Vertex],0)),1,1,"")</f>
        <v>1</v>
      </c>
      <c r="Q132" s="63" t="str">
        <f>REPLACE(INDEX(GroupVertices[Group],MATCH(Edges[[#This Row],[Vertex 2]],GroupVertices[Vertex],0)),1,1,"")</f>
        <v>3</v>
      </c>
      <c r="R132" s="66" t="s">
        <v>316</v>
      </c>
      <c r="S132" s="91">
        <v>44877.45034722222</v>
      </c>
      <c r="T132" s="66" t="s">
        <v>320</v>
      </c>
      <c r="U132" s="94" t="str">
        <f>HYPERLINK("https://www.youtube.com/watch?v=xb0JCOgMsXc&amp;feature=youtu.be")</f>
        <v>https://www.youtube.com/watch?v=xb0JCOgMsXc&amp;feature=youtu.be</v>
      </c>
      <c r="V132" s="66" t="s">
        <v>403</v>
      </c>
      <c r="W132" s="97" t="s">
        <v>423</v>
      </c>
      <c r="X132" s="94" t="str">
        <f>HYPERLINK("https://pbs.twimg.com/media/FhWu7YzX0AEJMfI.png")</f>
        <v>https://pbs.twimg.com/media/FhWu7YzX0AEJMfI.png</v>
      </c>
      <c r="Y132" s="94" t="str">
        <f>HYPERLINK("https://pbs.twimg.com/media/FhWu7YzX0AEJMfI.png")</f>
        <v>https://pbs.twimg.com/media/FhWu7YzX0AEJMfI.png</v>
      </c>
      <c r="Z132" s="91">
        <v>44877.45034722222</v>
      </c>
      <c r="AA132" s="100">
        <v>44877</v>
      </c>
      <c r="AB132" s="97" t="s">
        <v>479</v>
      </c>
      <c r="AC132" s="94" t="str">
        <f>HYPERLINK("https://twitter.com/hashtagmarketi7/status/1591382423438344198")</f>
        <v>https://twitter.com/hashtagmarketi7/status/1591382423438344198</v>
      </c>
      <c r="AD132" s="66"/>
      <c r="AE132" s="66"/>
      <c r="AF132" s="97" t="s">
        <v>612</v>
      </c>
      <c r="AG132" s="66"/>
      <c r="AH132" s="66" t="b">
        <v>0</v>
      </c>
      <c r="AI132" s="66">
        <v>0</v>
      </c>
      <c r="AJ132" s="97" t="s">
        <v>712</v>
      </c>
      <c r="AK132" s="66" t="b">
        <v>0</v>
      </c>
      <c r="AL132" s="66" t="s">
        <v>715</v>
      </c>
      <c r="AM132" s="66"/>
      <c r="AN132" s="97" t="s">
        <v>712</v>
      </c>
      <c r="AO132" s="66" t="b">
        <v>0</v>
      </c>
      <c r="AP132" s="66">
        <v>5</v>
      </c>
      <c r="AQ132" s="97" t="s">
        <v>613</v>
      </c>
      <c r="AR132" s="97" t="s">
        <v>717</v>
      </c>
      <c r="AS132" s="66" t="b">
        <v>0</v>
      </c>
      <c r="AT132" s="97" t="s">
        <v>613</v>
      </c>
      <c r="AU132" s="66" t="s">
        <v>241</v>
      </c>
      <c r="AV132" s="66">
        <v>0</v>
      </c>
      <c r="AW132" s="66">
        <v>0</v>
      </c>
      <c r="AX132" s="66"/>
      <c r="AY132" s="66"/>
      <c r="AZ132" s="66"/>
      <c r="BA132" s="66"/>
      <c r="BB132" s="66"/>
      <c r="BC132" s="66"/>
      <c r="BD132" s="66"/>
      <c r="BE132" s="66"/>
      <c r="BF132" s="45"/>
      <c r="BG132" s="46"/>
      <c r="BH132" s="45"/>
      <c r="BI132" s="46"/>
      <c r="BJ132" s="45"/>
      <c r="BK132" s="46"/>
      <c r="BL132" s="45"/>
      <c r="BM132" s="46"/>
      <c r="BN132" s="45"/>
    </row>
    <row r="133" spans="1:66" ht="15">
      <c r="A133" s="62" t="s">
        <v>297</v>
      </c>
      <c r="B133" s="62" t="s">
        <v>307</v>
      </c>
      <c r="C133" s="64" t="s">
        <v>1505</v>
      </c>
      <c r="D133" s="67">
        <v>4.75</v>
      </c>
      <c r="E133" s="68" t="s">
        <v>136</v>
      </c>
      <c r="F133" s="69">
        <v>31.235294117647058</v>
      </c>
      <c r="G133" s="64"/>
      <c r="H133" s="70"/>
      <c r="I133" s="71"/>
      <c r="J133" s="71"/>
      <c r="K133" s="31" t="s">
        <v>65</v>
      </c>
      <c r="L133" s="79">
        <v>133</v>
      </c>
      <c r="M133" s="79"/>
      <c r="N133" s="73"/>
      <c r="O133" s="66">
        <v>2</v>
      </c>
      <c r="P133" s="63" t="str">
        <f>REPLACE(INDEX(GroupVertices[Group],MATCH(Edges[[#This Row],[Vertex 1]],GroupVertices[Vertex],0)),1,1,"")</f>
        <v>1</v>
      </c>
      <c r="Q133" s="63" t="str">
        <f>REPLACE(INDEX(GroupVertices[Group],MATCH(Edges[[#This Row],[Vertex 2]],GroupVertices[Vertex],0)),1,1,"")</f>
        <v>3</v>
      </c>
      <c r="R133" s="66" t="s">
        <v>316</v>
      </c>
      <c r="S133" s="91">
        <v>44877.45034722222</v>
      </c>
      <c r="T133" s="66" t="s">
        <v>320</v>
      </c>
      <c r="U133" s="94" t="str">
        <f>HYPERLINK("https://www.youtube.com/watch?v=xb0JCOgMsXc&amp;feature=youtu.be")</f>
        <v>https://www.youtube.com/watch?v=xb0JCOgMsXc&amp;feature=youtu.be</v>
      </c>
      <c r="V133" s="66" t="s">
        <v>403</v>
      </c>
      <c r="W133" s="97" t="s">
        <v>423</v>
      </c>
      <c r="X133" s="94" t="str">
        <f>HYPERLINK("https://pbs.twimg.com/media/FhWu7YzX0AEJMfI.png")</f>
        <v>https://pbs.twimg.com/media/FhWu7YzX0AEJMfI.png</v>
      </c>
      <c r="Y133" s="94" t="str">
        <f>HYPERLINK("https://pbs.twimg.com/media/FhWu7YzX0AEJMfI.png")</f>
        <v>https://pbs.twimg.com/media/FhWu7YzX0AEJMfI.png</v>
      </c>
      <c r="Z133" s="91">
        <v>44877.45034722222</v>
      </c>
      <c r="AA133" s="100">
        <v>44877</v>
      </c>
      <c r="AB133" s="97" t="s">
        <v>479</v>
      </c>
      <c r="AC133" s="94" t="str">
        <f>HYPERLINK("https://twitter.com/hashtagmarketi7/status/1591382423438344198")</f>
        <v>https://twitter.com/hashtagmarketi7/status/1591382423438344198</v>
      </c>
      <c r="AD133" s="66"/>
      <c r="AE133" s="66"/>
      <c r="AF133" s="97" t="s">
        <v>612</v>
      </c>
      <c r="AG133" s="66"/>
      <c r="AH133" s="66" t="b">
        <v>0</v>
      </c>
      <c r="AI133" s="66">
        <v>0</v>
      </c>
      <c r="AJ133" s="97" t="s">
        <v>712</v>
      </c>
      <c r="AK133" s="66" t="b">
        <v>0</v>
      </c>
      <c r="AL133" s="66" t="s">
        <v>715</v>
      </c>
      <c r="AM133" s="66"/>
      <c r="AN133" s="97" t="s">
        <v>712</v>
      </c>
      <c r="AO133" s="66" t="b">
        <v>0</v>
      </c>
      <c r="AP133" s="66">
        <v>5</v>
      </c>
      <c r="AQ133" s="97" t="s">
        <v>613</v>
      </c>
      <c r="AR133" s="97" t="s">
        <v>717</v>
      </c>
      <c r="AS133" s="66" t="b">
        <v>0</v>
      </c>
      <c r="AT133" s="97" t="s">
        <v>613</v>
      </c>
      <c r="AU133" s="66" t="s">
        <v>241</v>
      </c>
      <c r="AV133" s="66">
        <v>0</v>
      </c>
      <c r="AW133" s="66">
        <v>0</v>
      </c>
      <c r="AX133" s="66"/>
      <c r="AY133" s="66"/>
      <c r="AZ133" s="66"/>
      <c r="BA133" s="66"/>
      <c r="BB133" s="66"/>
      <c r="BC133" s="66"/>
      <c r="BD133" s="66"/>
      <c r="BE133" s="66"/>
      <c r="BF133" s="45"/>
      <c r="BG133" s="46"/>
      <c r="BH133" s="45"/>
      <c r="BI133" s="46"/>
      <c r="BJ133" s="45"/>
      <c r="BK133" s="46"/>
      <c r="BL133" s="45"/>
      <c r="BM133" s="46"/>
      <c r="BN133" s="45"/>
    </row>
    <row r="134" spans="1:66" ht="15">
      <c r="A134" s="62" t="s">
        <v>297</v>
      </c>
      <c r="B134" s="62" t="s">
        <v>308</v>
      </c>
      <c r="C134" s="64" t="s">
        <v>1505</v>
      </c>
      <c r="D134" s="67">
        <v>4.75</v>
      </c>
      <c r="E134" s="68" t="s">
        <v>136</v>
      </c>
      <c r="F134" s="69">
        <v>31.235294117647058</v>
      </c>
      <c r="G134" s="64"/>
      <c r="H134" s="70"/>
      <c r="I134" s="71"/>
      <c r="J134" s="71"/>
      <c r="K134" s="31" t="s">
        <v>65</v>
      </c>
      <c r="L134" s="79">
        <v>134</v>
      </c>
      <c r="M134" s="79"/>
      <c r="N134" s="73"/>
      <c r="O134" s="66">
        <v>2</v>
      </c>
      <c r="P134" s="63" t="str">
        <f>REPLACE(INDEX(GroupVertices[Group],MATCH(Edges[[#This Row],[Vertex 1]],GroupVertices[Vertex],0)),1,1,"")</f>
        <v>1</v>
      </c>
      <c r="Q134" s="63" t="str">
        <f>REPLACE(INDEX(GroupVertices[Group],MATCH(Edges[[#This Row],[Vertex 2]],GroupVertices[Vertex],0)),1,1,"")</f>
        <v>3</v>
      </c>
      <c r="R134" s="66" t="s">
        <v>316</v>
      </c>
      <c r="S134" s="91">
        <v>44877.45034722222</v>
      </c>
      <c r="T134" s="66" t="s">
        <v>320</v>
      </c>
      <c r="U134" s="94" t="str">
        <f>HYPERLINK("https://www.youtube.com/watch?v=xb0JCOgMsXc&amp;feature=youtu.be")</f>
        <v>https://www.youtube.com/watch?v=xb0JCOgMsXc&amp;feature=youtu.be</v>
      </c>
      <c r="V134" s="66" t="s">
        <v>403</v>
      </c>
      <c r="W134" s="97" t="s">
        <v>423</v>
      </c>
      <c r="X134" s="94" t="str">
        <f>HYPERLINK("https://pbs.twimg.com/media/FhWu7YzX0AEJMfI.png")</f>
        <v>https://pbs.twimg.com/media/FhWu7YzX0AEJMfI.png</v>
      </c>
      <c r="Y134" s="94" t="str">
        <f>HYPERLINK("https://pbs.twimg.com/media/FhWu7YzX0AEJMfI.png")</f>
        <v>https://pbs.twimg.com/media/FhWu7YzX0AEJMfI.png</v>
      </c>
      <c r="Z134" s="91">
        <v>44877.45034722222</v>
      </c>
      <c r="AA134" s="100">
        <v>44877</v>
      </c>
      <c r="AB134" s="97" t="s">
        <v>479</v>
      </c>
      <c r="AC134" s="94" t="str">
        <f>HYPERLINK("https://twitter.com/hashtagmarketi7/status/1591382423438344198")</f>
        <v>https://twitter.com/hashtagmarketi7/status/1591382423438344198</v>
      </c>
      <c r="AD134" s="66"/>
      <c r="AE134" s="66"/>
      <c r="AF134" s="97" t="s">
        <v>612</v>
      </c>
      <c r="AG134" s="66"/>
      <c r="AH134" s="66" t="b">
        <v>0</v>
      </c>
      <c r="AI134" s="66">
        <v>0</v>
      </c>
      <c r="AJ134" s="97" t="s">
        <v>712</v>
      </c>
      <c r="AK134" s="66" t="b">
        <v>0</v>
      </c>
      <c r="AL134" s="66" t="s">
        <v>715</v>
      </c>
      <c r="AM134" s="66"/>
      <c r="AN134" s="97" t="s">
        <v>712</v>
      </c>
      <c r="AO134" s="66" t="b">
        <v>0</v>
      </c>
      <c r="AP134" s="66">
        <v>5</v>
      </c>
      <c r="AQ134" s="97" t="s">
        <v>613</v>
      </c>
      <c r="AR134" s="97" t="s">
        <v>717</v>
      </c>
      <c r="AS134" s="66" t="b">
        <v>0</v>
      </c>
      <c r="AT134" s="97" t="s">
        <v>613</v>
      </c>
      <c r="AU134" s="66" t="s">
        <v>241</v>
      </c>
      <c r="AV134" s="66">
        <v>0</v>
      </c>
      <c r="AW134" s="66">
        <v>0</v>
      </c>
      <c r="AX134" s="66"/>
      <c r="AY134" s="66"/>
      <c r="AZ134" s="66"/>
      <c r="BA134" s="66"/>
      <c r="BB134" s="66"/>
      <c r="BC134" s="66"/>
      <c r="BD134" s="66"/>
      <c r="BE134" s="66"/>
      <c r="BF134" s="45"/>
      <c r="BG134" s="46"/>
      <c r="BH134" s="45"/>
      <c r="BI134" s="46"/>
      <c r="BJ134" s="45"/>
      <c r="BK134" s="46"/>
      <c r="BL134" s="45"/>
      <c r="BM134" s="46"/>
      <c r="BN134" s="45"/>
    </row>
    <row r="135" spans="1:66" ht="15">
      <c r="A135" s="62" t="s">
        <v>297</v>
      </c>
      <c r="B135" s="62" t="s">
        <v>298</v>
      </c>
      <c r="C135" s="64" t="s">
        <v>1507</v>
      </c>
      <c r="D135" s="67">
        <v>8.25</v>
      </c>
      <c r="E135" s="68" t="s">
        <v>136</v>
      </c>
      <c r="F135" s="69">
        <v>29.705882352941178</v>
      </c>
      <c r="G135" s="64"/>
      <c r="H135" s="70"/>
      <c r="I135" s="71"/>
      <c r="J135" s="71"/>
      <c r="K135" s="31" t="s">
        <v>66</v>
      </c>
      <c r="L135" s="79">
        <v>135</v>
      </c>
      <c r="M135" s="79"/>
      <c r="N135" s="73"/>
      <c r="O135" s="66">
        <v>4</v>
      </c>
      <c r="P135" s="63" t="str">
        <f>REPLACE(INDEX(GroupVertices[Group],MATCH(Edges[[#This Row],[Vertex 1]],GroupVertices[Vertex],0)),1,1,"")</f>
        <v>1</v>
      </c>
      <c r="Q135" s="63" t="str">
        <f>REPLACE(INDEX(GroupVertices[Group],MATCH(Edges[[#This Row],[Vertex 2]],GroupVertices[Vertex],0)),1,1,"")</f>
        <v>2</v>
      </c>
      <c r="R135" s="66" t="s">
        <v>315</v>
      </c>
      <c r="S135" s="91">
        <v>44877.45034722222</v>
      </c>
      <c r="T135" s="66" t="s">
        <v>320</v>
      </c>
      <c r="U135" s="94" t="str">
        <f>HYPERLINK("https://www.youtube.com/watch?v=xb0JCOgMsXc&amp;feature=youtu.be")</f>
        <v>https://www.youtube.com/watch?v=xb0JCOgMsXc&amp;feature=youtu.be</v>
      </c>
      <c r="V135" s="66" t="s">
        <v>403</v>
      </c>
      <c r="W135" s="97" t="s">
        <v>423</v>
      </c>
      <c r="X135" s="94" t="str">
        <f>HYPERLINK("https://pbs.twimg.com/media/FhWu7YzX0AEJMfI.png")</f>
        <v>https://pbs.twimg.com/media/FhWu7YzX0AEJMfI.png</v>
      </c>
      <c r="Y135" s="94" t="str">
        <f>HYPERLINK("https://pbs.twimg.com/media/FhWu7YzX0AEJMfI.png")</f>
        <v>https://pbs.twimg.com/media/FhWu7YzX0AEJMfI.png</v>
      </c>
      <c r="Z135" s="91">
        <v>44877.45034722222</v>
      </c>
      <c r="AA135" s="100">
        <v>44877</v>
      </c>
      <c r="AB135" s="97" t="s">
        <v>479</v>
      </c>
      <c r="AC135" s="94" t="str">
        <f>HYPERLINK("https://twitter.com/hashtagmarketi7/status/1591382423438344198")</f>
        <v>https://twitter.com/hashtagmarketi7/status/1591382423438344198</v>
      </c>
      <c r="AD135" s="66"/>
      <c r="AE135" s="66"/>
      <c r="AF135" s="97" t="s">
        <v>612</v>
      </c>
      <c r="AG135" s="66"/>
      <c r="AH135" s="66" t="b">
        <v>0</v>
      </c>
      <c r="AI135" s="66">
        <v>0</v>
      </c>
      <c r="AJ135" s="97" t="s">
        <v>712</v>
      </c>
      <c r="AK135" s="66" t="b">
        <v>0</v>
      </c>
      <c r="AL135" s="66" t="s">
        <v>715</v>
      </c>
      <c r="AM135" s="66"/>
      <c r="AN135" s="97" t="s">
        <v>712</v>
      </c>
      <c r="AO135" s="66" t="b">
        <v>0</v>
      </c>
      <c r="AP135" s="66">
        <v>5</v>
      </c>
      <c r="AQ135" s="97" t="s">
        <v>613</v>
      </c>
      <c r="AR135" s="97" t="s">
        <v>717</v>
      </c>
      <c r="AS135" s="66" t="b">
        <v>0</v>
      </c>
      <c r="AT135" s="97" t="s">
        <v>613</v>
      </c>
      <c r="AU135" s="66" t="s">
        <v>241</v>
      </c>
      <c r="AV135" s="66">
        <v>0</v>
      </c>
      <c r="AW135" s="66">
        <v>0</v>
      </c>
      <c r="AX135" s="66"/>
      <c r="AY135" s="66"/>
      <c r="AZ135" s="66"/>
      <c r="BA135" s="66"/>
      <c r="BB135" s="66"/>
      <c r="BC135" s="66"/>
      <c r="BD135" s="66"/>
      <c r="BE135" s="66"/>
      <c r="BF135" s="45">
        <v>0</v>
      </c>
      <c r="BG135" s="46">
        <v>0</v>
      </c>
      <c r="BH135" s="45">
        <v>0</v>
      </c>
      <c r="BI135" s="46">
        <v>0</v>
      </c>
      <c r="BJ135" s="45">
        <v>0</v>
      </c>
      <c r="BK135" s="46">
        <v>0</v>
      </c>
      <c r="BL135" s="45">
        <v>15</v>
      </c>
      <c r="BM135" s="46">
        <v>83.33333333333333</v>
      </c>
      <c r="BN135" s="45">
        <v>18</v>
      </c>
    </row>
    <row r="136" spans="1:66" ht="15">
      <c r="A136" s="62" t="s">
        <v>297</v>
      </c>
      <c r="B136" s="62" t="s">
        <v>304</v>
      </c>
      <c r="C136" s="64" t="s">
        <v>1504</v>
      </c>
      <c r="D136" s="67">
        <v>3</v>
      </c>
      <c r="E136" s="68" t="s">
        <v>132</v>
      </c>
      <c r="F136" s="69">
        <v>32</v>
      </c>
      <c r="G136" s="64"/>
      <c r="H136" s="70"/>
      <c r="I136" s="71"/>
      <c r="J136" s="71"/>
      <c r="K136" s="31" t="s">
        <v>65</v>
      </c>
      <c r="L136" s="79">
        <v>136</v>
      </c>
      <c r="M136" s="79"/>
      <c r="N136" s="73"/>
      <c r="O136" s="66">
        <v>1</v>
      </c>
      <c r="P136" s="63" t="str">
        <f>REPLACE(INDEX(GroupVertices[Group],MATCH(Edges[[#This Row],[Vertex 1]],GroupVertices[Vertex],0)),1,1,"")</f>
        <v>1</v>
      </c>
      <c r="Q136" s="63" t="str">
        <f>REPLACE(INDEX(GroupVertices[Group],MATCH(Edges[[#This Row],[Vertex 2]],GroupVertices[Vertex],0)),1,1,"")</f>
        <v>5</v>
      </c>
      <c r="R136" s="66" t="s">
        <v>317</v>
      </c>
      <c r="S136" s="91">
        <v>44877.52521990741</v>
      </c>
      <c r="T136" s="66" t="s">
        <v>321</v>
      </c>
      <c r="U136" s="94" t="str">
        <f>HYPERLINK("https://www.youtube.com/watch?v=xb0JCOgMsXc&amp;feature=youtu.be")</f>
        <v>https://www.youtube.com/watch?v=xb0JCOgMsXc&amp;feature=youtu.be</v>
      </c>
      <c r="V136" s="66" t="s">
        <v>403</v>
      </c>
      <c r="W136" s="97" t="s">
        <v>424</v>
      </c>
      <c r="X136" s="94" t="str">
        <f>HYPERLINK("https://pbs.twimg.com/media/FhW7ZTpXkAAZ4Hh.jpg")</f>
        <v>https://pbs.twimg.com/media/FhW7ZTpXkAAZ4Hh.jpg</v>
      </c>
      <c r="Y136" s="94" t="str">
        <f>HYPERLINK("https://pbs.twimg.com/media/FhW7ZTpXkAAZ4Hh.jpg")</f>
        <v>https://pbs.twimg.com/media/FhW7ZTpXkAAZ4Hh.jpg</v>
      </c>
      <c r="Z136" s="91">
        <v>44877.52521990741</v>
      </c>
      <c r="AA136" s="100">
        <v>44877</v>
      </c>
      <c r="AB136" s="97" t="s">
        <v>468</v>
      </c>
      <c r="AC136" s="94" t="str">
        <f>HYPERLINK("https://twitter.com/hashtagmarketi7/status/1591409554893725697")</f>
        <v>https://twitter.com/hashtagmarketi7/status/1591409554893725697</v>
      </c>
      <c r="AD136" s="66"/>
      <c r="AE136" s="66"/>
      <c r="AF136" s="97" t="s">
        <v>601</v>
      </c>
      <c r="AG136" s="66"/>
      <c r="AH136" s="66" t="b">
        <v>0</v>
      </c>
      <c r="AI136" s="66">
        <v>6</v>
      </c>
      <c r="AJ136" s="97" t="s">
        <v>712</v>
      </c>
      <c r="AK136" s="66" t="b">
        <v>0</v>
      </c>
      <c r="AL136" s="66" t="s">
        <v>715</v>
      </c>
      <c r="AM136" s="66"/>
      <c r="AN136" s="97" t="s">
        <v>712</v>
      </c>
      <c r="AO136" s="66" t="b">
        <v>0</v>
      </c>
      <c r="AP136" s="66">
        <v>5</v>
      </c>
      <c r="AQ136" s="97" t="s">
        <v>712</v>
      </c>
      <c r="AR136" s="97" t="s">
        <v>717</v>
      </c>
      <c r="AS136" s="66" t="b">
        <v>0</v>
      </c>
      <c r="AT136" s="97" t="s">
        <v>601</v>
      </c>
      <c r="AU136" s="66" t="s">
        <v>241</v>
      </c>
      <c r="AV136" s="66">
        <v>0</v>
      </c>
      <c r="AW136" s="66">
        <v>0</v>
      </c>
      <c r="AX136" s="66"/>
      <c r="AY136" s="66"/>
      <c r="AZ136" s="66"/>
      <c r="BA136" s="66"/>
      <c r="BB136" s="66"/>
      <c r="BC136" s="66"/>
      <c r="BD136" s="66"/>
      <c r="BE136" s="66"/>
      <c r="BF136" s="45"/>
      <c r="BG136" s="46"/>
      <c r="BH136" s="45"/>
      <c r="BI136" s="46"/>
      <c r="BJ136" s="45"/>
      <c r="BK136" s="46"/>
      <c r="BL136" s="45"/>
      <c r="BM136" s="46"/>
      <c r="BN136" s="45"/>
    </row>
    <row r="137" spans="1:66" ht="15">
      <c r="A137" s="62" t="s">
        <v>297</v>
      </c>
      <c r="B137" s="62" t="s">
        <v>308</v>
      </c>
      <c r="C137" s="64" t="s">
        <v>1504</v>
      </c>
      <c r="D137" s="67">
        <v>3</v>
      </c>
      <c r="E137" s="68" t="s">
        <v>132</v>
      </c>
      <c r="F137" s="69">
        <v>32</v>
      </c>
      <c r="G137" s="64"/>
      <c r="H137" s="70"/>
      <c r="I137" s="71"/>
      <c r="J137" s="71"/>
      <c r="K137" s="31" t="s">
        <v>65</v>
      </c>
      <c r="L137" s="79">
        <v>137</v>
      </c>
      <c r="M137" s="79"/>
      <c r="N137" s="73"/>
      <c r="O137" s="66">
        <v>1</v>
      </c>
      <c r="P137" s="63" t="str">
        <f>REPLACE(INDEX(GroupVertices[Group],MATCH(Edges[[#This Row],[Vertex 1]],GroupVertices[Vertex],0)),1,1,"")</f>
        <v>1</v>
      </c>
      <c r="Q137" s="63" t="str">
        <f>REPLACE(INDEX(GroupVertices[Group],MATCH(Edges[[#This Row],[Vertex 2]],GroupVertices[Vertex],0)),1,1,"")</f>
        <v>3</v>
      </c>
      <c r="R137" s="66" t="s">
        <v>317</v>
      </c>
      <c r="S137" s="91">
        <v>44877.52521990741</v>
      </c>
      <c r="T137" s="66" t="s">
        <v>321</v>
      </c>
      <c r="U137" s="94" t="str">
        <f>HYPERLINK("https://www.youtube.com/watch?v=xb0JCOgMsXc&amp;feature=youtu.be")</f>
        <v>https://www.youtube.com/watch?v=xb0JCOgMsXc&amp;feature=youtu.be</v>
      </c>
      <c r="V137" s="66" t="s">
        <v>403</v>
      </c>
      <c r="W137" s="97" t="s">
        <v>424</v>
      </c>
      <c r="X137" s="94" t="str">
        <f>HYPERLINK("https://pbs.twimg.com/media/FhW7ZTpXkAAZ4Hh.jpg")</f>
        <v>https://pbs.twimg.com/media/FhW7ZTpXkAAZ4Hh.jpg</v>
      </c>
      <c r="Y137" s="94" t="str">
        <f>HYPERLINK("https://pbs.twimg.com/media/FhW7ZTpXkAAZ4Hh.jpg")</f>
        <v>https://pbs.twimg.com/media/FhW7ZTpXkAAZ4Hh.jpg</v>
      </c>
      <c r="Z137" s="91">
        <v>44877.52521990741</v>
      </c>
      <c r="AA137" s="100">
        <v>44877</v>
      </c>
      <c r="AB137" s="97" t="s">
        <v>468</v>
      </c>
      <c r="AC137" s="94" t="str">
        <f>HYPERLINK("https://twitter.com/hashtagmarketi7/status/1591409554893725697")</f>
        <v>https://twitter.com/hashtagmarketi7/status/1591409554893725697</v>
      </c>
      <c r="AD137" s="66"/>
      <c r="AE137" s="66"/>
      <c r="AF137" s="97" t="s">
        <v>601</v>
      </c>
      <c r="AG137" s="66"/>
      <c r="AH137" s="66" t="b">
        <v>0</v>
      </c>
      <c r="AI137" s="66">
        <v>6</v>
      </c>
      <c r="AJ137" s="97" t="s">
        <v>712</v>
      </c>
      <c r="AK137" s="66" t="b">
        <v>0</v>
      </c>
      <c r="AL137" s="66" t="s">
        <v>715</v>
      </c>
      <c r="AM137" s="66"/>
      <c r="AN137" s="97" t="s">
        <v>712</v>
      </c>
      <c r="AO137" s="66" t="b">
        <v>0</v>
      </c>
      <c r="AP137" s="66">
        <v>5</v>
      </c>
      <c r="AQ137" s="97" t="s">
        <v>712</v>
      </c>
      <c r="AR137" s="97" t="s">
        <v>717</v>
      </c>
      <c r="AS137" s="66" t="b">
        <v>0</v>
      </c>
      <c r="AT137" s="97" t="s">
        <v>601</v>
      </c>
      <c r="AU137" s="66" t="s">
        <v>241</v>
      </c>
      <c r="AV137" s="66">
        <v>0</v>
      </c>
      <c r="AW137" s="66">
        <v>0</v>
      </c>
      <c r="AX137" s="66"/>
      <c r="AY137" s="66"/>
      <c r="AZ137" s="66"/>
      <c r="BA137" s="66"/>
      <c r="BB137" s="66"/>
      <c r="BC137" s="66"/>
      <c r="BD137" s="66"/>
      <c r="BE137" s="66"/>
      <c r="BF137" s="45"/>
      <c r="BG137" s="46"/>
      <c r="BH137" s="45"/>
      <c r="BI137" s="46"/>
      <c r="BJ137" s="45"/>
      <c r="BK137" s="46"/>
      <c r="BL137" s="45"/>
      <c r="BM137" s="46"/>
      <c r="BN137" s="45"/>
    </row>
    <row r="138" spans="1:66" ht="15">
      <c r="A138" s="62" t="s">
        <v>297</v>
      </c>
      <c r="B138" s="62" t="s">
        <v>310</v>
      </c>
      <c r="C138" s="64" t="s">
        <v>1504</v>
      </c>
      <c r="D138" s="67">
        <v>3</v>
      </c>
      <c r="E138" s="68" t="s">
        <v>132</v>
      </c>
      <c r="F138" s="69">
        <v>32</v>
      </c>
      <c r="G138" s="64"/>
      <c r="H138" s="70"/>
      <c r="I138" s="71"/>
      <c r="J138" s="71"/>
      <c r="K138" s="31" t="s">
        <v>65</v>
      </c>
      <c r="L138" s="79">
        <v>138</v>
      </c>
      <c r="M138" s="79"/>
      <c r="N138" s="73"/>
      <c r="O138" s="66">
        <v>1</v>
      </c>
      <c r="P138" s="63" t="str">
        <f>REPLACE(INDEX(GroupVertices[Group],MATCH(Edges[[#This Row],[Vertex 1]],GroupVertices[Vertex],0)),1,1,"")</f>
        <v>1</v>
      </c>
      <c r="Q138" s="63" t="str">
        <f>REPLACE(INDEX(GroupVertices[Group],MATCH(Edges[[#This Row],[Vertex 2]],GroupVertices[Vertex],0)),1,1,"")</f>
        <v>2</v>
      </c>
      <c r="R138" s="66" t="s">
        <v>317</v>
      </c>
      <c r="S138" s="91">
        <v>44877.52521990741</v>
      </c>
      <c r="T138" s="66" t="s">
        <v>321</v>
      </c>
      <c r="U138" s="94" t="str">
        <f>HYPERLINK("https://www.youtube.com/watch?v=xb0JCOgMsXc&amp;feature=youtu.be")</f>
        <v>https://www.youtube.com/watch?v=xb0JCOgMsXc&amp;feature=youtu.be</v>
      </c>
      <c r="V138" s="66" t="s">
        <v>403</v>
      </c>
      <c r="W138" s="97" t="s">
        <v>424</v>
      </c>
      <c r="X138" s="94" t="str">
        <f>HYPERLINK("https://pbs.twimg.com/media/FhW7ZTpXkAAZ4Hh.jpg")</f>
        <v>https://pbs.twimg.com/media/FhW7ZTpXkAAZ4Hh.jpg</v>
      </c>
      <c r="Y138" s="94" t="str">
        <f>HYPERLINK("https://pbs.twimg.com/media/FhW7ZTpXkAAZ4Hh.jpg")</f>
        <v>https://pbs.twimg.com/media/FhW7ZTpXkAAZ4Hh.jpg</v>
      </c>
      <c r="Z138" s="91">
        <v>44877.52521990741</v>
      </c>
      <c r="AA138" s="100">
        <v>44877</v>
      </c>
      <c r="AB138" s="97" t="s">
        <v>468</v>
      </c>
      <c r="AC138" s="94" t="str">
        <f>HYPERLINK("https://twitter.com/hashtagmarketi7/status/1591409554893725697")</f>
        <v>https://twitter.com/hashtagmarketi7/status/1591409554893725697</v>
      </c>
      <c r="AD138" s="66"/>
      <c r="AE138" s="66"/>
      <c r="AF138" s="97" t="s">
        <v>601</v>
      </c>
      <c r="AG138" s="66"/>
      <c r="AH138" s="66" t="b">
        <v>0</v>
      </c>
      <c r="AI138" s="66">
        <v>6</v>
      </c>
      <c r="AJ138" s="97" t="s">
        <v>712</v>
      </c>
      <c r="AK138" s="66" t="b">
        <v>0</v>
      </c>
      <c r="AL138" s="66" t="s">
        <v>715</v>
      </c>
      <c r="AM138" s="66"/>
      <c r="AN138" s="97" t="s">
        <v>712</v>
      </c>
      <c r="AO138" s="66" t="b">
        <v>0</v>
      </c>
      <c r="AP138" s="66">
        <v>5</v>
      </c>
      <c r="AQ138" s="97" t="s">
        <v>712</v>
      </c>
      <c r="AR138" s="97" t="s">
        <v>717</v>
      </c>
      <c r="AS138" s="66" t="b">
        <v>0</v>
      </c>
      <c r="AT138" s="97" t="s">
        <v>601</v>
      </c>
      <c r="AU138" s="66" t="s">
        <v>241</v>
      </c>
      <c r="AV138" s="66">
        <v>0</v>
      </c>
      <c r="AW138" s="66">
        <v>0</v>
      </c>
      <c r="AX138" s="66"/>
      <c r="AY138" s="66"/>
      <c r="AZ138" s="66"/>
      <c r="BA138" s="66"/>
      <c r="BB138" s="66"/>
      <c r="BC138" s="66"/>
      <c r="BD138" s="66"/>
      <c r="BE138" s="66"/>
      <c r="BF138" s="45"/>
      <c r="BG138" s="46"/>
      <c r="BH138" s="45"/>
      <c r="BI138" s="46"/>
      <c r="BJ138" s="45"/>
      <c r="BK138" s="46"/>
      <c r="BL138" s="45"/>
      <c r="BM138" s="46"/>
      <c r="BN138" s="45"/>
    </row>
    <row r="139" spans="1:66" ht="15">
      <c r="A139" s="62" t="s">
        <v>297</v>
      </c>
      <c r="B139" s="62" t="s">
        <v>307</v>
      </c>
      <c r="C139" s="64" t="s">
        <v>1504</v>
      </c>
      <c r="D139" s="67">
        <v>3</v>
      </c>
      <c r="E139" s="68" t="s">
        <v>132</v>
      </c>
      <c r="F139" s="69">
        <v>32</v>
      </c>
      <c r="G139" s="64"/>
      <c r="H139" s="70"/>
      <c r="I139" s="71"/>
      <c r="J139" s="71"/>
      <c r="K139" s="31" t="s">
        <v>65</v>
      </c>
      <c r="L139" s="79">
        <v>139</v>
      </c>
      <c r="M139" s="79"/>
      <c r="N139" s="73"/>
      <c r="O139" s="66">
        <v>1</v>
      </c>
      <c r="P139" s="63" t="str">
        <f>REPLACE(INDEX(GroupVertices[Group],MATCH(Edges[[#This Row],[Vertex 1]],GroupVertices[Vertex],0)),1,1,"")</f>
        <v>1</v>
      </c>
      <c r="Q139" s="63" t="str">
        <f>REPLACE(INDEX(GroupVertices[Group],MATCH(Edges[[#This Row],[Vertex 2]],GroupVertices[Vertex],0)),1,1,"")</f>
        <v>3</v>
      </c>
      <c r="R139" s="66" t="s">
        <v>317</v>
      </c>
      <c r="S139" s="91">
        <v>44877.52521990741</v>
      </c>
      <c r="T139" s="66" t="s">
        <v>321</v>
      </c>
      <c r="U139" s="94" t="str">
        <f>HYPERLINK("https://www.youtube.com/watch?v=xb0JCOgMsXc&amp;feature=youtu.be")</f>
        <v>https://www.youtube.com/watch?v=xb0JCOgMsXc&amp;feature=youtu.be</v>
      </c>
      <c r="V139" s="66" t="s">
        <v>403</v>
      </c>
      <c r="W139" s="97" t="s">
        <v>424</v>
      </c>
      <c r="X139" s="94" t="str">
        <f>HYPERLINK("https://pbs.twimg.com/media/FhW7ZTpXkAAZ4Hh.jpg")</f>
        <v>https://pbs.twimg.com/media/FhW7ZTpXkAAZ4Hh.jpg</v>
      </c>
      <c r="Y139" s="94" t="str">
        <f>HYPERLINK("https://pbs.twimg.com/media/FhW7ZTpXkAAZ4Hh.jpg")</f>
        <v>https://pbs.twimg.com/media/FhW7ZTpXkAAZ4Hh.jpg</v>
      </c>
      <c r="Z139" s="91">
        <v>44877.52521990741</v>
      </c>
      <c r="AA139" s="100">
        <v>44877</v>
      </c>
      <c r="AB139" s="97" t="s">
        <v>468</v>
      </c>
      <c r="AC139" s="94" t="str">
        <f>HYPERLINK("https://twitter.com/hashtagmarketi7/status/1591409554893725697")</f>
        <v>https://twitter.com/hashtagmarketi7/status/1591409554893725697</v>
      </c>
      <c r="AD139" s="66"/>
      <c r="AE139" s="66"/>
      <c r="AF139" s="97" t="s">
        <v>601</v>
      </c>
      <c r="AG139" s="66"/>
      <c r="AH139" s="66" t="b">
        <v>0</v>
      </c>
      <c r="AI139" s="66">
        <v>6</v>
      </c>
      <c r="AJ139" s="97" t="s">
        <v>712</v>
      </c>
      <c r="AK139" s="66" t="b">
        <v>0</v>
      </c>
      <c r="AL139" s="66" t="s">
        <v>715</v>
      </c>
      <c r="AM139" s="66"/>
      <c r="AN139" s="97" t="s">
        <v>712</v>
      </c>
      <c r="AO139" s="66" t="b">
        <v>0</v>
      </c>
      <c r="AP139" s="66">
        <v>5</v>
      </c>
      <c r="AQ139" s="97" t="s">
        <v>712</v>
      </c>
      <c r="AR139" s="97" t="s">
        <v>717</v>
      </c>
      <c r="AS139" s="66" t="b">
        <v>0</v>
      </c>
      <c r="AT139" s="97" t="s">
        <v>601</v>
      </c>
      <c r="AU139" s="66" t="s">
        <v>241</v>
      </c>
      <c r="AV139" s="66">
        <v>0</v>
      </c>
      <c r="AW139" s="66">
        <v>0</v>
      </c>
      <c r="AX139" s="66"/>
      <c r="AY139" s="66"/>
      <c r="AZ139" s="66"/>
      <c r="BA139" s="66"/>
      <c r="BB139" s="66"/>
      <c r="BC139" s="66"/>
      <c r="BD139" s="66"/>
      <c r="BE139" s="66"/>
      <c r="BF139" s="45"/>
      <c r="BG139" s="46"/>
      <c r="BH139" s="45"/>
      <c r="BI139" s="46"/>
      <c r="BJ139" s="45"/>
      <c r="BK139" s="46"/>
      <c r="BL139" s="45"/>
      <c r="BM139" s="46"/>
      <c r="BN139" s="45"/>
    </row>
    <row r="140" spans="1:66" ht="15">
      <c r="A140" s="62" t="s">
        <v>297</v>
      </c>
      <c r="B140" s="62" t="s">
        <v>305</v>
      </c>
      <c r="C140" s="64" t="s">
        <v>1504</v>
      </c>
      <c r="D140" s="67">
        <v>3</v>
      </c>
      <c r="E140" s="68" t="s">
        <v>132</v>
      </c>
      <c r="F140" s="69">
        <v>32</v>
      </c>
      <c r="G140" s="64"/>
      <c r="H140" s="70"/>
      <c r="I140" s="71"/>
      <c r="J140" s="71"/>
      <c r="K140" s="31" t="s">
        <v>65</v>
      </c>
      <c r="L140" s="79">
        <v>140</v>
      </c>
      <c r="M140" s="79"/>
      <c r="N140" s="73"/>
      <c r="O140" s="66">
        <v>1</v>
      </c>
      <c r="P140" s="63" t="str">
        <f>REPLACE(INDEX(GroupVertices[Group],MATCH(Edges[[#This Row],[Vertex 1]],GroupVertices[Vertex],0)),1,1,"")</f>
        <v>1</v>
      </c>
      <c r="Q140" s="63" t="str">
        <f>REPLACE(INDEX(GroupVertices[Group],MATCH(Edges[[#This Row],[Vertex 2]],GroupVertices[Vertex],0)),1,1,"")</f>
        <v>4</v>
      </c>
      <c r="R140" s="66" t="s">
        <v>317</v>
      </c>
      <c r="S140" s="91">
        <v>44877.52521990741</v>
      </c>
      <c r="T140" s="66" t="s">
        <v>321</v>
      </c>
      <c r="U140" s="94" t="str">
        <f>HYPERLINK("https://www.youtube.com/watch?v=xb0JCOgMsXc&amp;feature=youtu.be")</f>
        <v>https://www.youtube.com/watch?v=xb0JCOgMsXc&amp;feature=youtu.be</v>
      </c>
      <c r="V140" s="66" t="s">
        <v>403</v>
      </c>
      <c r="W140" s="97" t="s">
        <v>424</v>
      </c>
      <c r="X140" s="94" t="str">
        <f>HYPERLINK("https://pbs.twimg.com/media/FhW7ZTpXkAAZ4Hh.jpg")</f>
        <v>https://pbs.twimg.com/media/FhW7ZTpXkAAZ4Hh.jpg</v>
      </c>
      <c r="Y140" s="94" t="str">
        <f>HYPERLINK("https://pbs.twimg.com/media/FhW7ZTpXkAAZ4Hh.jpg")</f>
        <v>https://pbs.twimg.com/media/FhW7ZTpXkAAZ4Hh.jpg</v>
      </c>
      <c r="Z140" s="91">
        <v>44877.52521990741</v>
      </c>
      <c r="AA140" s="100">
        <v>44877</v>
      </c>
      <c r="AB140" s="97" t="s">
        <v>468</v>
      </c>
      <c r="AC140" s="94" t="str">
        <f>HYPERLINK("https://twitter.com/hashtagmarketi7/status/1591409554893725697")</f>
        <v>https://twitter.com/hashtagmarketi7/status/1591409554893725697</v>
      </c>
      <c r="AD140" s="66"/>
      <c r="AE140" s="66"/>
      <c r="AF140" s="97" t="s">
        <v>601</v>
      </c>
      <c r="AG140" s="66"/>
      <c r="AH140" s="66" t="b">
        <v>0</v>
      </c>
      <c r="AI140" s="66">
        <v>6</v>
      </c>
      <c r="AJ140" s="97" t="s">
        <v>712</v>
      </c>
      <c r="AK140" s="66" t="b">
        <v>0</v>
      </c>
      <c r="AL140" s="66" t="s">
        <v>715</v>
      </c>
      <c r="AM140" s="66"/>
      <c r="AN140" s="97" t="s">
        <v>712</v>
      </c>
      <c r="AO140" s="66" t="b">
        <v>0</v>
      </c>
      <c r="AP140" s="66">
        <v>5</v>
      </c>
      <c r="AQ140" s="97" t="s">
        <v>712</v>
      </c>
      <c r="AR140" s="97" t="s">
        <v>717</v>
      </c>
      <c r="AS140" s="66" t="b">
        <v>0</v>
      </c>
      <c r="AT140" s="97" t="s">
        <v>601</v>
      </c>
      <c r="AU140" s="66" t="s">
        <v>241</v>
      </c>
      <c r="AV140" s="66">
        <v>0</v>
      </c>
      <c r="AW140" s="66">
        <v>0</v>
      </c>
      <c r="AX140" s="66"/>
      <c r="AY140" s="66"/>
      <c r="AZ140" s="66"/>
      <c r="BA140" s="66"/>
      <c r="BB140" s="66"/>
      <c r="BC140" s="66"/>
      <c r="BD140" s="66"/>
      <c r="BE140" s="66"/>
      <c r="BF140" s="45">
        <v>0</v>
      </c>
      <c r="BG140" s="46">
        <v>0</v>
      </c>
      <c r="BH140" s="45">
        <v>0</v>
      </c>
      <c r="BI140" s="46">
        <v>0</v>
      </c>
      <c r="BJ140" s="45">
        <v>0</v>
      </c>
      <c r="BK140" s="46">
        <v>0</v>
      </c>
      <c r="BL140" s="45">
        <v>21</v>
      </c>
      <c r="BM140" s="46">
        <v>91.30434782608695</v>
      </c>
      <c r="BN140" s="45">
        <v>23</v>
      </c>
    </row>
    <row r="141" spans="1:66" ht="15">
      <c r="A141" s="62" t="s">
        <v>297</v>
      </c>
      <c r="B141" s="62" t="s">
        <v>307</v>
      </c>
      <c r="C141" s="64" t="s">
        <v>1505</v>
      </c>
      <c r="D141" s="67">
        <v>4.75</v>
      </c>
      <c r="E141" s="68" t="s">
        <v>136</v>
      </c>
      <c r="F141" s="69">
        <v>31.235294117647058</v>
      </c>
      <c r="G141" s="64"/>
      <c r="H141" s="70"/>
      <c r="I141" s="71"/>
      <c r="J141" s="71"/>
      <c r="K141" s="31" t="s">
        <v>65</v>
      </c>
      <c r="L141" s="79">
        <v>141</v>
      </c>
      <c r="M141" s="79"/>
      <c r="N141" s="73"/>
      <c r="O141" s="66">
        <v>2</v>
      </c>
      <c r="P141" s="63" t="str">
        <f>REPLACE(INDEX(GroupVertices[Group],MATCH(Edges[[#This Row],[Vertex 1]],GroupVertices[Vertex],0)),1,1,"")</f>
        <v>1</v>
      </c>
      <c r="Q141" s="63" t="str">
        <f>REPLACE(INDEX(GroupVertices[Group],MATCH(Edges[[#This Row],[Vertex 2]],GroupVertices[Vertex],0)),1,1,"")</f>
        <v>3</v>
      </c>
      <c r="R141" s="66" t="s">
        <v>316</v>
      </c>
      <c r="S141" s="91">
        <v>44877.52835648148</v>
      </c>
      <c r="T141" s="66" t="s">
        <v>341</v>
      </c>
      <c r="U141" s="94" t="str">
        <f>HYPERLINK("https://www.youtube.com/watch?v=xb0JCOgMsXc")</f>
        <v>https://www.youtube.com/watch?v=xb0JCOgMsXc</v>
      </c>
      <c r="V141" s="66" t="s">
        <v>403</v>
      </c>
      <c r="W141" s="97" t="s">
        <v>421</v>
      </c>
      <c r="X141" s="66"/>
      <c r="Y141" s="94" t="str">
        <f>HYPERLINK("https://pbs.twimg.com/profile_images/1487756429276684289/Kqq9xAOb_normal.png")</f>
        <v>https://pbs.twimg.com/profile_images/1487756429276684289/Kqq9xAOb_normal.png</v>
      </c>
      <c r="Z141" s="91">
        <v>44877.52835648148</v>
      </c>
      <c r="AA141" s="100">
        <v>44877</v>
      </c>
      <c r="AB141" s="97" t="s">
        <v>489</v>
      </c>
      <c r="AC141" s="94" t="str">
        <f>HYPERLINK("https://twitter.com/hashtagmarketi7/status/1591410690664931328")</f>
        <v>https://twitter.com/hashtagmarketi7/status/1591410690664931328</v>
      </c>
      <c r="AD141" s="66"/>
      <c r="AE141" s="66"/>
      <c r="AF141" s="97" t="s">
        <v>622</v>
      </c>
      <c r="AG141" s="66"/>
      <c r="AH141" s="66" t="b">
        <v>0</v>
      </c>
      <c r="AI141" s="66">
        <v>0</v>
      </c>
      <c r="AJ141" s="97" t="s">
        <v>712</v>
      </c>
      <c r="AK141" s="66" t="b">
        <v>0</v>
      </c>
      <c r="AL141" s="66" t="s">
        <v>715</v>
      </c>
      <c r="AM141" s="66"/>
      <c r="AN141" s="97" t="s">
        <v>712</v>
      </c>
      <c r="AO141" s="66" t="b">
        <v>0</v>
      </c>
      <c r="AP141" s="66">
        <v>1</v>
      </c>
      <c r="AQ141" s="97" t="s">
        <v>633</v>
      </c>
      <c r="AR141" s="97" t="s">
        <v>717</v>
      </c>
      <c r="AS141" s="66" t="b">
        <v>0</v>
      </c>
      <c r="AT141" s="97" t="s">
        <v>633</v>
      </c>
      <c r="AU141" s="66" t="s">
        <v>241</v>
      </c>
      <c r="AV141" s="66">
        <v>0</v>
      </c>
      <c r="AW141" s="66">
        <v>0</v>
      </c>
      <c r="AX141" s="66"/>
      <c r="AY141" s="66"/>
      <c r="AZ141" s="66"/>
      <c r="BA141" s="66"/>
      <c r="BB141" s="66"/>
      <c r="BC141" s="66"/>
      <c r="BD141" s="66"/>
      <c r="BE141" s="66"/>
      <c r="BF141" s="45"/>
      <c r="BG141" s="46"/>
      <c r="BH141" s="45"/>
      <c r="BI141" s="46"/>
      <c r="BJ141" s="45"/>
      <c r="BK141" s="46"/>
      <c r="BL141" s="45"/>
      <c r="BM141" s="46"/>
      <c r="BN141" s="45"/>
    </row>
    <row r="142" spans="1:66" ht="15">
      <c r="A142" s="62" t="s">
        <v>297</v>
      </c>
      <c r="B142" s="62" t="s">
        <v>305</v>
      </c>
      <c r="C142" s="64" t="s">
        <v>1505</v>
      </c>
      <c r="D142" s="67">
        <v>4.75</v>
      </c>
      <c r="E142" s="68" t="s">
        <v>136</v>
      </c>
      <c r="F142" s="69">
        <v>31.235294117647058</v>
      </c>
      <c r="G142" s="64"/>
      <c r="H142" s="70"/>
      <c r="I142" s="71"/>
      <c r="J142" s="71"/>
      <c r="K142" s="31" t="s">
        <v>65</v>
      </c>
      <c r="L142" s="79">
        <v>142</v>
      </c>
      <c r="M142" s="79"/>
      <c r="N142" s="73"/>
      <c r="O142" s="66">
        <v>2</v>
      </c>
      <c r="P142" s="63" t="str">
        <f>REPLACE(INDEX(GroupVertices[Group],MATCH(Edges[[#This Row],[Vertex 1]],GroupVertices[Vertex],0)),1,1,"")</f>
        <v>1</v>
      </c>
      <c r="Q142" s="63" t="str">
        <f>REPLACE(INDEX(GroupVertices[Group],MATCH(Edges[[#This Row],[Vertex 2]],GroupVertices[Vertex],0)),1,1,"")</f>
        <v>4</v>
      </c>
      <c r="R142" s="66" t="s">
        <v>316</v>
      </c>
      <c r="S142" s="91">
        <v>44877.52835648148</v>
      </c>
      <c r="T142" s="66" t="s">
        <v>341</v>
      </c>
      <c r="U142" s="94" t="str">
        <f>HYPERLINK("https://www.youtube.com/watch?v=xb0JCOgMsXc")</f>
        <v>https://www.youtube.com/watch?v=xb0JCOgMsXc</v>
      </c>
      <c r="V142" s="66" t="s">
        <v>403</v>
      </c>
      <c r="W142" s="97" t="s">
        <v>421</v>
      </c>
      <c r="X142" s="66"/>
      <c r="Y142" s="94" t="str">
        <f>HYPERLINK("https://pbs.twimg.com/profile_images/1487756429276684289/Kqq9xAOb_normal.png")</f>
        <v>https://pbs.twimg.com/profile_images/1487756429276684289/Kqq9xAOb_normal.png</v>
      </c>
      <c r="Z142" s="91">
        <v>44877.52835648148</v>
      </c>
      <c r="AA142" s="100">
        <v>44877</v>
      </c>
      <c r="AB142" s="97" t="s">
        <v>489</v>
      </c>
      <c r="AC142" s="94" t="str">
        <f>HYPERLINK("https://twitter.com/hashtagmarketi7/status/1591410690664931328")</f>
        <v>https://twitter.com/hashtagmarketi7/status/1591410690664931328</v>
      </c>
      <c r="AD142" s="66"/>
      <c r="AE142" s="66"/>
      <c r="AF142" s="97" t="s">
        <v>622</v>
      </c>
      <c r="AG142" s="66"/>
      <c r="AH142" s="66" t="b">
        <v>0</v>
      </c>
      <c r="AI142" s="66">
        <v>0</v>
      </c>
      <c r="AJ142" s="97" t="s">
        <v>712</v>
      </c>
      <c r="AK142" s="66" t="b">
        <v>0</v>
      </c>
      <c r="AL142" s="66" t="s">
        <v>715</v>
      </c>
      <c r="AM142" s="66"/>
      <c r="AN142" s="97" t="s">
        <v>712</v>
      </c>
      <c r="AO142" s="66" t="b">
        <v>0</v>
      </c>
      <c r="AP142" s="66">
        <v>1</v>
      </c>
      <c r="AQ142" s="97" t="s">
        <v>633</v>
      </c>
      <c r="AR142" s="97" t="s">
        <v>717</v>
      </c>
      <c r="AS142" s="66" t="b">
        <v>0</v>
      </c>
      <c r="AT142" s="97" t="s">
        <v>633</v>
      </c>
      <c r="AU142" s="66" t="s">
        <v>241</v>
      </c>
      <c r="AV142" s="66">
        <v>0</v>
      </c>
      <c r="AW142" s="66">
        <v>0</v>
      </c>
      <c r="AX142" s="66"/>
      <c r="AY142" s="66"/>
      <c r="AZ142" s="66"/>
      <c r="BA142" s="66"/>
      <c r="BB142" s="66"/>
      <c r="BC142" s="66"/>
      <c r="BD142" s="66"/>
      <c r="BE142" s="66"/>
      <c r="BF142" s="45"/>
      <c r="BG142" s="46"/>
      <c r="BH142" s="45"/>
      <c r="BI142" s="46"/>
      <c r="BJ142" s="45"/>
      <c r="BK142" s="46"/>
      <c r="BL142" s="45"/>
      <c r="BM142" s="46"/>
      <c r="BN142" s="45"/>
    </row>
    <row r="143" spans="1:66" ht="15">
      <c r="A143" s="62" t="s">
        <v>297</v>
      </c>
      <c r="B143" s="62" t="s">
        <v>298</v>
      </c>
      <c r="C143" s="64" t="s">
        <v>1507</v>
      </c>
      <c r="D143" s="67">
        <v>8.25</v>
      </c>
      <c r="E143" s="68" t="s">
        <v>136</v>
      </c>
      <c r="F143" s="69">
        <v>29.705882352941178</v>
      </c>
      <c r="G143" s="64"/>
      <c r="H143" s="70"/>
      <c r="I143" s="71"/>
      <c r="J143" s="71"/>
      <c r="K143" s="31" t="s">
        <v>66</v>
      </c>
      <c r="L143" s="79">
        <v>143</v>
      </c>
      <c r="M143" s="79"/>
      <c r="N143" s="73"/>
      <c r="O143" s="66">
        <v>4</v>
      </c>
      <c r="P143" s="63" t="str">
        <f>REPLACE(INDEX(GroupVertices[Group],MATCH(Edges[[#This Row],[Vertex 1]],GroupVertices[Vertex],0)),1,1,"")</f>
        <v>1</v>
      </c>
      <c r="Q143" s="63" t="str">
        <f>REPLACE(INDEX(GroupVertices[Group],MATCH(Edges[[#This Row],[Vertex 2]],GroupVertices[Vertex],0)),1,1,"")</f>
        <v>2</v>
      </c>
      <c r="R143" s="66" t="s">
        <v>315</v>
      </c>
      <c r="S143" s="91">
        <v>44877.52835648148</v>
      </c>
      <c r="T143" s="66" t="s">
        <v>341</v>
      </c>
      <c r="U143" s="94" t="str">
        <f>HYPERLINK("https://www.youtube.com/watch?v=xb0JCOgMsXc")</f>
        <v>https://www.youtube.com/watch?v=xb0JCOgMsXc</v>
      </c>
      <c r="V143" s="66" t="s">
        <v>403</v>
      </c>
      <c r="W143" s="97" t="s">
        <v>421</v>
      </c>
      <c r="X143" s="66"/>
      <c r="Y143" s="94" t="str">
        <f>HYPERLINK("https://pbs.twimg.com/profile_images/1487756429276684289/Kqq9xAOb_normal.png")</f>
        <v>https://pbs.twimg.com/profile_images/1487756429276684289/Kqq9xAOb_normal.png</v>
      </c>
      <c r="Z143" s="91">
        <v>44877.52835648148</v>
      </c>
      <c r="AA143" s="100">
        <v>44877</v>
      </c>
      <c r="AB143" s="97" t="s">
        <v>489</v>
      </c>
      <c r="AC143" s="94" t="str">
        <f>HYPERLINK("https://twitter.com/hashtagmarketi7/status/1591410690664931328")</f>
        <v>https://twitter.com/hashtagmarketi7/status/1591410690664931328</v>
      </c>
      <c r="AD143" s="66"/>
      <c r="AE143" s="66"/>
      <c r="AF143" s="97" t="s">
        <v>622</v>
      </c>
      <c r="AG143" s="66"/>
      <c r="AH143" s="66" t="b">
        <v>0</v>
      </c>
      <c r="AI143" s="66">
        <v>0</v>
      </c>
      <c r="AJ143" s="97" t="s">
        <v>712</v>
      </c>
      <c r="AK143" s="66" t="b">
        <v>0</v>
      </c>
      <c r="AL143" s="66" t="s">
        <v>715</v>
      </c>
      <c r="AM143" s="66"/>
      <c r="AN143" s="97" t="s">
        <v>712</v>
      </c>
      <c r="AO143" s="66" t="b">
        <v>0</v>
      </c>
      <c r="AP143" s="66">
        <v>1</v>
      </c>
      <c r="AQ143" s="97" t="s">
        <v>633</v>
      </c>
      <c r="AR143" s="97" t="s">
        <v>717</v>
      </c>
      <c r="AS143" s="66" t="b">
        <v>0</v>
      </c>
      <c r="AT143" s="97" t="s">
        <v>633</v>
      </c>
      <c r="AU143" s="66" t="s">
        <v>241</v>
      </c>
      <c r="AV143" s="66">
        <v>0</v>
      </c>
      <c r="AW143" s="66">
        <v>0</v>
      </c>
      <c r="AX143" s="66"/>
      <c r="AY143" s="66"/>
      <c r="AZ143" s="66"/>
      <c r="BA143" s="66"/>
      <c r="BB143" s="66"/>
      <c r="BC143" s="66"/>
      <c r="BD143" s="66"/>
      <c r="BE143" s="66"/>
      <c r="BF143" s="45">
        <v>0</v>
      </c>
      <c r="BG143" s="46">
        <v>0</v>
      </c>
      <c r="BH143" s="45">
        <v>0</v>
      </c>
      <c r="BI143" s="46">
        <v>0</v>
      </c>
      <c r="BJ143" s="45">
        <v>0</v>
      </c>
      <c r="BK143" s="46">
        <v>0</v>
      </c>
      <c r="BL143" s="45">
        <v>17</v>
      </c>
      <c r="BM143" s="46">
        <v>73.91304347826087</v>
      </c>
      <c r="BN143" s="45">
        <v>23</v>
      </c>
    </row>
    <row r="144" spans="1:66" ht="15">
      <c r="A144" s="62" t="s">
        <v>297</v>
      </c>
      <c r="B144" s="62" t="s">
        <v>298</v>
      </c>
      <c r="C144" s="64" t="s">
        <v>1507</v>
      </c>
      <c r="D144" s="67">
        <v>8.25</v>
      </c>
      <c r="E144" s="68" t="s">
        <v>136</v>
      </c>
      <c r="F144" s="69">
        <v>29.705882352941178</v>
      </c>
      <c r="G144" s="64"/>
      <c r="H144" s="70"/>
      <c r="I144" s="71"/>
      <c r="J144" s="71"/>
      <c r="K144" s="31" t="s">
        <v>66</v>
      </c>
      <c r="L144" s="79">
        <v>144</v>
      </c>
      <c r="M144" s="79"/>
      <c r="N144" s="73"/>
      <c r="O144" s="66">
        <v>4</v>
      </c>
      <c r="P144" s="63" t="str">
        <f>REPLACE(INDEX(GroupVertices[Group],MATCH(Edges[[#This Row],[Vertex 1]],GroupVertices[Vertex],0)),1,1,"")</f>
        <v>1</v>
      </c>
      <c r="Q144" s="63" t="str">
        <f>REPLACE(INDEX(GroupVertices[Group],MATCH(Edges[[#This Row],[Vertex 2]],GroupVertices[Vertex],0)),1,1,"")</f>
        <v>2</v>
      </c>
      <c r="R144" s="66" t="s">
        <v>315</v>
      </c>
      <c r="S144" s="91">
        <v>44877.58372685185</v>
      </c>
      <c r="T144" s="66" t="s">
        <v>339</v>
      </c>
      <c r="U144" s="94" t="str">
        <f>HYPERLINK("https://www.youtube.com/watch?v=xb0JCOgMsXc")</f>
        <v>https://www.youtube.com/watch?v=xb0JCOgMsXc</v>
      </c>
      <c r="V144" s="66" t="s">
        <v>403</v>
      </c>
      <c r="W144" s="97" t="s">
        <v>433</v>
      </c>
      <c r="X144" s="94" t="str">
        <f>HYPERLINK("https://pbs.twimg.com/media/FhW1XNFXgAACXVj.jpg")</f>
        <v>https://pbs.twimg.com/media/FhW1XNFXgAACXVj.jpg</v>
      </c>
      <c r="Y144" s="94" t="str">
        <f>HYPERLINK("https://pbs.twimg.com/media/FhW1XNFXgAACXVj.jpg")</f>
        <v>https://pbs.twimg.com/media/FhW1XNFXgAACXVj.jpg</v>
      </c>
      <c r="Z144" s="91">
        <v>44877.58372685185</v>
      </c>
      <c r="AA144" s="100">
        <v>44877</v>
      </c>
      <c r="AB144" s="97" t="s">
        <v>490</v>
      </c>
      <c r="AC144" s="94" t="str">
        <f>HYPERLINK("https://twitter.com/hashtagmarketi7/status/1591430757985271812")</f>
        <v>https://twitter.com/hashtagmarketi7/status/1591430757985271812</v>
      </c>
      <c r="AD144" s="66"/>
      <c r="AE144" s="66"/>
      <c r="AF144" s="97" t="s">
        <v>623</v>
      </c>
      <c r="AG144" s="66"/>
      <c r="AH144" s="66" t="b">
        <v>0</v>
      </c>
      <c r="AI144" s="66">
        <v>0</v>
      </c>
      <c r="AJ144" s="97" t="s">
        <v>712</v>
      </c>
      <c r="AK144" s="66" t="b">
        <v>0</v>
      </c>
      <c r="AL144" s="66" t="s">
        <v>715</v>
      </c>
      <c r="AM144" s="66"/>
      <c r="AN144" s="97" t="s">
        <v>712</v>
      </c>
      <c r="AO144" s="66" t="b">
        <v>0</v>
      </c>
      <c r="AP144" s="66">
        <v>2</v>
      </c>
      <c r="AQ144" s="97" t="s">
        <v>653</v>
      </c>
      <c r="AR144" s="97" t="s">
        <v>717</v>
      </c>
      <c r="AS144" s="66" t="b">
        <v>0</v>
      </c>
      <c r="AT144" s="97" t="s">
        <v>653</v>
      </c>
      <c r="AU144" s="66" t="s">
        <v>241</v>
      </c>
      <c r="AV144" s="66">
        <v>0</v>
      </c>
      <c r="AW144" s="66">
        <v>0</v>
      </c>
      <c r="AX144" s="66"/>
      <c r="AY144" s="66"/>
      <c r="AZ144" s="66"/>
      <c r="BA144" s="66"/>
      <c r="BB144" s="66"/>
      <c r="BC144" s="66"/>
      <c r="BD144" s="66"/>
      <c r="BE144" s="66"/>
      <c r="BF144" s="45">
        <v>0</v>
      </c>
      <c r="BG144" s="46">
        <v>0</v>
      </c>
      <c r="BH144" s="45">
        <v>0</v>
      </c>
      <c r="BI144" s="46">
        <v>0</v>
      </c>
      <c r="BJ144" s="45">
        <v>0</v>
      </c>
      <c r="BK144" s="46">
        <v>0</v>
      </c>
      <c r="BL144" s="45">
        <v>22</v>
      </c>
      <c r="BM144" s="46">
        <v>66.66666666666667</v>
      </c>
      <c r="BN144" s="45">
        <v>33</v>
      </c>
    </row>
    <row r="145" spans="1:66" ht="15">
      <c r="A145" s="62" t="s">
        <v>297</v>
      </c>
      <c r="B145" s="62" t="s">
        <v>297</v>
      </c>
      <c r="C145" s="64" t="s">
        <v>1505</v>
      </c>
      <c r="D145" s="67">
        <v>4.75</v>
      </c>
      <c r="E145" s="68" t="s">
        <v>136</v>
      </c>
      <c r="F145" s="69">
        <v>31.235294117647058</v>
      </c>
      <c r="G145" s="64"/>
      <c r="H145" s="70"/>
      <c r="I145" s="71"/>
      <c r="J145" s="71"/>
      <c r="K145" s="31" t="s">
        <v>65</v>
      </c>
      <c r="L145" s="79">
        <v>145</v>
      </c>
      <c r="M145" s="79"/>
      <c r="N145" s="73"/>
      <c r="O145" s="66">
        <v>2</v>
      </c>
      <c r="P145" s="63" t="str">
        <f>REPLACE(INDEX(GroupVertices[Group],MATCH(Edges[[#This Row],[Vertex 1]],GroupVertices[Vertex],0)),1,1,"")</f>
        <v>1</v>
      </c>
      <c r="Q145" s="63" t="str">
        <f>REPLACE(INDEX(GroupVertices[Group],MATCH(Edges[[#This Row],[Vertex 2]],GroupVertices[Vertex],0)),1,1,"")</f>
        <v>1</v>
      </c>
      <c r="R145" s="66" t="s">
        <v>241</v>
      </c>
      <c r="S145" s="91">
        <v>44877.58385416667</v>
      </c>
      <c r="T145" s="66" t="s">
        <v>324</v>
      </c>
      <c r="U145" s="94" t="str">
        <f>HYPERLINK("https://www.youtube.com/watch?v=erkbGlWtX3Q&amp;feature=youtu.be")</f>
        <v>https://www.youtube.com/watch?v=erkbGlWtX3Q&amp;feature=youtu.be</v>
      </c>
      <c r="V145" s="66" t="s">
        <v>403</v>
      </c>
      <c r="W145" s="97" t="s">
        <v>423</v>
      </c>
      <c r="X145" s="66"/>
      <c r="Y145" s="94" t="str">
        <f>HYPERLINK("https://pbs.twimg.com/profile_images/1487756429276684289/Kqq9xAOb_normal.png")</f>
        <v>https://pbs.twimg.com/profile_images/1487756429276684289/Kqq9xAOb_normal.png</v>
      </c>
      <c r="Z145" s="91">
        <v>44877.58385416667</v>
      </c>
      <c r="AA145" s="100">
        <v>44877</v>
      </c>
      <c r="AB145" s="97" t="s">
        <v>491</v>
      </c>
      <c r="AC145" s="94" t="str">
        <f>HYPERLINK("https://twitter.com/hashtagmarketi7/status/1591430803812421633")</f>
        <v>https://twitter.com/hashtagmarketi7/status/1591430803812421633</v>
      </c>
      <c r="AD145" s="66"/>
      <c r="AE145" s="66"/>
      <c r="AF145" s="97" t="s">
        <v>624</v>
      </c>
      <c r="AG145" s="66"/>
      <c r="AH145" s="66" t="b">
        <v>0</v>
      </c>
      <c r="AI145" s="66">
        <v>3</v>
      </c>
      <c r="AJ145" s="97" t="s">
        <v>712</v>
      </c>
      <c r="AK145" s="66" t="b">
        <v>0</v>
      </c>
      <c r="AL145" s="66" t="s">
        <v>715</v>
      </c>
      <c r="AM145" s="66"/>
      <c r="AN145" s="97" t="s">
        <v>712</v>
      </c>
      <c r="AO145" s="66" t="b">
        <v>0</v>
      </c>
      <c r="AP145" s="66">
        <v>1</v>
      </c>
      <c r="AQ145" s="97" t="s">
        <v>712</v>
      </c>
      <c r="AR145" s="97" t="s">
        <v>717</v>
      </c>
      <c r="AS145" s="66" t="b">
        <v>0</v>
      </c>
      <c r="AT145" s="97" t="s">
        <v>624</v>
      </c>
      <c r="AU145" s="66" t="s">
        <v>241</v>
      </c>
      <c r="AV145" s="66">
        <v>0</v>
      </c>
      <c r="AW145" s="66">
        <v>0</v>
      </c>
      <c r="AX145" s="66"/>
      <c r="AY145" s="66"/>
      <c r="AZ145" s="66"/>
      <c r="BA145" s="66"/>
      <c r="BB145" s="66"/>
      <c r="BC145" s="66"/>
      <c r="BD145" s="66"/>
      <c r="BE145" s="66"/>
      <c r="BF145" s="45">
        <v>0</v>
      </c>
      <c r="BG145" s="46">
        <v>0</v>
      </c>
      <c r="BH145" s="45">
        <v>0</v>
      </c>
      <c r="BI145" s="46">
        <v>0</v>
      </c>
      <c r="BJ145" s="45">
        <v>0</v>
      </c>
      <c r="BK145" s="46">
        <v>0</v>
      </c>
      <c r="BL145" s="45">
        <v>11</v>
      </c>
      <c r="BM145" s="46">
        <v>78.57142857142857</v>
      </c>
      <c r="BN145" s="45">
        <v>14</v>
      </c>
    </row>
    <row r="146" spans="1:66" ht="15">
      <c r="A146" s="62" t="s">
        <v>297</v>
      </c>
      <c r="B146" s="62" t="s">
        <v>300</v>
      </c>
      <c r="C146" s="64" t="s">
        <v>1505</v>
      </c>
      <c r="D146" s="67">
        <v>4.75</v>
      </c>
      <c r="E146" s="68" t="s">
        <v>136</v>
      </c>
      <c r="F146" s="69">
        <v>31.235294117647058</v>
      </c>
      <c r="G146" s="64"/>
      <c r="H146" s="70"/>
      <c r="I146" s="71"/>
      <c r="J146" s="71"/>
      <c r="K146" s="31" t="s">
        <v>65</v>
      </c>
      <c r="L146" s="79">
        <v>146</v>
      </c>
      <c r="M146" s="79"/>
      <c r="N146" s="73"/>
      <c r="O146" s="66">
        <v>2</v>
      </c>
      <c r="P146" s="63" t="str">
        <f>REPLACE(INDEX(GroupVertices[Group],MATCH(Edges[[#This Row],[Vertex 1]],GroupVertices[Vertex],0)),1,1,"")</f>
        <v>1</v>
      </c>
      <c r="Q146" s="63" t="str">
        <f>REPLACE(INDEX(GroupVertices[Group],MATCH(Edges[[#This Row],[Vertex 2]],GroupVertices[Vertex],0)),1,1,"")</f>
        <v>3</v>
      </c>
      <c r="R146" s="66" t="s">
        <v>316</v>
      </c>
      <c r="S146" s="91">
        <v>44877.58427083334</v>
      </c>
      <c r="T146" s="66" t="s">
        <v>342</v>
      </c>
      <c r="U146" s="66" t="s">
        <v>395</v>
      </c>
      <c r="V146" s="66" t="s">
        <v>412</v>
      </c>
      <c r="W146" s="97" t="s">
        <v>423</v>
      </c>
      <c r="X146" s="66"/>
      <c r="Y146" s="94" t="str">
        <f>HYPERLINK("https://pbs.twimg.com/profile_images/1487756429276684289/Kqq9xAOb_normal.png")</f>
        <v>https://pbs.twimg.com/profile_images/1487756429276684289/Kqq9xAOb_normal.png</v>
      </c>
      <c r="Z146" s="91">
        <v>44877.58427083334</v>
      </c>
      <c r="AA146" s="100">
        <v>44877</v>
      </c>
      <c r="AB146" s="97" t="s">
        <v>492</v>
      </c>
      <c r="AC146" s="94" t="str">
        <f>HYPERLINK("https://twitter.com/hashtagmarketi7/status/1591430953813311490")</f>
        <v>https://twitter.com/hashtagmarketi7/status/1591430953813311490</v>
      </c>
      <c r="AD146" s="66"/>
      <c r="AE146" s="66"/>
      <c r="AF146" s="97" t="s">
        <v>625</v>
      </c>
      <c r="AG146" s="66"/>
      <c r="AH146" s="66" t="b">
        <v>0</v>
      </c>
      <c r="AI146" s="66">
        <v>0</v>
      </c>
      <c r="AJ146" s="97" t="s">
        <v>712</v>
      </c>
      <c r="AK146" s="66" t="b">
        <v>0</v>
      </c>
      <c r="AL146" s="66" t="s">
        <v>715</v>
      </c>
      <c r="AM146" s="66"/>
      <c r="AN146" s="97" t="s">
        <v>712</v>
      </c>
      <c r="AO146" s="66" t="b">
        <v>0</v>
      </c>
      <c r="AP146" s="66">
        <v>2</v>
      </c>
      <c r="AQ146" s="97" t="s">
        <v>674</v>
      </c>
      <c r="AR146" s="97" t="s">
        <v>717</v>
      </c>
      <c r="AS146" s="66" t="b">
        <v>0</v>
      </c>
      <c r="AT146" s="97" t="s">
        <v>674</v>
      </c>
      <c r="AU146" s="66" t="s">
        <v>241</v>
      </c>
      <c r="AV146" s="66">
        <v>0</v>
      </c>
      <c r="AW146" s="66">
        <v>0</v>
      </c>
      <c r="AX146" s="66"/>
      <c r="AY146" s="66"/>
      <c r="AZ146" s="66"/>
      <c r="BA146" s="66"/>
      <c r="BB146" s="66"/>
      <c r="BC146" s="66"/>
      <c r="BD146" s="66"/>
      <c r="BE146" s="66"/>
      <c r="BF146" s="45"/>
      <c r="BG146" s="46"/>
      <c r="BH146" s="45"/>
      <c r="BI146" s="46"/>
      <c r="BJ146" s="45"/>
      <c r="BK146" s="46"/>
      <c r="BL146" s="45"/>
      <c r="BM146" s="46"/>
      <c r="BN146" s="45"/>
    </row>
    <row r="147" spans="1:66" ht="15">
      <c r="A147" s="62" t="s">
        <v>297</v>
      </c>
      <c r="B147" s="62" t="s">
        <v>308</v>
      </c>
      <c r="C147" s="64" t="s">
        <v>1505</v>
      </c>
      <c r="D147" s="67">
        <v>4.75</v>
      </c>
      <c r="E147" s="68" t="s">
        <v>136</v>
      </c>
      <c r="F147" s="69">
        <v>31.235294117647058</v>
      </c>
      <c r="G147" s="64"/>
      <c r="H147" s="70"/>
      <c r="I147" s="71"/>
      <c r="J147" s="71"/>
      <c r="K147" s="31" t="s">
        <v>65</v>
      </c>
      <c r="L147" s="79">
        <v>147</v>
      </c>
      <c r="M147" s="79"/>
      <c r="N147" s="73"/>
      <c r="O147" s="66">
        <v>2</v>
      </c>
      <c r="P147" s="63" t="str">
        <f>REPLACE(INDEX(GroupVertices[Group],MATCH(Edges[[#This Row],[Vertex 1]],GroupVertices[Vertex],0)),1,1,"")</f>
        <v>1</v>
      </c>
      <c r="Q147" s="63" t="str">
        <f>REPLACE(INDEX(GroupVertices[Group],MATCH(Edges[[#This Row],[Vertex 2]],GroupVertices[Vertex],0)),1,1,"")</f>
        <v>3</v>
      </c>
      <c r="R147" s="66" t="s">
        <v>316</v>
      </c>
      <c r="S147" s="91">
        <v>44877.58427083334</v>
      </c>
      <c r="T147" s="66" t="s">
        <v>342</v>
      </c>
      <c r="U147" s="66" t="s">
        <v>395</v>
      </c>
      <c r="V147" s="66" t="s">
        <v>412</v>
      </c>
      <c r="W147" s="97" t="s">
        <v>423</v>
      </c>
      <c r="X147" s="66"/>
      <c r="Y147" s="94" t="str">
        <f>HYPERLINK("https://pbs.twimg.com/profile_images/1487756429276684289/Kqq9xAOb_normal.png")</f>
        <v>https://pbs.twimg.com/profile_images/1487756429276684289/Kqq9xAOb_normal.png</v>
      </c>
      <c r="Z147" s="91">
        <v>44877.58427083334</v>
      </c>
      <c r="AA147" s="100">
        <v>44877</v>
      </c>
      <c r="AB147" s="97" t="s">
        <v>492</v>
      </c>
      <c r="AC147" s="94" t="str">
        <f>HYPERLINK("https://twitter.com/hashtagmarketi7/status/1591430953813311490")</f>
        <v>https://twitter.com/hashtagmarketi7/status/1591430953813311490</v>
      </c>
      <c r="AD147" s="66"/>
      <c r="AE147" s="66"/>
      <c r="AF147" s="97" t="s">
        <v>625</v>
      </c>
      <c r="AG147" s="66"/>
      <c r="AH147" s="66" t="b">
        <v>0</v>
      </c>
      <c r="AI147" s="66">
        <v>0</v>
      </c>
      <c r="AJ147" s="97" t="s">
        <v>712</v>
      </c>
      <c r="AK147" s="66" t="b">
        <v>0</v>
      </c>
      <c r="AL147" s="66" t="s">
        <v>715</v>
      </c>
      <c r="AM147" s="66"/>
      <c r="AN147" s="97" t="s">
        <v>712</v>
      </c>
      <c r="AO147" s="66" t="b">
        <v>0</v>
      </c>
      <c r="AP147" s="66">
        <v>2</v>
      </c>
      <c r="AQ147" s="97" t="s">
        <v>674</v>
      </c>
      <c r="AR147" s="97" t="s">
        <v>717</v>
      </c>
      <c r="AS147" s="66" t="b">
        <v>0</v>
      </c>
      <c r="AT147" s="97" t="s">
        <v>674</v>
      </c>
      <c r="AU147" s="66" t="s">
        <v>241</v>
      </c>
      <c r="AV147" s="66">
        <v>0</v>
      </c>
      <c r="AW147" s="66">
        <v>0</v>
      </c>
      <c r="AX147" s="66"/>
      <c r="AY147" s="66"/>
      <c r="AZ147" s="66"/>
      <c r="BA147" s="66"/>
      <c r="BB147" s="66"/>
      <c r="BC147" s="66"/>
      <c r="BD147" s="66"/>
      <c r="BE147" s="66"/>
      <c r="BF147" s="45"/>
      <c r="BG147" s="46"/>
      <c r="BH147" s="45"/>
      <c r="BI147" s="46"/>
      <c r="BJ147" s="45"/>
      <c r="BK147" s="46"/>
      <c r="BL147" s="45"/>
      <c r="BM147" s="46"/>
      <c r="BN147" s="45"/>
    </row>
    <row r="148" spans="1:66" ht="15">
      <c r="A148" s="62" t="s">
        <v>297</v>
      </c>
      <c r="B148" s="62" t="s">
        <v>305</v>
      </c>
      <c r="C148" s="64" t="s">
        <v>1506</v>
      </c>
      <c r="D148" s="67">
        <v>6.5</v>
      </c>
      <c r="E148" s="68" t="s">
        <v>136</v>
      </c>
      <c r="F148" s="69">
        <v>30.470588235294116</v>
      </c>
      <c r="G148" s="64"/>
      <c r="H148" s="70"/>
      <c r="I148" s="71"/>
      <c r="J148" s="71"/>
      <c r="K148" s="31" t="s">
        <v>65</v>
      </c>
      <c r="L148" s="79">
        <v>148</v>
      </c>
      <c r="M148" s="79"/>
      <c r="N148" s="73"/>
      <c r="O148" s="66">
        <v>3</v>
      </c>
      <c r="P148" s="63" t="str">
        <f>REPLACE(INDEX(GroupVertices[Group],MATCH(Edges[[#This Row],[Vertex 1]],GroupVertices[Vertex],0)),1,1,"")</f>
        <v>1</v>
      </c>
      <c r="Q148" s="63" t="str">
        <f>REPLACE(INDEX(GroupVertices[Group],MATCH(Edges[[#This Row],[Vertex 2]],GroupVertices[Vertex],0)),1,1,"")</f>
        <v>4</v>
      </c>
      <c r="R148" s="66" t="s">
        <v>315</v>
      </c>
      <c r="S148" s="91">
        <v>44877.58427083334</v>
      </c>
      <c r="T148" s="66" t="s">
        <v>342</v>
      </c>
      <c r="U148" s="66" t="s">
        <v>395</v>
      </c>
      <c r="V148" s="66" t="s">
        <v>412</v>
      </c>
      <c r="W148" s="97" t="s">
        <v>423</v>
      </c>
      <c r="X148" s="66"/>
      <c r="Y148" s="94" t="str">
        <f>HYPERLINK("https://pbs.twimg.com/profile_images/1487756429276684289/Kqq9xAOb_normal.png")</f>
        <v>https://pbs.twimg.com/profile_images/1487756429276684289/Kqq9xAOb_normal.png</v>
      </c>
      <c r="Z148" s="91">
        <v>44877.58427083334</v>
      </c>
      <c r="AA148" s="100">
        <v>44877</v>
      </c>
      <c r="AB148" s="97" t="s">
        <v>492</v>
      </c>
      <c r="AC148" s="94" t="str">
        <f>HYPERLINK("https://twitter.com/hashtagmarketi7/status/1591430953813311490")</f>
        <v>https://twitter.com/hashtagmarketi7/status/1591430953813311490</v>
      </c>
      <c r="AD148" s="66"/>
      <c r="AE148" s="66"/>
      <c r="AF148" s="97" t="s">
        <v>625</v>
      </c>
      <c r="AG148" s="66"/>
      <c r="AH148" s="66" t="b">
        <v>0</v>
      </c>
      <c r="AI148" s="66">
        <v>0</v>
      </c>
      <c r="AJ148" s="97" t="s">
        <v>712</v>
      </c>
      <c r="AK148" s="66" t="b">
        <v>0</v>
      </c>
      <c r="AL148" s="66" t="s">
        <v>715</v>
      </c>
      <c r="AM148" s="66"/>
      <c r="AN148" s="97" t="s">
        <v>712</v>
      </c>
      <c r="AO148" s="66" t="b">
        <v>0</v>
      </c>
      <c r="AP148" s="66">
        <v>2</v>
      </c>
      <c r="AQ148" s="97" t="s">
        <v>674</v>
      </c>
      <c r="AR148" s="97" t="s">
        <v>717</v>
      </c>
      <c r="AS148" s="66" t="b">
        <v>0</v>
      </c>
      <c r="AT148" s="97" t="s">
        <v>674</v>
      </c>
      <c r="AU148" s="66" t="s">
        <v>241</v>
      </c>
      <c r="AV148" s="66">
        <v>0</v>
      </c>
      <c r="AW148" s="66">
        <v>0</v>
      </c>
      <c r="AX148" s="66"/>
      <c r="AY148" s="66"/>
      <c r="AZ148" s="66"/>
      <c r="BA148" s="66"/>
      <c r="BB148" s="66"/>
      <c r="BC148" s="66"/>
      <c r="BD148" s="66"/>
      <c r="BE148" s="66"/>
      <c r="BF148" s="45">
        <v>0</v>
      </c>
      <c r="BG148" s="46">
        <v>0</v>
      </c>
      <c r="BH148" s="45">
        <v>0</v>
      </c>
      <c r="BI148" s="46">
        <v>0</v>
      </c>
      <c r="BJ148" s="45">
        <v>0</v>
      </c>
      <c r="BK148" s="46">
        <v>0</v>
      </c>
      <c r="BL148" s="45">
        <v>18</v>
      </c>
      <c r="BM148" s="46">
        <v>85.71428571428571</v>
      </c>
      <c r="BN148" s="45">
        <v>21</v>
      </c>
    </row>
    <row r="149" spans="1:66" ht="15">
      <c r="A149" s="62" t="s">
        <v>297</v>
      </c>
      <c r="B149" s="62" t="s">
        <v>297</v>
      </c>
      <c r="C149" s="64" t="s">
        <v>1505</v>
      </c>
      <c r="D149" s="67">
        <v>4.75</v>
      </c>
      <c r="E149" s="68" t="s">
        <v>136</v>
      </c>
      <c r="F149" s="69">
        <v>31.235294117647058</v>
      </c>
      <c r="G149" s="64"/>
      <c r="H149" s="70"/>
      <c r="I149" s="71"/>
      <c r="J149" s="71"/>
      <c r="K149" s="31" t="s">
        <v>65</v>
      </c>
      <c r="L149" s="79">
        <v>149</v>
      </c>
      <c r="M149" s="79"/>
      <c r="N149" s="73"/>
      <c r="O149" s="66">
        <v>2</v>
      </c>
      <c r="P149" s="63" t="str">
        <f>REPLACE(INDEX(GroupVertices[Group],MATCH(Edges[[#This Row],[Vertex 1]],GroupVertices[Vertex],0)),1,1,"")</f>
        <v>1</v>
      </c>
      <c r="Q149" s="63" t="str">
        <f>REPLACE(INDEX(GroupVertices[Group],MATCH(Edges[[#This Row],[Vertex 2]],GroupVertices[Vertex],0)),1,1,"")</f>
        <v>1</v>
      </c>
      <c r="R149" s="66" t="s">
        <v>241</v>
      </c>
      <c r="S149" s="91">
        <v>44877.60596064815</v>
      </c>
      <c r="T149" s="66" t="s">
        <v>325</v>
      </c>
      <c r="U149" s="66" t="s">
        <v>396</v>
      </c>
      <c r="V149" s="66" t="s">
        <v>412</v>
      </c>
      <c r="W149" s="97" t="s">
        <v>427</v>
      </c>
      <c r="X149" s="66"/>
      <c r="Y149" s="94" t="str">
        <f>HYPERLINK("https://pbs.twimg.com/profile_images/1487756429276684289/Kqq9xAOb_normal.png")</f>
        <v>https://pbs.twimg.com/profile_images/1487756429276684289/Kqq9xAOb_normal.png</v>
      </c>
      <c r="Z149" s="91">
        <v>44877.60596064815</v>
      </c>
      <c r="AA149" s="100">
        <v>44877</v>
      </c>
      <c r="AB149" s="97" t="s">
        <v>493</v>
      </c>
      <c r="AC149" s="94" t="str">
        <f>HYPERLINK("https://twitter.com/hashtagmarketi7/status/1591438815339900929")</f>
        <v>https://twitter.com/hashtagmarketi7/status/1591438815339900929</v>
      </c>
      <c r="AD149" s="66"/>
      <c r="AE149" s="66"/>
      <c r="AF149" s="97" t="s">
        <v>626</v>
      </c>
      <c r="AG149" s="66"/>
      <c r="AH149" s="66" t="b">
        <v>0</v>
      </c>
      <c r="AI149" s="66">
        <v>3</v>
      </c>
      <c r="AJ149" s="97" t="s">
        <v>712</v>
      </c>
      <c r="AK149" s="66" t="b">
        <v>0</v>
      </c>
      <c r="AL149" s="66" t="s">
        <v>714</v>
      </c>
      <c r="AM149" s="66"/>
      <c r="AN149" s="97" t="s">
        <v>712</v>
      </c>
      <c r="AO149" s="66" t="b">
        <v>0</v>
      </c>
      <c r="AP149" s="66">
        <v>3</v>
      </c>
      <c r="AQ149" s="97" t="s">
        <v>712</v>
      </c>
      <c r="AR149" s="97" t="s">
        <v>723</v>
      </c>
      <c r="AS149" s="66" t="b">
        <v>0</v>
      </c>
      <c r="AT149" s="97" t="s">
        <v>626</v>
      </c>
      <c r="AU149" s="66" t="s">
        <v>241</v>
      </c>
      <c r="AV149" s="66">
        <v>0</v>
      </c>
      <c r="AW149" s="66">
        <v>0</v>
      </c>
      <c r="AX149" s="66"/>
      <c r="AY149" s="66"/>
      <c r="AZ149" s="66"/>
      <c r="BA149" s="66"/>
      <c r="BB149" s="66"/>
      <c r="BC149" s="66"/>
      <c r="BD149" s="66"/>
      <c r="BE149" s="66"/>
      <c r="BF149" s="45">
        <v>0</v>
      </c>
      <c r="BG149" s="46">
        <v>0</v>
      </c>
      <c r="BH149" s="45">
        <v>0</v>
      </c>
      <c r="BI149" s="46">
        <v>0</v>
      </c>
      <c r="BJ149" s="45">
        <v>0</v>
      </c>
      <c r="BK149" s="46">
        <v>0</v>
      </c>
      <c r="BL149" s="45">
        <v>8</v>
      </c>
      <c r="BM149" s="46">
        <v>80</v>
      </c>
      <c r="BN149" s="45">
        <v>10</v>
      </c>
    </row>
    <row r="150" spans="1:66" ht="15">
      <c r="A150" s="62" t="s">
        <v>297</v>
      </c>
      <c r="B150" s="62" t="s">
        <v>298</v>
      </c>
      <c r="C150" s="64" t="s">
        <v>1507</v>
      </c>
      <c r="D150" s="67">
        <v>8.25</v>
      </c>
      <c r="E150" s="68" t="s">
        <v>136</v>
      </c>
      <c r="F150" s="69">
        <v>29.705882352941178</v>
      </c>
      <c r="G150" s="64"/>
      <c r="H150" s="70"/>
      <c r="I150" s="71"/>
      <c r="J150" s="71"/>
      <c r="K150" s="31" t="s">
        <v>66</v>
      </c>
      <c r="L150" s="79">
        <v>150</v>
      </c>
      <c r="M150" s="79"/>
      <c r="N150" s="73"/>
      <c r="O150" s="66">
        <v>4</v>
      </c>
      <c r="P150" s="63" t="str">
        <f>REPLACE(INDEX(GroupVertices[Group],MATCH(Edges[[#This Row],[Vertex 1]],GroupVertices[Vertex],0)),1,1,"")</f>
        <v>1</v>
      </c>
      <c r="Q150" s="63" t="str">
        <f>REPLACE(INDEX(GroupVertices[Group],MATCH(Edges[[#This Row],[Vertex 2]],GroupVertices[Vertex],0)),1,1,"")</f>
        <v>2</v>
      </c>
      <c r="R150" s="66" t="s">
        <v>315</v>
      </c>
      <c r="S150" s="91">
        <v>44879.39225694445</v>
      </c>
      <c r="T150" s="66" t="s">
        <v>333</v>
      </c>
      <c r="U150" s="94" t="str">
        <f>HYPERLINK("https://www.youtube.com/watch?v=3JK84n-jsMU")</f>
        <v>https://www.youtube.com/watch?v=3JK84n-jsMU</v>
      </c>
      <c r="V150" s="66" t="s">
        <v>403</v>
      </c>
      <c r="W150" s="97" t="s">
        <v>430</v>
      </c>
      <c r="X150" s="94" t="str">
        <f>HYPERLINK("https://pbs.twimg.com/media/FhcHy7oXEAMenzQ.png")</f>
        <v>https://pbs.twimg.com/media/FhcHy7oXEAMenzQ.png</v>
      </c>
      <c r="Y150" s="94" t="str">
        <f>HYPERLINK("https://pbs.twimg.com/media/FhcHy7oXEAMenzQ.png")</f>
        <v>https://pbs.twimg.com/media/FhcHy7oXEAMenzQ.png</v>
      </c>
      <c r="Z150" s="91">
        <v>44879.39225694445</v>
      </c>
      <c r="AA150" s="100">
        <v>44879</v>
      </c>
      <c r="AB150" s="97" t="s">
        <v>494</v>
      </c>
      <c r="AC150" s="94" t="str">
        <f>HYPERLINK("https://twitter.com/hashtagmarketi7/status/1592086147353698306")</f>
        <v>https://twitter.com/hashtagmarketi7/status/1592086147353698306</v>
      </c>
      <c r="AD150" s="66"/>
      <c r="AE150" s="66"/>
      <c r="AF150" s="97" t="s">
        <v>627</v>
      </c>
      <c r="AG150" s="66"/>
      <c r="AH150" s="66" t="b">
        <v>0</v>
      </c>
      <c r="AI150" s="66">
        <v>0</v>
      </c>
      <c r="AJ150" s="97" t="s">
        <v>712</v>
      </c>
      <c r="AK150" s="66" t="b">
        <v>0</v>
      </c>
      <c r="AL150" s="66" t="s">
        <v>714</v>
      </c>
      <c r="AM150" s="66"/>
      <c r="AN150" s="97" t="s">
        <v>712</v>
      </c>
      <c r="AO150" s="66" t="b">
        <v>0</v>
      </c>
      <c r="AP150" s="66">
        <v>5</v>
      </c>
      <c r="AQ150" s="97" t="s">
        <v>665</v>
      </c>
      <c r="AR150" s="97" t="s">
        <v>717</v>
      </c>
      <c r="AS150" s="66" t="b">
        <v>0</v>
      </c>
      <c r="AT150" s="97" t="s">
        <v>665</v>
      </c>
      <c r="AU150" s="66" t="s">
        <v>241</v>
      </c>
      <c r="AV150" s="66">
        <v>0</v>
      </c>
      <c r="AW150" s="66">
        <v>0</v>
      </c>
      <c r="AX150" s="66"/>
      <c r="AY150" s="66"/>
      <c r="AZ150" s="66"/>
      <c r="BA150" s="66"/>
      <c r="BB150" s="66"/>
      <c r="BC150" s="66"/>
      <c r="BD150" s="66"/>
      <c r="BE150" s="66"/>
      <c r="BF150" s="45">
        <v>0</v>
      </c>
      <c r="BG150" s="46">
        <v>0</v>
      </c>
      <c r="BH150" s="45">
        <v>0</v>
      </c>
      <c r="BI150" s="46">
        <v>0</v>
      </c>
      <c r="BJ150" s="45">
        <v>0</v>
      </c>
      <c r="BK150" s="46">
        <v>0</v>
      </c>
      <c r="BL150" s="45">
        <v>5</v>
      </c>
      <c r="BM150" s="46">
        <v>62.5</v>
      </c>
      <c r="BN150" s="45">
        <v>8</v>
      </c>
    </row>
    <row r="151" spans="1:66" ht="15">
      <c r="A151" s="62" t="s">
        <v>297</v>
      </c>
      <c r="B151" s="62" t="s">
        <v>305</v>
      </c>
      <c r="C151" s="64" t="s">
        <v>1506</v>
      </c>
      <c r="D151" s="67">
        <v>6.5</v>
      </c>
      <c r="E151" s="68" t="s">
        <v>136</v>
      </c>
      <c r="F151" s="69">
        <v>30.470588235294116</v>
      </c>
      <c r="G151" s="64"/>
      <c r="H151" s="70"/>
      <c r="I151" s="71"/>
      <c r="J151" s="71"/>
      <c r="K151" s="31" t="s">
        <v>65</v>
      </c>
      <c r="L151" s="79">
        <v>151</v>
      </c>
      <c r="M151" s="79"/>
      <c r="N151" s="73"/>
      <c r="O151" s="66">
        <v>3</v>
      </c>
      <c r="P151" s="63" t="str">
        <f>REPLACE(INDEX(GroupVertices[Group],MATCH(Edges[[#This Row],[Vertex 1]],GroupVertices[Vertex],0)),1,1,"")</f>
        <v>1</v>
      </c>
      <c r="Q151" s="63" t="str">
        <f>REPLACE(INDEX(GroupVertices[Group],MATCH(Edges[[#This Row],[Vertex 2]],GroupVertices[Vertex],0)),1,1,"")</f>
        <v>4</v>
      </c>
      <c r="R151" s="66" t="s">
        <v>315</v>
      </c>
      <c r="S151" s="91">
        <v>44879.39231481482</v>
      </c>
      <c r="T151" s="66" t="s">
        <v>329</v>
      </c>
      <c r="U151" s="66" t="s">
        <v>394</v>
      </c>
      <c r="V151" s="66" t="s">
        <v>408</v>
      </c>
      <c r="W151" s="97" t="s">
        <v>429</v>
      </c>
      <c r="X151" s="66"/>
      <c r="Y151" s="94" t="str">
        <f>HYPERLINK("https://pbs.twimg.com/profile_images/1487756429276684289/Kqq9xAOb_normal.png")</f>
        <v>https://pbs.twimg.com/profile_images/1487756429276684289/Kqq9xAOb_normal.png</v>
      </c>
      <c r="Z151" s="91">
        <v>44879.39231481482</v>
      </c>
      <c r="AA151" s="100">
        <v>44879</v>
      </c>
      <c r="AB151" s="97" t="s">
        <v>495</v>
      </c>
      <c r="AC151" s="94" t="str">
        <f>HYPERLINK("https://twitter.com/hashtagmarketi7/status/1592086165540474880")</f>
        <v>https://twitter.com/hashtagmarketi7/status/1592086165540474880</v>
      </c>
      <c r="AD151" s="66"/>
      <c r="AE151" s="66"/>
      <c r="AF151" s="97" t="s">
        <v>628</v>
      </c>
      <c r="AG151" s="66"/>
      <c r="AH151" s="66" t="b">
        <v>0</v>
      </c>
      <c r="AI151" s="66">
        <v>0</v>
      </c>
      <c r="AJ151" s="97" t="s">
        <v>712</v>
      </c>
      <c r="AK151" s="66" t="b">
        <v>0</v>
      </c>
      <c r="AL151" s="66" t="s">
        <v>714</v>
      </c>
      <c r="AM151" s="66"/>
      <c r="AN151" s="97" t="s">
        <v>712</v>
      </c>
      <c r="AO151" s="66" t="b">
        <v>0</v>
      </c>
      <c r="AP151" s="66">
        <v>5</v>
      </c>
      <c r="AQ151" s="97" t="s">
        <v>699</v>
      </c>
      <c r="AR151" s="97" t="s">
        <v>717</v>
      </c>
      <c r="AS151" s="66" t="b">
        <v>0</v>
      </c>
      <c r="AT151" s="97" t="s">
        <v>699</v>
      </c>
      <c r="AU151" s="66" t="s">
        <v>241</v>
      </c>
      <c r="AV151" s="66">
        <v>0</v>
      </c>
      <c r="AW151" s="66">
        <v>0</v>
      </c>
      <c r="AX151" s="66"/>
      <c r="AY151" s="66"/>
      <c r="AZ151" s="66"/>
      <c r="BA151" s="66"/>
      <c r="BB151" s="66"/>
      <c r="BC151" s="66"/>
      <c r="BD151" s="66"/>
      <c r="BE151" s="66"/>
      <c r="BF151" s="45">
        <v>0</v>
      </c>
      <c r="BG151" s="46">
        <v>0</v>
      </c>
      <c r="BH151" s="45">
        <v>0</v>
      </c>
      <c r="BI151" s="46">
        <v>0</v>
      </c>
      <c r="BJ151" s="45">
        <v>0</v>
      </c>
      <c r="BK151" s="46">
        <v>0</v>
      </c>
      <c r="BL151" s="45">
        <v>16</v>
      </c>
      <c r="BM151" s="46">
        <v>51.61290322580645</v>
      </c>
      <c r="BN151" s="45">
        <v>31</v>
      </c>
    </row>
    <row r="152" spans="1:66" ht="15">
      <c r="A152" s="62" t="s">
        <v>297</v>
      </c>
      <c r="B152" s="62" t="s">
        <v>304</v>
      </c>
      <c r="C152" s="64" t="s">
        <v>1505</v>
      </c>
      <c r="D152" s="67">
        <v>4.75</v>
      </c>
      <c r="E152" s="68" t="s">
        <v>136</v>
      </c>
      <c r="F152" s="69">
        <v>31.235294117647058</v>
      </c>
      <c r="G152" s="64"/>
      <c r="H152" s="70"/>
      <c r="I152" s="71"/>
      <c r="J152" s="71"/>
      <c r="K152" s="31" t="s">
        <v>65</v>
      </c>
      <c r="L152" s="79">
        <v>152</v>
      </c>
      <c r="M152" s="79"/>
      <c r="N152" s="73"/>
      <c r="O152" s="66">
        <v>2</v>
      </c>
      <c r="P152" s="63" t="str">
        <f>REPLACE(INDEX(GroupVertices[Group],MATCH(Edges[[#This Row],[Vertex 1]],GroupVertices[Vertex],0)),1,1,"")</f>
        <v>1</v>
      </c>
      <c r="Q152" s="63" t="str">
        <f>REPLACE(INDEX(GroupVertices[Group],MATCH(Edges[[#This Row],[Vertex 2]],GroupVertices[Vertex],0)),1,1,"")</f>
        <v>5</v>
      </c>
      <c r="R152" s="66" t="s">
        <v>315</v>
      </c>
      <c r="S152" s="91">
        <v>44879.39241898148</v>
      </c>
      <c r="T152" s="66" t="s">
        <v>336</v>
      </c>
      <c r="U152" s="66"/>
      <c r="V152" s="66"/>
      <c r="W152" s="97" t="s">
        <v>421</v>
      </c>
      <c r="X152" s="94" t="str">
        <f>HYPERLINK("https://pbs.twimg.com/media/FhX_xegXoAIf7pk.jpg")</f>
        <v>https://pbs.twimg.com/media/FhX_xegXoAIf7pk.jpg</v>
      </c>
      <c r="Y152" s="94" t="str">
        <f>HYPERLINK("https://pbs.twimg.com/media/FhX_xegXoAIf7pk.jpg")</f>
        <v>https://pbs.twimg.com/media/FhX_xegXoAIf7pk.jpg</v>
      </c>
      <c r="Z152" s="91">
        <v>44879.39241898148</v>
      </c>
      <c r="AA152" s="100">
        <v>44879</v>
      </c>
      <c r="AB152" s="97" t="s">
        <v>496</v>
      </c>
      <c r="AC152" s="94" t="str">
        <f>HYPERLINK("https://twitter.com/hashtagmarketi7/status/1592086203792523264")</f>
        <v>https://twitter.com/hashtagmarketi7/status/1592086203792523264</v>
      </c>
      <c r="AD152" s="66"/>
      <c r="AE152" s="66"/>
      <c r="AF152" s="97" t="s">
        <v>629</v>
      </c>
      <c r="AG152" s="66"/>
      <c r="AH152" s="66" t="b">
        <v>0</v>
      </c>
      <c r="AI152" s="66">
        <v>0</v>
      </c>
      <c r="AJ152" s="97" t="s">
        <v>712</v>
      </c>
      <c r="AK152" s="66" t="b">
        <v>0</v>
      </c>
      <c r="AL152" s="66" t="s">
        <v>714</v>
      </c>
      <c r="AM152" s="66"/>
      <c r="AN152" s="97" t="s">
        <v>712</v>
      </c>
      <c r="AO152" s="66" t="b">
        <v>0</v>
      </c>
      <c r="AP152" s="66">
        <v>4</v>
      </c>
      <c r="AQ152" s="97" t="s">
        <v>639</v>
      </c>
      <c r="AR152" s="97" t="s">
        <v>717</v>
      </c>
      <c r="AS152" s="66" t="b">
        <v>0</v>
      </c>
      <c r="AT152" s="97" t="s">
        <v>639</v>
      </c>
      <c r="AU152" s="66" t="s">
        <v>241</v>
      </c>
      <c r="AV152" s="66">
        <v>0</v>
      </c>
      <c r="AW152" s="66">
        <v>0</v>
      </c>
      <c r="AX152" s="66"/>
      <c r="AY152" s="66"/>
      <c r="AZ152" s="66"/>
      <c r="BA152" s="66"/>
      <c r="BB152" s="66"/>
      <c r="BC152" s="66"/>
      <c r="BD152" s="66"/>
      <c r="BE152" s="66"/>
      <c r="BF152" s="45">
        <v>1</v>
      </c>
      <c r="BG152" s="46">
        <v>7.6923076923076925</v>
      </c>
      <c r="BH152" s="45">
        <v>0</v>
      </c>
      <c r="BI152" s="46">
        <v>0</v>
      </c>
      <c r="BJ152" s="45">
        <v>0</v>
      </c>
      <c r="BK152" s="46">
        <v>0</v>
      </c>
      <c r="BL152" s="45">
        <v>7</v>
      </c>
      <c r="BM152" s="46">
        <v>53.84615384615385</v>
      </c>
      <c r="BN152" s="45">
        <v>13</v>
      </c>
    </row>
    <row r="153" spans="1:66" ht="15">
      <c r="A153" s="62" t="s">
        <v>297</v>
      </c>
      <c r="B153" s="62" t="s">
        <v>304</v>
      </c>
      <c r="C153" s="64" t="s">
        <v>1505</v>
      </c>
      <c r="D153" s="67">
        <v>4.75</v>
      </c>
      <c r="E153" s="68" t="s">
        <v>136</v>
      </c>
      <c r="F153" s="69">
        <v>31.235294117647058</v>
      </c>
      <c r="G153" s="64"/>
      <c r="H153" s="70"/>
      <c r="I153" s="71"/>
      <c r="J153" s="71"/>
      <c r="K153" s="31" t="s">
        <v>65</v>
      </c>
      <c r="L153" s="79">
        <v>153</v>
      </c>
      <c r="M153" s="79"/>
      <c r="N153" s="73"/>
      <c r="O153" s="66">
        <v>2</v>
      </c>
      <c r="P153" s="63" t="str">
        <f>REPLACE(INDEX(GroupVertices[Group],MATCH(Edges[[#This Row],[Vertex 1]],GroupVertices[Vertex],0)),1,1,"")</f>
        <v>1</v>
      </c>
      <c r="Q153" s="63" t="str">
        <f>REPLACE(INDEX(GroupVertices[Group],MATCH(Edges[[#This Row],[Vertex 2]],GroupVertices[Vertex],0)),1,1,"")</f>
        <v>5</v>
      </c>
      <c r="R153" s="66" t="s">
        <v>315</v>
      </c>
      <c r="S153" s="91">
        <v>44879.39246527778</v>
      </c>
      <c r="T153" s="66" t="s">
        <v>318</v>
      </c>
      <c r="U153" s="66"/>
      <c r="V153" s="66"/>
      <c r="W153" s="97" t="s">
        <v>421</v>
      </c>
      <c r="X153" s="94" t="str">
        <f>HYPERLINK("https://pbs.twimg.com/media/FhWdWZuXwAAO13Y.jpg")</f>
        <v>https://pbs.twimg.com/media/FhWdWZuXwAAO13Y.jpg</v>
      </c>
      <c r="Y153" s="94" t="str">
        <f>HYPERLINK("https://pbs.twimg.com/media/FhWdWZuXwAAO13Y.jpg")</f>
        <v>https://pbs.twimg.com/media/FhWdWZuXwAAO13Y.jpg</v>
      </c>
      <c r="Z153" s="91">
        <v>44879.39246527778</v>
      </c>
      <c r="AA153" s="100">
        <v>44879</v>
      </c>
      <c r="AB153" s="97" t="s">
        <v>497</v>
      </c>
      <c r="AC153" s="94" t="str">
        <f>HYPERLINK("https://twitter.com/hashtagmarketi7/status/1592086220389376000")</f>
        <v>https://twitter.com/hashtagmarketi7/status/1592086220389376000</v>
      </c>
      <c r="AD153" s="66"/>
      <c r="AE153" s="66"/>
      <c r="AF153" s="97" t="s">
        <v>630</v>
      </c>
      <c r="AG153" s="66"/>
      <c r="AH153" s="66" t="b">
        <v>0</v>
      </c>
      <c r="AI153" s="66">
        <v>0</v>
      </c>
      <c r="AJ153" s="97" t="s">
        <v>712</v>
      </c>
      <c r="AK153" s="66" t="b">
        <v>0</v>
      </c>
      <c r="AL153" s="66" t="s">
        <v>714</v>
      </c>
      <c r="AM153" s="66"/>
      <c r="AN153" s="97" t="s">
        <v>712</v>
      </c>
      <c r="AO153" s="66" t="b">
        <v>0</v>
      </c>
      <c r="AP153" s="66">
        <v>6</v>
      </c>
      <c r="AQ153" s="97" t="s">
        <v>638</v>
      </c>
      <c r="AR153" s="97" t="s">
        <v>717</v>
      </c>
      <c r="AS153" s="66" t="b">
        <v>0</v>
      </c>
      <c r="AT153" s="97" t="s">
        <v>638</v>
      </c>
      <c r="AU153" s="66" t="s">
        <v>241</v>
      </c>
      <c r="AV153" s="66">
        <v>0</v>
      </c>
      <c r="AW153" s="66">
        <v>0</v>
      </c>
      <c r="AX153" s="66"/>
      <c r="AY153" s="66"/>
      <c r="AZ153" s="66"/>
      <c r="BA153" s="66"/>
      <c r="BB153" s="66"/>
      <c r="BC153" s="66"/>
      <c r="BD153" s="66"/>
      <c r="BE153" s="66"/>
      <c r="BF153" s="45">
        <v>0</v>
      </c>
      <c r="BG153" s="46">
        <v>0</v>
      </c>
      <c r="BH153" s="45">
        <v>0</v>
      </c>
      <c r="BI153" s="46">
        <v>0</v>
      </c>
      <c r="BJ153" s="45">
        <v>0</v>
      </c>
      <c r="BK153" s="46">
        <v>0</v>
      </c>
      <c r="BL153" s="45">
        <v>5</v>
      </c>
      <c r="BM153" s="46">
        <v>83.33333333333333</v>
      </c>
      <c r="BN153" s="45">
        <v>6</v>
      </c>
    </row>
    <row r="154" spans="1:66" ht="15">
      <c r="A154" s="62" t="s">
        <v>297</v>
      </c>
      <c r="B154" s="62" t="s">
        <v>305</v>
      </c>
      <c r="C154" s="64" t="s">
        <v>1506</v>
      </c>
      <c r="D154" s="67">
        <v>6.5</v>
      </c>
      <c r="E154" s="68" t="s">
        <v>136</v>
      </c>
      <c r="F154" s="69">
        <v>30.470588235294116</v>
      </c>
      <c r="G154" s="64"/>
      <c r="H154" s="70"/>
      <c r="I154" s="71"/>
      <c r="J154" s="71"/>
      <c r="K154" s="31" t="s">
        <v>65</v>
      </c>
      <c r="L154" s="79">
        <v>154</v>
      </c>
      <c r="M154" s="79"/>
      <c r="N154" s="73"/>
      <c r="O154" s="66">
        <v>3</v>
      </c>
      <c r="P154" s="63" t="str">
        <f>REPLACE(INDEX(GroupVertices[Group],MATCH(Edges[[#This Row],[Vertex 1]],GroupVertices[Vertex],0)),1,1,"")</f>
        <v>1</v>
      </c>
      <c r="Q154" s="63" t="str">
        <f>REPLACE(INDEX(GroupVertices[Group],MATCH(Edges[[#This Row],[Vertex 2]],GroupVertices[Vertex],0)),1,1,"")</f>
        <v>4</v>
      </c>
      <c r="R154" s="66" t="s">
        <v>315</v>
      </c>
      <c r="S154" s="91">
        <v>44879.52197916667</v>
      </c>
      <c r="T154" s="66" t="s">
        <v>343</v>
      </c>
      <c r="U154" s="94" t="str">
        <f>HYPERLINK("https://youtu.be/erkbGlWtX3Q")</f>
        <v>https://youtu.be/erkbGlWtX3Q</v>
      </c>
      <c r="V154" s="66" t="s">
        <v>406</v>
      </c>
      <c r="W154" s="97" t="s">
        <v>427</v>
      </c>
      <c r="X154" s="66"/>
      <c r="Y154" s="94" t="str">
        <f>HYPERLINK("https://pbs.twimg.com/profile_images/1487756429276684289/Kqq9xAOb_normal.png")</f>
        <v>https://pbs.twimg.com/profile_images/1487756429276684289/Kqq9xAOb_normal.png</v>
      </c>
      <c r="Z154" s="91">
        <v>44879.52197916667</v>
      </c>
      <c r="AA154" s="100">
        <v>44879</v>
      </c>
      <c r="AB154" s="97" t="s">
        <v>498</v>
      </c>
      <c r="AC154" s="94" t="str">
        <f>HYPERLINK("https://twitter.com/hashtagmarketi7/status/1592133155351592960")</f>
        <v>https://twitter.com/hashtagmarketi7/status/1592133155351592960</v>
      </c>
      <c r="AD154" s="66"/>
      <c r="AE154" s="66"/>
      <c r="AF154" s="97" t="s">
        <v>631</v>
      </c>
      <c r="AG154" s="66"/>
      <c r="AH154" s="66" t="b">
        <v>0</v>
      </c>
      <c r="AI154" s="66">
        <v>0</v>
      </c>
      <c r="AJ154" s="97" t="s">
        <v>712</v>
      </c>
      <c r="AK154" s="66" t="b">
        <v>0</v>
      </c>
      <c r="AL154" s="66" t="s">
        <v>714</v>
      </c>
      <c r="AM154" s="66"/>
      <c r="AN154" s="97" t="s">
        <v>712</v>
      </c>
      <c r="AO154" s="66" t="b">
        <v>0</v>
      </c>
      <c r="AP154" s="66">
        <v>1</v>
      </c>
      <c r="AQ154" s="97" t="s">
        <v>693</v>
      </c>
      <c r="AR154" s="97" t="s">
        <v>719</v>
      </c>
      <c r="AS154" s="66" t="b">
        <v>0</v>
      </c>
      <c r="AT154" s="97" t="s">
        <v>693</v>
      </c>
      <c r="AU154" s="66" t="s">
        <v>241</v>
      </c>
      <c r="AV154" s="66">
        <v>0</v>
      </c>
      <c r="AW154" s="66">
        <v>0</v>
      </c>
      <c r="AX154" s="66"/>
      <c r="AY154" s="66"/>
      <c r="AZ154" s="66"/>
      <c r="BA154" s="66"/>
      <c r="BB154" s="66"/>
      <c r="BC154" s="66"/>
      <c r="BD154" s="66"/>
      <c r="BE154" s="66"/>
      <c r="BF154" s="45">
        <v>0</v>
      </c>
      <c r="BG154" s="46">
        <v>0</v>
      </c>
      <c r="BH154" s="45">
        <v>0</v>
      </c>
      <c r="BI154" s="46">
        <v>0</v>
      </c>
      <c r="BJ154" s="45">
        <v>0</v>
      </c>
      <c r="BK154" s="46">
        <v>0</v>
      </c>
      <c r="BL154" s="45">
        <v>8</v>
      </c>
      <c r="BM154" s="46">
        <v>80</v>
      </c>
      <c r="BN154" s="45">
        <v>10</v>
      </c>
    </row>
    <row r="155" spans="1:66" ht="15">
      <c r="A155" s="62" t="s">
        <v>298</v>
      </c>
      <c r="B155" s="62" t="s">
        <v>297</v>
      </c>
      <c r="C155" s="64" t="s">
        <v>1506</v>
      </c>
      <c r="D155" s="67">
        <v>6.5</v>
      </c>
      <c r="E155" s="68" t="s">
        <v>136</v>
      </c>
      <c r="F155" s="69">
        <v>30.470588235294116</v>
      </c>
      <c r="G155" s="64"/>
      <c r="H155" s="70"/>
      <c r="I155" s="71"/>
      <c r="J155" s="71"/>
      <c r="K155" s="31" t="s">
        <v>66</v>
      </c>
      <c r="L155" s="79">
        <v>155</v>
      </c>
      <c r="M155" s="79"/>
      <c r="N155" s="73"/>
      <c r="O155" s="66">
        <v>3</v>
      </c>
      <c r="P155" s="63" t="str">
        <f>REPLACE(INDEX(GroupVertices[Group],MATCH(Edges[[#This Row],[Vertex 1]],GroupVertices[Vertex],0)),1,1,"")</f>
        <v>2</v>
      </c>
      <c r="Q155" s="63" t="str">
        <f>REPLACE(INDEX(GroupVertices[Group],MATCH(Edges[[#This Row],[Vertex 2]],GroupVertices[Vertex],0)),1,1,"")</f>
        <v>1</v>
      </c>
      <c r="R155" s="66" t="s">
        <v>315</v>
      </c>
      <c r="S155" s="91">
        <v>44877.526192129626</v>
      </c>
      <c r="T155" s="66" t="s">
        <v>321</v>
      </c>
      <c r="U155" s="94" t="str">
        <f>HYPERLINK("https://www.youtube.com/watch?v=xb0JCOgMsXc&amp;feature=youtu.be")</f>
        <v>https://www.youtube.com/watch?v=xb0JCOgMsXc&amp;feature=youtu.be</v>
      </c>
      <c r="V155" s="66" t="s">
        <v>403</v>
      </c>
      <c r="W155" s="97" t="s">
        <v>424</v>
      </c>
      <c r="X155" s="94" t="str">
        <f>HYPERLINK("https://pbs.twimg.com/media/FhW7ZTpXkAAZ4Hh.jpg")</f>
        <v>https://pbs.twimg.com/media/FhW7ZTpXkAAZ4Hh.jpg</v>
      </c>
      <c r="Y155" s="94" t="str">
        <f>HYPERLINK("https://pbs.twimg.com/media/FhW7ZTpXkAAZ4Hh.jpg")</f>
        <v>https://pbs.twimg.com/media/FhW7ZTpXkAAZ4Hh.jpg</v>
      </c>
      <c r="Z155" s="91">
        <v>44877.526192129626</v>
      </c>
      <c r="AA155" s="100">
        <v>44877</v>
      </c>
      <c r="AB155" s="97" t="s">
        <v>469</v>
      </c>
      <c r="AC155" s="94" t="str">
        <f>HYPERLINK("https://twitter.com/transvisionmad1/status/1591409908440002562")</f>
        <v>https://twitter.com/transvisionmad1/status/1591409908440002562</v>
      </c>
      <c r="AD155" s="66"/>
      <c r="AE155" s="66"/>
      <c r="AF155" s="97" t="s">
        <v>602</v>
      </c>
      <c r="AG155" s="66"/>
      <c r="AH155" s="66" t="b">
        <v>0</v>
      </c>
      <c r="AI155" s="66">
        <v>0</v>
      </c>
      <c r="AJ155" s="97" t="s">
        <v>712</v>
      </c>
      <c r="AK155" s="66" t="b">
        <v>0</v>
      </c>
      <c r="AL155" s="66" t="s">
        <v>715</v>
      </c>
      <c r="AM155" s="66"/>
      <c r="AN155" s="97" t="s">
        <v>712</v>
      </c>
      <c r="AO155" s="66" t="b">
        <v>0</v>
      </c>
      <c r="AP155" s="66">
        <v>5</v>
      </c>
      <c r="AQ155" s="97" t="s">
        <v>601</v>
      </c>
      <c r="AR155" s="97" t="s">
        <v>717</v>
      </c>
      <c r="AS155" s="66" t="b">
        <v>0</v>
      </c>
      <c r="AT155" s="97" t="s">
        <v>601</v>
      </c>
      <c r="AU155" s="66" t="s">
        <v>241</v>
      </c>
      <c r="AV155" s="66">
        <v>0</v>
      </c>
      <c r="AW155" s="66">
        <v>0</v>
      </c>
      <c r="AX155" s="66"/>
      <c r="AY155" s="66"/>
      <c r="AZ155" s="66"/>
      <c r="BA155" s="66"/>
      <c r="BB155" s="66"/>
      <c r="BC155" s="66"/>
      <c r="BD155" s="66"/>
      <c r="BE155" s="66"/>
      <c r="BF155" s="45">
        <v>0</v>
      </c>
      <c r="BG155" s="46">
        <v>0</v>
      </c>
      <c r="BH155" s="45">
        <v>0</v>
      </c>
      <c r="BI155" s="46">
        <v>0</v>
      </c>
      <c r="BJ155" s="45">
        <v>0</v>
      </c>
      <c r="BK155" s="46">
        <v>0</v>
      </c>
      <c r="BL155" s="45">
        <v>21</v>
      </c>
      <c r="BM155" s="46">
        <v>91.30434782608695</v>
      </c>
      <c r="BN155" s="45">
        <v>23</v>
      </c>
    </row>
    <row r="156" spans="1:66" ht="15">
      <c r="A156" s="62" t="s">
        <v>298</v>
      </c>
      <c r="B156" s="62" t="s">
        <v>297</v>
      </c>
      <c r="C156" s="64" t="s">
        <v>1506</v>
      </c>
      <c r="D156" s="67">
        <v>6.5</v>
      </c>
      <c r="E156" s="68" t="s">
        <v>136</v>
      </c>
      <c r="F156" s="69">
        <v>30.470588235294116</v>
      </c>
      <c r="G156" s="64"/>
      <c r="H156" s="70"/>
      <c r="I156" s="71"/>
      <c r="J156" s="71"/>
      <c r="K156" s="31" t="s">
        <v>66</v>
      </c>
      <c r="L156" s="79">
        <v>156</v>
      </c>
      <c r="M156" s="79"/>
      <c r="N156" s="73"/>
      <c r="O156" s="66">
        <v>3</v>
      </c>
      <c r="P156" s="63" t="str">
        <f>REPLACE(INDEX(GroupVertices[Group],MATCH(Edges[[#This Row],[Vertex 1]],GroupVertices[Vertex],0)),1,1,"")</f>
        <v>2</v>
      </c>
      <c r="Q156" s="63" t="str">
        <f>REPLACE(INDEX(GroupVertices[Group],MATCH(Edges[[#This Row],[Vertex 2]],GroupVertices[Vertex],0)),1,1,"")</f>
        <v>1</v>
      </c>
      <c r="R156" s="66" t="s">
        <v>315</v>
      </c>
      <c r="S156" s="91">
        <v>44877.60612268518</v>
      </c>
      <c r="T156" s="66" t="s">
        <v>325</v>
      </c>
      <c r="U156" s="94" t="str">
        <f>HYPERLINK("https://youtu.be/erkbGlWtX3Q")</f>
        <v>https://youtu.be/erkbGlWtX3Q</v>
      </c>
      <c r="V156" s="66" t="s">
        <v>406</v>
      </c>
      <c r="W156" s="97" t="s">
        <v>427</v>
      </c>
      <c r="X156" s="66"/>
      <c r="Y156" s="94" t="str">
        <f>HYPERLINK("https://pbs.twimg.com/profile_images/1416462775400927235/DSrY8TK-_normal.jpg")</f>
        <v>https://pbs.twimg.com/profile_images/1416462775400927235/DSrY8TK-_normal.jpg</v>
      </c>
      <c r="Z156" s="91">
        <v>44877.60612268518</v>
      </c>
      <c r="AA156" s="100">
        <v>44877</v>
      </c>
      <c r="AB156" s="97" t="s">
        <v>499</v>
      </c>
      <c r="AC156" s="94" t="str">
        <f>HYPERLINK("https://twitter.com/transvisionmad1/status/1591438873585917952")</f>
        <v>https://twitter.com/transvisionmad1/status/1591438873585917952</v>
      </c>
      <c r="AD156" s="66"/>
      <c r="AE156" s="66"/>
      <c r="AF156" s="97" t="s">
        <v>632</v>
      </c>
      <c r="AG156" s="66"/>
      <c r="AH156" s="66" t="b">
        <v>0</v>
      </c>
      <c r="AI156" s="66">
        <v>0</v>
      </c>
      <c r="AJ156" s="97" t="s">
        <v>712</v>
      </c>
      <c r="AK156" s="66" t="b">
        <v>0</v>
      </c>
      <c r="AL156" s="66" t="s">
        <v>714</v>
      </c>
      <c r="AM156" s="66"/>
      <c r="AN156" s="97" t="s">
        <v>712</v>
      </c>
      <c r="AO156" s="66" t="b">
        <v>0</v>
      </c>
      <c r="AP156" s="66">
        <v>3</v>
      </c>
      <c r="AQ156" s="97" t="s">
        <v>626</v>
      </c>
      <c r="AR156" s="97" t="s">
        <v>717</v>
      </c>
      <c r="AS156" s="66" t="b">
        <v>0</v>
      </c>
      <c r="AT156" s="97" t="s">
        <v>626</v>
      </c>
      <c r="AU156" s="66" t="s">
        <v>241</v>
      </c>
      <c r="AV156" s="66">
        <v>0</v>
      </c>
      <c r="AW156" s="66">
        <v>0</v>
      </c>
      <c r="AX156" s="66"/>
      <c r="AY156" s="66"/>
      <c r="AZ156" s="66"/>
      <c r="BA156" s="66"/>
      <c r="BB156" s="66"/>
      <c r="BC156" s="66"/>
      <c r="BD156" s="66"/>
      <c r="BE156" s="66"/>
      <c r="BF156" s="45">
        <v>0</v>
      </c>
      <c r="BG156" s="46">
        <v>0</v>
      </c>
      <c r="BH156" s="45">
        <v>0</v>
      </c>
      <c r="BI156" s="46">
        <v>0</v>
      </c>
      <c r="BJ156" s="45">
        <v>0</v>
      </c>
      <c r="BK156" s="46">
        <v>0</v>
      </c>
      <c r="BL156" s="45">
        <v>8</v>
      </c>
      <c r="BM156" s="46">
        <v>80</v>
      </c>
      <c r="BN156" s="45">
        <v>10</v>
      </c>
    </row>
    <row r="157" spans="1:66" ht="15">
      <c r="A157" s="62" t="s">
        <v>298</v>
      </c>
      <c r="B157" s="62" t="s">
        <v>297</v>
      </c>
      <c r="C157" s="64" t="s">
        <v>1506</v>
      </c>
      <c r="D157" s="67">
        <v>6.5</v>
      </c>
      <c r="E157" s="68" t="s">
        <v>136</v>
      </c>
      <c r="F157" s="69">
        <v>30.470588235294116</v>
      </c>
      <c r="G157" s="64"/>
      <c r="H157" s="70"/>
      <c r="I157" s="71"/>
      <c r="J157" s="71"/>
      <c r="K157" s="31" t="s">
        <v>66</v>
      </c>
      <c r="L157" s="79">
        <v>157</v>
      </c>
      <c r="M157" s="79"/>
      <c r="N157" s="73"/>
      <c r="O157" s="66">
        <v>3</v>
      </c>
      <c r="P157" s="63" t="str">
        <f>REPLACE(INDEX(GroupVertices[Group],MATCH(Edges[[#This Row],[Vertex 1]],GroupVertices[Vertex],0)),1,1,"")</f>
        <v>2</v>
      </c>
      <c r="Q157" s="63" t="str">
        <f>REPLACE(INDEX(GroupVertices[Group],MATCH(Edges[[#This Row],[Vertex 2]],GroupVertices[Vertex],0)),1,1,"")</f>
        <v>1</v>
      </c>
      <c r="R157" s="66" t="s">
        <v>315</v>
      </c>
      <c r="S157" s="91">
        <v>44877.606203703705</v>
      </c>
      <c r="T157" s="66" t="s">
        <v>340</v>
      </c>
      <c r="U157" s="94" t="str">
        <f>HYPERLINK("https://twitter.com/kgomotsegoRam/status/1591376302753607680")</f>
        <v>https://twitter.com/kgomotsegoRam/status/1591376302753607680</v>
      </c>
      <c r="V157" s="66" t="s">
        <v>411</v>
      </c>
      <c r="W157" s="97" t="s">
        <v>421</v>
      </c>
      <c r="X157" s="94" t="str">
        <f>HYPERLINK("https://pbs.twimg.com/media/FhXmbl-XkAUqSzZ.jpg")</f>
        <v>https://pbs.twimg.com/media/FhXmbl-XkAUqSzZ.jpg</v>
      </c>
      <c r="Y157" s="94" t="str">
        <f>HYPERLINK("https://pbs.twimg.com/media/FhXmbl-XkAUqSzZ.jpg")</f>
        <v>https://pbs.twimg.com/media/FhXmbl-XkAUqSzZ.jpg</v>
      </c>
      <c r="Z157" s="91">
        <v>44877.606203703705</v>
      </c>
      <c r="AA157" s="100">
        <v>44877</v>
      </c>
      <c r="AB157" s="97" t="s">
        <v>488</v>
      </c>
      <c r="AC157" s="94" t="str">
        <f>HYPERLINK("https://twitter.com/transvisionmad1/status/1591438903516561414")</f>
        <v>https://twitter.com/transvisionmad1/status/1591438903516561414</v>
      </c>
      <c r="AD157" s="66"/>
      <c r="AE157" s="66"/>
      <c r="AF157" s="97" t="s">
        <v>621</v>
      </c>
      <c r="AG157" s="66"/>
      <c r="AH157" s="66" t="b">
        <v>0</v>
      </c>
      <c r="AI157" s="66">
        <v>0</v>
      </c>
      <c r="AJ157" s="97" t="s">
        <v>712</v>
      </c>
      <c r="AK157" s="66" t="b">
        <v>1</v>
      </c>
      <c r="AL157" s="66" t="s">
        <v>714</v>
      </c>
      <c r="AM157" s="66"/>
      <c r="AN157" s="97" t="s">
        <v>716</v>
      </c>
      <c r="AO157" s="66" t="b">
        <v>0</v>
      </c>
      <c r="AP157" s="66">
        <v>2</v>
      </c>
      <c r="AQ157" s="97" t="s">
        <v>620</v>
      </c>
      <c r="AR157" s="97" t="s">
        <v>717</v>
      </c>
      <c r="AS157" s="66" t="b">
        <v>0</v>
      </c>
      <c r="AT157" s="97" t="s">
        <v>620</v>
      </c>
      <c r="AU157" s="66" t="s">
        <v>241</v>
      </c>
      <c r="AV157" s="66">
        <v>0</v>
      </c>
      <c r="AW157" s="66">
        <v>0</v>
      </c>
      <c r="AX157" s="66"/>
      <c r="AY157" s="66"/>
      <c r="AZ157" s="66"/>
      <c r="BA157" s="66"/>
      <c r="BB157" s="66"/>
      <c r="BC157" s="66"/>
      <c r="BD157" s="66"/>
      <c r="BE157" s="66"/>
      <c r="BF157" s="45"/>
      <c r="BG157" s="46"/>
      <c r="BH157" s="45"/>
      <c r="BI157" s="46"/>
      <c r="BJ157" s="45"/>
      <c r="BK157" s="46"/>
      <c r="BL157" s="45"/>
      <c r="BM157" s="46"/>
      <c r="BN157" s="45"/>
    </row>
    <row r="158" spans="1:66" ht="15">
      <c r="A158" s="62" t="s">
        <v>300</v>
      </c>
      <c r="B158" s="62" t="s">
        <v>307</v>
      </c>
      <c r="C158" s="64" t="s">
        <v>1504</v>
      </c>
      <c r="D158" s="67">
        <v>3</v>
      </c>
      <c r="E158" s="68" t="s">
        <v>132</v>
      </c>
      <c r="F158" s="69">
        <v>32</v>
      </c>
      <c r="G158" s="64"/>
      <c r="H158" s="70"/>
      <c r="I158" s="71"/>
      <c r="J158" s="71"/>
      <c r="K158" s="31" t="s">
        <v>65</v>
      </c>
      <c r="L158" s="79">
        <v>158</v>
      </c>
      <c r="M158" s="79"/>
      <c r="N158" s="73"/>
      <c r="O158" s="66">
        <v>1</v>
      </c>
      <c r="P158" s="63" t="str">
        <f>REPLACE(INDEX(GroupVertices[Group],MATCH(Edges[[#This Row],[Vertex 1]],GroupVertices[Vertex],0)),1,1,"")</f>
        <v>3</v>
      </c>
      <c r="Q158" s="63" t="str">
        <f>REPLACE(INDEX(GroupVertices[Group],MATCH(Edges[[#This Row],[Vertex 2]],GroupVertices[Vertex],0)),1,1,"")</f>
        <v>3</v>
      </c>
      <c r="R158" s="66" t="s">
        <v>316</v>
      </c>
      <c r="S158" s="91">
        <v>44877.94027777778</v>
      </c>
      <c r="T158" s="66" t="s">
        <v>320</v>
      </c>
      <c r="U158" s="94" t="str">
        <f>HYPERLINK("https://www.youtube.com/watch?v=xb0JCOgMsXc&amp;feature=youtu.be")</f>
        <v>https://www.youtube.com/watch?v=xb0JCOgMsXc&amp;feature=youtu.be</v>
      </c>
      <c r="V158" s="66" t="s">
        <v>403</v>
      </c>
      <c r="W158" s="97" t="s">
        <v>423</v>
      </c>
      <c r="X158" s="94" t="str">
        <f>HYPERLINK("https://pbs.twimg.com/media/FhWu7YzX0AEJMfI.png")</f>
        <v>https://pbs.twimg.com/media/FhWu7YzX0AEJMfI.png</v>
      </c>
      <c r="Y158" s="94" t="str">
        <f>HYPERLINK("https://pbs.twimg.com/media/FhWu7YzX0AEJMfI.png")</f>
        <v>https://pbs.twimg.com/media/FhWu7YzX0AEJMfI.png</v>
      </c>
      <c r="Z158" s="91">
        <v>44877.94027777778</v>
      </c>
      <c r="AA158" s="100">
        <v>44877</v>
      </c>
      <c r="AB158" s="97" t="s">
        <v>471</v>
      </c>
      <c r="AC158" s="94" t="str">
        <f>HYPERLINK("https://twitter.com/javiercremades/status/1591559965898330113")</f>
        <v>https://twitter.com/javiercremades/status/1591559965898330113</v>
      </c>
      <c r="AD158" s="66"/>
      <c r="AE158" s="66"/>
      <c r="AF158" s="97" t="s">
        <v>604</v>
      </c>
      <c r="AG158" s="66"/>
      <c r="AH158" s="66" t="b">
        <v>0</v>
      </c>
      <c r="AI158" s="66">
        <v>0</v>
      </c>
      <c r="AJ158" s="97" t="s">
        <v>712</v>
      </c>
      <c r="AK158" s="66" t="b">
        <v>0</v>
      </c>
      <c r="AL158" s="66" t="s">
        <v>715</v>
      </c>
      <c r="AM158" s="66"/>
      <c r="AN158" s="97" t="s">
        <v>712</v>
      </c>
      <c r="AO158" s="66" t="b">
        <v>0</v>
      </c>
      <c r="AP158" s="66">
        <v>5</v>
      </c>
      <c r="AQ158" s="97" t="s">
        <v>613</v>
      </c>
      <c r="AR158" s="97" t="s">
        <v>718</v>
      </c>
      <c r="AS158" s="66" t="b">
        <v>0</v>
      </c>
      <c r="AT158" s="97" t="s">
        <v>613</v>
      </c>
      <c r="AU158" s="66" t="s">
        <v>241</v>
      </c>
      <c r="AV158" s="66">
        <v>0</v>
      </c>
      <c r="AW158" s="66">
        <v>0</v>
      </c>
      <c r="AX158" s="66"/>
      <c r="AY158" s="66"/>
      <c r="AZ158" s="66"/>
      <c r="BA158" s="66"/>
      <c r="BB158" s="66"/>
      <c r="BC158" s="66"/>
      <c r="BD158" s="66"/>
      <c r="BE158" s="66"/>
      <c r="BF158" s="45"/>
      <c r="BG158" s="46"/>
      <c r="BH158" s="45"/>
      <c r="BI158" s="46"/>
      <c r="BJ158" s="45"/>
      <c r="BK158" s="46"/>
      <c r="BL158" s="45"/>
      <c r="BM158" s="46"/>
      <c r="BN158" s="45"/>
    </row>
    <row r="159" spans="1:66" ht="15">
      <c r="A159" s="62" t="s">
        <v>298</v>
      </c>
      <c r="B159" s="62" t="s">
        <v>307</v>
      </c>
      <c r="C159" s="64" t="s">
        <v>1507</v>
      </c>
      <c r="D159" s="67">
        <v>8.25</v>
      </c>
      <c r="E159" s="68" t="s">
        <v>136</v>
      </c>
      <c r="F159" s="69">
        <v>29.705882352941178</v>
      </c>
      <c r="G159" s="64"/>
      <c r="H159" s="70"/>
      <c r="I159" s="71"/>
      <c r="J159" s="71"/>
      <c r="K159" s="31" t="s">
        <v>65</v>
      </c>
      <c r="L159" s="79">
        <v>159</v>
      </c>
      <c r="M159" s="79"/>
      <c r="N159" s="73"/>
      <c r="O159" s="66">
        <v>4</v>
      </c>
      <c r="P159" s="63" t="str">
        <f>REPLACE(INDEX(GroupVertices[Group],MATCH(Edges[[#This Row],[Vertex 1]],GroupVertices[Vertex],0)),1,1,"")</f>
        <v>2</v>
      </c>
      <c r="Q159" s="63" t="str">
        <f>REPLACE(INDEX(GroupVertices[Group],MATCH(Edges[[#This Row],[Vertex 2]],GroupVertices[Vertex],0)),1,1,"")</f>
        <v>3</v>
      </c>
      <c r="R159" s="66" t="s">
        <v>317</v>
      </c>
      <c r="S159" s="91">
        <v>44877.40723379629</v>
      </c>
      <c r="T159" s="66" t="s">
        <v>341</v>
      </c>
      <c r="U159" s="94" t="str">
        <f>HYPERLINK("https://www.youtube.com/watch?v=xb0JCOgMsXc")</f>
        <v>https://www.youtube.com/watch?v=xb0JCOgMsXc</v>
      </c>
      <c r="V159" s="66" t="s">
        <v>403</v>
      </c>
      <c r="W159" s="97" t="s">
        <v>421</v>
      </c>
      <c r="X159" s="66"/>
      <c r="Y159" s="94" t="str">
        <f>HYPERLINK("https://pbs.twimg.com/profile_images/1416462775400927235/DSrY8TK-_normal.jpg")</f>
        <v>https://pbs.twimg.com/profile_images/1416462775400927235/DSrY8TK-_normal.jpg</v>
      </c>
      <c r="Z159" s="91">
        <v>44877.40723379629</v>
      </c>
      <c r="AA159" s="100">
        <v>44877</v>
      </c>
      <c r="AB159" s="97" t="s">
        <v>500</v>
      </c>
      <c r="AC159" s="94" t="str">
        <f>HYPERLINK("https://twitter.com/transvisionmad1/status/1591366796648808449")</f>
        <v>https://twitter.com/transvisionmad1/status/1591366796648808449</v>
      </c>
      <c r="AD159" s="66"/>
      <c r="AE159" s="66"/>
      <c r="AF159" s="97" t="s">
        <v>633</v>
      </c>
      <c r="AG159" s="66"/>
      <c r="AH159" s="66" t="b">
        <v>0</v>
      </c>
      <c r="AI159" s="66">
        <v>3</v>
      </c>
      <c r="AJ159" s="97" t="s">
        <v>712</v>
      </c>
      <c r="AK159" s="66" t="b">
        <v>0</v>
      </c>
      <c r="AL159" s="66" t="s">
        <v>715</v>
      </c>
      <c r="AM159" s="66"/>
      <c r="AN159" s="97" t="s">
        <v>712</v>
      </c>
      <c r="AO159" s="66" t="b">
        <v>0</v>
      </c>
      <c r="AP159" s="66">
        <v>1</v>
      </c>
      <c r="AQ159" s="97" t="s">
        <v>712</v>
      </c>
      <c r="AR159" s="97" t="s">
        <v>717</v>
      </c>
      <c r="AS159" s="66" t="b">
        <v>0</v>
      </c>
      <c r="AT159" s="97" t="s">
        <v>633</v>
      </c>
      <c r="AU159" s="66" t="s">
        <v>241</v>
      </c>
      <c r="AV159" s="66">
        <v>0</v>
      </c>
      <c r="AW159" s="66">
        <v>0</v>
      </c>
      <c r="AX159" s="66"/>
      <c r="AY159" s="66"/>
      <c r="AZ159" s="66"/>
      <c r="BA159" s="66"/>
      <c r="BB159" s="66"/>
      <c r="BC159" s="66"/>
      <c r="BD159" s="66"/>
      <c r="BE159" s="66"/>
      <c r="BF159" s="45"/>
      <c r="BG159" s="46"/>
      <c r="BH159" s="45"/>
      <c r="BI159" s="46"/>
      <c r="BJ159" s="45"/>
      <c r="BK159" s="46"/>
      <c r="BL159" s="45"/>
      <c r="BM159" s="46"/>
      <c r="BN159" s="45"/>
    </row>
    <row r="160" spans="1:66" ht="15">
      <c r="A160" s="62" t="s">
        <v>298</v>
      </c>
      <c r="B160" s="62" t="s">
        <v>307</v>
      </c>
      <c r="C160" s="64" t="s">
        <v>1507</v>
      </c>
      <c r="D160" s="67">
        <v>8.25</v>
      </c>
      <c r="E160" s="68" t="s">
        <v>136</v>
      </c>
      <c r="F160" s="69">
        <v>29.705882352941178</v>
      </c>
      <c r="G160" s="64"/>
      <c r="H160" s="70"/>
      <c r="I160" s="71"/>
      <c r="J160" s="71"/>
      <c r="K160" s="31" t="s">
        <v>65</v>
      </c>
      <c r="L160" s="79">
        <v>160</v>
      </c>
      <c r="M160" s="79"/>
      <c r="N160" s="73"/>
      <c r="O160" s="66">
        <v>4</v>
      </c>
      <c r="P160" s="63" t="str">
        <f>REPLACE(INDEX(GroupVertices[Group],MATCH(Edges[[#This Row],[Vertex 1]],GroupVertices[Vertex],0)),1,1,"")</f>
        <v>2</v>
      </c>
      <c r="Q160" s="63" t="str">
        <f>REPLACE(INDEX(GroupVertices[Group],MATCH(Edges[[#This Row],[Vertex 2]],GroupVertices[Vertex],0)),1,1,"")</f>
        <v>3</v>
      </c>
      <c r="R160" s="66" t="s">
        <v>317</v>
      </c>
      <c r="S160" s="91">
        <v>44877.409004629626</v>
      </c>
      <c r="T160" s="66" t="s">
        <v>344</v>
      </c>
      <c r="U160" s="94" t="str">
        <f>HYPERLINK("https://www.youtube.com/watch?v=xb0JCOgMsXc")</f>
        <v>https://www.youtube.com/watch?v=xb0JCOgMsXc</v>
      </c>
      <c r="V160" s="66" t="s">
        <v>403</v>
      </c>
      <c r="W160" s="97" t="s">
        <v>421</v>
      </c>
      <c r="X160" s="94" t="str">
        <f>HYPERLINK("https://pbs.twimg.com/media/FhWsCzBXwAA-d9k.jpg")</f>
        <v>https://pbs.twimg.com/media/FhWsCzBXwAA-d9k.jpg</v>
      </c>
      <c r="Y160" s="94" t="str">
        <f>HYPERLINK("https://pbs.twimg.com/media/FhWsCzBXwAA-d9k.jpg")</f>
        <v>https://pbs.twimg.com/media/FhWsCzBXwAA-d9k.jpg</v>
      </c>
      <c r="Z160" s="91">
        <v>44877.409004629626</v>
      </c>
      <c r="AA160" s="100">
        <v>44877</v>
      </c>
      <c r="AB160" s="97" t="s">
        <v>501</v>
      </c>
      <c r="AC160" s="94" t="str">
        <f>HYPERLINK("https://twitter.com/transvisionmad1/status/1591367441027776513")</f>
        <v>https://twitter.com/transvisionmad1/status/1591367441027776513</v>
      </c>
      <c r="AD160" s="66"/>
      <c r="AE160" s="66"/>
      <c r="AF160" s="97" t="s">
        <v>634</v>
      </c>
      <c r="AG160" s="97" t="s">
        <v>633</v>
      </c>
      <c r="AH160" s="66" t="b">
        <v>0</v>
      </c>
      <c r="AI160" s="66">
        <v>0</v>
      </c>
      <c r="AJ160" s="97" t="s">
        <v>713</v>
      </c>
      <c r="AK160" s="66" t="b">
        <v>0</v>
      </c>
      <c r="AL160" s="66" t="s">
        <v>715</v>
      </c>
      <c r="AM160" s="66"/>
      <c r="AN160" s="97" t="s">
        <v>712</v>
      </c>
      <c r="AO160" s="66" t="b">
        <v>0</v>
      </c>
      <c r="AP160" s="66">
        <v>0</v>
      </c>
      <c r="AQ160" s="97" t="s">
        <v>712</v>
      </c>
      <c r="AR160" s="97" t="s">
        <v>717</v>
      </c>
      <c r="AS160" s="66" t="b">
        <v>0</v>
      </c>
      <c r="AT160" s="97" t="s">
        <v>633</v>
      </c>
      <c r="AU160" s="66" t="s">
        <v>241</v>
      </c>
      <c r="AV160" s="66">
        <v>0</v>
      </c>
      <c r="AW160" s="66">
        <v>0</v>
      </c>
      <c r="AX160" s="66"/>
      <c r="AY160" s="66"/>
      <c r="AZ160" s="66"/>
      <c r="BA160" s="66"/>
      <c r="BB160" s="66"/>
      <c r="BC160" s="66"/>
      <c r="BD160" s="66"/>
      <c r="BE160" s="66"/>
      <c r="BF160" s="45"/>
      <c r="BG160" s="46"/>
      <c r="BH160" s="45"/>
      <c r="BI160" s="46"/>
      <c r="BJ160" s="45"/>
      <c r="BK160" s="46"/>
      <c r="BL160" s="45"/>
      <c r="BM160" s="46"/>
      <c r="BN160" s="45"/>
    </row>
    <row r="161" spans="1:66" ht="15">
      <c r="A161" s="62" t="s">
        <v>298</v>
      </c>
      <c r="B161" s="62" t="s">
        <v>307</v>
      </c>
      <c r="C161" s="64" t="s">
        <v>1507</v>
      </c>
      <c r="D161" s="67">
        <v>8.25</v>
      </c>
      <c r="E161" s="68" t="s">
        <v>136</v>
      </c>
      <c r="F161" s="69">
        <v>29.705882352941178</v>
      </c>
      <c r="G161" s="64"/>
      <c r="H161" s="70"/>
      <c r="I161" s="71"/>
      <c r="J161" s="71"/>
      <c r="K161" s="31" t="s">
        <v>65</v>
      </c>
      <c r="L161" s="79">
        <v>161</v>
      </c>
      <c r="M161" s="79"/>
      <c r="N161" s="73"/>
      <c r="O161" s="66">
        <v>4</v>
      </c>
      <c r="P161" s="63" t="str">
        <f>REPLACE(INDEX(GroupVertices[Group],MATCH(Edges[[#This Row],[Vertex 1]],GroupVertices[Vertex],0)),1,1,"")</f>
        <v>2</v>
      </c>
      <c r="Q161" s="63" t="str">
        <f>REPLACE(INDEX(GroupVertices[Group],MATCH(Edges[[#This Row],[Vertex 2]],GroupVertices[Vertex],0)),1,1,"")</f>
        <v>3</v>
      </c>
      <c r="R161" s="66" t="s">
        <v>317</v>
      </c>
      <c r="S161" s="91">
        <v>44877.42091435185</v>
      </c>
      <c r="T161" s="66" t="s">
        <v>320</v>
      </c>
      <c r="U161" s="94" t="str">
        <f>HYPERLINK("https://www.youtube.com/watch?v=xb0JCOgMsXc&amp;feature=youtu.be")</f>
        <v>https://www.youtube.com/watch?v=xb0JCOgMsXc&amp;feature=youtu.be</v>
      </c>
      <c r="V161" s="66" t="s">
        <v>403</v>
      </c>
      <c r="W161" s="97" t="s">
        <v>423</v>
      </c>
      <c r="X161" s="94" t="str">
        <f>HYPERLINK("https://pbs.twimg.com/media/FhWu7YzX0AEJMfI.png")</f>
        <v>https://pbs.twimg.com/media/FhWu7YzX0AEJMfI.png</v>
      </c>
      <c r="Y161" s="94" t="str">
        <f>HYPERLINK("https://pbs.twimg.com/media/FhWu7YzX0AEJMfI.png")</f>
        <v>https://pbs.twimg.com/media/FhWu7YzX0AEJMfI.png</v>
      </c>
      <c r="Z161" s="91">
        <v>44877.42091435185</v>
      </c>
      <c r="AA161" s="100">
        <v>44877</v>
      </c>
      <c r="AB161" s="97" t="s">
        <v>480</v>
      </c>
      <c r="AC161" s="94" t="str">
        <f>HYPERLINK("https://twitter.com/transvisionmad1/status/1591371754617946112")</f>
        <v>https://twitter.com/transvisionmad1/status/1591371754617946112</v>
      </c>
      <c r="AD161" s="66"/>
      <c r="AE161" s="66"/>
      <c r="AF161" s="97" t="s">
        <v>613</v>
      </c>
      <c r="AG161" s="66"/>
      <c r="AH161" s="66" t="b">
        <v>0</v>
      </c>
      <c r="AI161" s="66">
        <v>3</v>
      </c>
      <c r="AJ161" s="97" t="s">
        <v>712</v>
      </c>
      <c r="AK161" s="66" t="b">
        <v>0</v>
      </c>
      <c r="AL161" s="66" t="s">
        <v>715</v>
      </c>
      <c r="AM161" s="66"/>
      <c r="AN161" s="97" t="s">
        <v>712</v>
      </c>
      <c r="AO161" s="66" t="b">
        <v>0</v>
      </c>
      <c r="AP161" s="66">
        <v>5</v>
      </c>
      <c r="AQ161" s="97" t="s">
        <v>712</v>
      </c>
      <c r="AR161" s="97" t="s">
        <v>717</v>
      </c>
      <c r="AS161" s="66" t="b">
        <v>0</v>
      </c>
      <c r="AT161" s="97" t="s">
        <v>613</v>
      </c>
      <c r="AU161" s="66" t="s">
        <v>241</v>
      </c>
      <c r="AV161" s="66">
        <v>0</v>
      </c>
      <c r="AW161" s="66">
        <v>0</v>
      </c>
      <c r="AX161" s="66"/>
      <c r="AY161" s="66"/>
      <c r="AZ161" s="66"/>
      <c r="BA161" s="66"/>
      <c r="BB161" s="66"/>
      <c r="BC161" s="66"/>
      <c r="BD161" s="66"/>
      <c r="BE161" s="66"/>
      <c r="BF161" s="45"/>
      <c r="BG161" s="46"/>
      <c r="BH161" s="45"/>
      <c r="BI161" s="46"/>
      <c r="BJ161" s="45"/>
      <c r="BK161" s="46"/>
      <c r="BL161" s="45"/>
      <c r="BM161" s="46"/>
      <c r="BN161" s="45"/>
    </row>
    <row r="162" spans="1:66" ht="15">
      <c r="A162" s="62" t="s">
        <v>298</v>
      </c>
      <c r="B162" s="62" t="s">
        <v>307</v>
      </c>
      <c r="C162" s="64" t="s">
        <v>1504</v>
      </c>
      <c r="D162" s="67">
        <v>3</v>
      </c>
      <c r="E162" s="68" t="s">
        <v>132</v>
      </c>
      <c r="F162" s="69">
        <v>32</v>
      </c>
      <c r="G162" s="64"/>
      <c r="H162" s="70"/>
      <c r="I162" s="71"/>
      <c r="J162" s="71"/>
      <c r="K162" s="31" t="s">
        <v>65</v>
      </c>
      <c r="L162" s="79">
        <v>162</v>
      </c>
      <c r="M162" s="79"/>
      <c r="N162" s="73"/>
      <c r="O162" s="66">
        <v>1</v>
      </c>
      <c r="P162" s="63" t="str">
        <f>REPLACE(INDEX(GroupVertices[Group],MATCH(Edges[[#This Row],[Vertex 1]],GroupVertices[Vertex],0)),1,1,"")</f>
        <v>2</v>
      </c>
      <c r="Q162" s="63" t="str">
        <f>REPLACE(INDEX(GroupVertices[Group],MATCH(Edges[[#This Row],[Vertex 2]],GroupVertices[Vertex],0)),1,1,"")</f>
        <v>3</v>
      </c>
      <c r="R162" s="66" t="s">
        <v>316</v>
      </c>
      <c r="S162" s="91">
        <v>44877.526192129626</v>
      </c>
      <c r="T162" s="66" t="s">
        <v>321</v>
      </c>
      <c r="U162" s="94" t="str">
        <f>HYPERLINK("https://www.youtube.com/watch?v=xb0JCOgMsXc&amp;feature=youtu.be")</f>
        <v>https://www.youtube.com/watch?v=xb0JCOgMsXc&amp;feature=youtu.be</v>
      </c>
      <c r="V162" s="66" t="s">
        <v>403</v>
      </c>
      <c r="W162" s="97" t="s">
        <v>424</v>
      </c>
      <c r="X162" s="94" t="str">
        <f>HYPERLINK("https://pbs.twimg.com/media/FhW7ZTpXkAAZ4Hh.jpg")</f>
        <v>https://pbs.twimg.com/media/FhW7ZTpXkAAZ4Hh.jpg</v>
      </c>
      <c r="Y162" s="94" t="str">
        <f>HYPERLINK("https://pbs.twimg.com/media/FhW7ZTpXkAAZ4Hh.jpg")</f>
        <v>https://pbs.twimg.com/media/FhW7ZTpXkAAZ4Hh.jpg</v>
      </c>
      <c r="Z162" s="91">
        <v>44877.526192129626</v>
      </c>
      <c r="AA162" s="100">
        <v>44877</v>
      </c>
      <c r="AB162" s="97" t="s">
        <v>469</v>
      </c>
      <c r="AC162" s="94" t="str">
        <f>HYPERLINK("https://twitter.com/transvisionmad1/status/1591409908440002562")</f>
        <v>https://twitter.com/transvisionmad1/status/1591409908440002562</v>
      </c>
      <c r="AD162" s="66"/>
      <c r="AE162" s="66"/>
      <c r="AF162" s="97" t="s">
        <v>602</v>
      </c>
      <c r="AG162" s="66"/>
      <c r="AH162" s="66" t="b">
        <v>0</v>
      </c>
      <c r="AI162" s="66">
        <v>0</v>
      </c>
      <c r="AJ162" s="97" t="s">
        <v>712</v>
      </c>
      <c r="AK162" s="66" t="b">
        <v>0</v>
      </c>
      <c r="AL162" s="66" t="s">
        <v>715</v>
      </c>
      <c r="AM162" s="66"/>
      <c r="AN162" s="97" t="s">
        <v>712</v>
      </c>
      <c r="AO162" s="66" t="b">
        <v>0</v>
      </c>
      <c r="AP162" s="66">
        <v>5</v>
      </c>
      <c r="AQ162" s="97" t="s">
        <v>601</v>
      </c>
      <c r="AR162" s="97" t="s">
        <v>717</v>
      </c>
      <c r="AS162" s="66" t="b">
        <v>0</v>
      </c>
      <c r="AT162" s="97" t="s">
        <v>601</v>
      </c>
      <c r="AU162" s="66" t="s">
        <v>241</v>
      </c>
      <c r="AV162" s="66">
        <v>0</v>
      </c>
      <c r="AW162" s="66">
        <v>0</v>
      </c>
      <c r="AX162" s="66"/>
      <c r="AY162" s="66"/>
      <c r="AZ162" s="66"/>
      <c r="BA162" s="66"/>
      <c r="BB162" s="66"/>
      <c r="BC162" s="66"/>
      <c r="BD162" s="66"/>
      <c r="BE162" s="66"/>
      <c r="BF162" s="45"/>
      <c r="BG162" s="46"/>
      <c r="BH162" s="45"/>
      <c r="BI162" s="46"/>
      <c r="BJ162" s="45"/>
      <c r="BK162" s="46"/>
      <c r="BL162" s="45"/>
      <c r="BM162" s="46"/>
      <c r="BN162" s="45"/>
    </row>
    <row r="163" spans="1:66" ht="15">
      <c r="A163" s="62" t="s">
        <v>298</v>
      </c>
      <c r="B163" s="62" t="s">
        <v>307</v>
      </c>
      <c r="C163" s="64" t="s">
        <v>1507</v>
      </c>
      <c r="D163" s="67">
        <v>8.25</v>
      </c>
      <c r="E163" s="68" t="s">
        <v>136</v>
      </c>
      <c r="F163" s="69">
        <v>29.705882352941178</v>
      </c>
      <c r="G163" s="64"/>
      <c r="H163" s="70"/>
      <c r="I163" s="71"/>
      <c r="J163" s="71"/>
      <c r="K163" s="31" t="s">
        <v>65</v>
      </c>
      <c r="L163" s="79">
        <v>163</v>
      </c>
      <c r="M163" s="79"/>
      <c r="N163" s="73"/>
      <c r="O163" s="66">
        <v>4</v>
      </c>
      <c r="P163" s="63" t="str">
        <f>REPLACE(INDEX(GroupVertices[Group],MATCH(Edges[[#This Row],[Vertex 1]],GroupVertices[Vertex],0)),1,1,"")</f>
        <v>2</v>
      </c>
      <c r="Q163" s="63" t="str">
        <f>REPLACE(INDEX(GroupVertices[Group],MATCH(Edges[[#This Row],[Vertex 2]],GroupVertices[Vertex],0)),1,1,"")</f>
        <v>3</v>
      </c>
      <c r="R163" s="66" t="s">
        <v>317</v>
      </c>
      <c r="S163" s="91">
        <v>44877.618472222224</v>
      </c>
      <c r="T163" s="66" t="s">
        <v>345</v>
      </c>
      <c r="U163" s="94" t="str">
        <f>HYPERLINK("https://www.youtube.com/watch?v=erkbGlWtX3Q")</f>
        <v>https://www.youtube.com/watch?v=erkbGlWtX3Q</v>
      </c>
      <c r="V163" s="66" t="s">
        <v>403</v>
      </c>
      <c r="W163" s="97" t="s">
        <v>427</v>
      </c>
      <c r="X163" s="94" t="str">
        <f>HYPERLINK("https://pbs.twimg.com/media/FhXwv6AXwAAqKwx.jpg")</f>
        <v>https://pbs.twimg.com/media/FhXwv6AXwAAqKwx.jpg</v>
      </c>
      <c r="Y163" s="94" t="str">
        <f>HYPERLINK("https://pbs.twimg.com/media/FhXwv6AXwAAqKwx.jpg")</f>
        <v>https://pbs.twimg.com/media/FhXwv6AXwAAqKwx.jpg</v>
      </c>
      <c r="Z163" s="91">
        <v>44877.618472222224</v>
      </c>
      <c r="AA163" s="100">
        <v>44877</v>
      </c>
      <c r="AB163" s="97" t="s">
        <v>502</v>
      </c>
      <c r="AC163" s="94" t="str">
        <f>HYPERLINK("https://twitter.com/transvisionmad1/status/1591443347704799233")</f>
        <v>https://twitter.com/transvisionmad1/status/1591443347704799233</v>
      </c>
      <c r="AD163" s="66"/>
      <c r="AE163" s="66"/>
      <c r="AF163" s="97" t="s">
        <v>635</v>
      </c>
      <c r="AG163" s="66"/>
      <c r="AH163" s="66" t="b">
        <v>0</v>
      </c>
      <c r="AI163" s="66">
        <v>0</v>
      </c>
      <c r="AJ163" s="97" t="s">
        <v>712</v>
      </c>
      <c r="AK163" s="66" t="b">
        <v>0</v>
      </c>
      <c r="AL163" s="66" t="s">
        <v>714</v>
      </c>
      <c r="AM163" s="66"/>
      <c r="AN163" s="97" t="s">
        <v>712</v>
      </c>
      <c r="AO163" s="66" t="b">
        <v>0</v>
      </c>
      <c r="AP163" s="66">
        <v>0</v>
      </c>
      <c r="AQ163" s="97" t="s">
        <v>712</v>
      </c>
      <c r="AR163" s="97" t="s">
        <v>717</v>
      </c>
      <c r="AS163" s="66" t="b">
        <v>0</v>
      </c>
      <c r="AT163" s="97" t="s">
        <v>635</v>
      </c>
      <c r="AU163" s="66" t="s">
        <v>241</v>
      </c>
      <c r="AV163" s="66">
        <v>0</v>
      </c>
      <c r="AW163" s="66">
        <v>0</v>
      </c>
      <c r="AX163" s="66"/>
      <c r="AY163" s="66"/>
      <c r="AZ163" s="66"/>
      <c r="BA163" s="66"/>
      <c r="BB163" s="66"/>
      <c r="BC163" s="66"/>
      <c r="BD163" s="66"/>
      <c r="BE163" s="66"/>
      <c r="BF163" s="45">
        <v>1</v>
      </c>
      <c r="BG163" s="46">
        <v>6.25</v>
      </c>
      <c r="BH163" s="45">
        <v>0</v>
      </c>
      <c r="BI163" s="46">
        <v>0</v>
      </c>
      <c r="BJ163" s="45">
        <v>0</v>
      </c>
      <c r="BK163" s="46">
        <v>0</v>
      </c>
      <c r="BL163" s="45">
        <v>12</v>
      </c>
      <c r="BM163" s="46">
        <v>75</v>
      </c>
      <c r="BN163" s="45">
        <v>16</v>
      </c>
    </row>
    <row r="164" spans="1:66" ht="15">
      <c r="A164" s="62" t="s">
        <v>298</v>
      </c>
      <c r="B164" s="62" t="s">
        <v>314</v>
      </c>
      <c r="C164" s="64" t="s">
        <v>1504</v>
      </c>
      <c r="D164" s="67">
        <v>3</v>
      </c>
      <c r="E164" s="68" t="s">
        <v>132</v>
      </c>
      <c r="F164" s="69">
        <v>32</v>
      </c>
      <c r="G164" s="64"/>
      <c r="H164" s="70"/>
      <c r="I164" s="71"/>
      <c r="J164" s="71"/>
      <c r="K164" s="31" t="s">
        <v>65</v>
      </c>
      <c r="L164" s="79">
        <v>164</v>
      </c>
      <c r="M164" s="79"/>
      <c r="N164" s="73"/>
      <c r="O164" s="66">
        <v>1</v>
      </c>
      <c r="P164" s="63" t="str">
        <f>REPLACE(INDEX(GroupVertices[Group],MATCH(Edges[[#This Row],[Vertex 1]],GroupVertices[Vertex],0)),1,1,"")</f>
        <v>2</v>
      </c>
      <c r="Q164" s="63" t="str">
        <f>REPLACE(INDEX(GroupVertices[Group],MATCH(Edges[[#This Row],[Vertex 2]],GroupVertices[Vertex],0)),1,1,"")</f>
        <v>2</v>
      </c>
      <c r="R164" s="66" t="s">
        <v>317</v>
      </c>
      <c r="S164" s="91">
        <v>44878.32173611111</v>
      </c>
      <c r="T164" s="66" t="s">
        <v>346</v>
      </c>
      <c r="U164" s="94" t="str">
        <f>HYPERLINK("https://www.niusdiario.es/ciencia-y-tecnologia/ciencia/20221111/precio-criogenizarse-5000-euros-20-anos_18_07953883.html")</f>
        <v>https://www.niusdiario.es/ciencia-y-tecnologia/ciencia/20221111/precio-criogenizarse-5000-euros-20-anos_18_07953883.html</v>
      </c>
      <c r="V164" s="66" t="s">
        <v>413</v>
      </c>
      <c r="W164" s="97" t="s">
        <v>434</v>
      </c>
      <c r="X164" s="66"/>
      <c r="Y164" s="94" t="str">
        <f>HYPERLINK("https://pbs.twimg.com/profile_images/1416462775400927235/DSrY8TK-_normal.jpg")</f>
        <v>https://pbs.twimg.com/profile_images/1416462775400927235/DSrY8TK-_normal.jpg</v>
      </c>
      <c r="Z164" s="91">
        <v>44878.32173611111</v>
      </c>
      <c r="AA164" s="100">
        <v>44878</v>
      </c>
      <c r="AB164" s="97" t="s">
        <v>503</v>
      </c>
      <c r="AC164" s="94" t="str">
        <f>HYPERLINK("https://twitter.com/transvisionmad1/status/1591698204193849349")</f>
        <v>https://twitter.com/transvisionmad1/status/1591698204193849349</v>
      </c>
      <c r="AD164" s="66"/>
      <c r="AE164" s="66"/>
      <c r="AF164" s="97" t="s">
        <v>636</v>
      </c>
      <c r="AG164" s="66"/>
      <c r="AH164" s="66" t="b">
        <v>0</v>
      </c>
      <c r="AI164" s="66">
        <v>0</v>
      </c>
      <c r="AJ164" s="97" t="s">
        <v>712</v>
      </c>
      <c r="AK164" s="66" t="b">
        <v>0</v>
      </c>
      <c r="AL164" s="66" t="s">
        <v>715</v>
      </c>
      <c r="AM164" s="66"/>
      <c r="AN164" s="97" t="s">
        <v>712</v>
      </c>
      <c r="AO164" s="66" t="b">
        <v>0</v>
      </c>
      <c r="AP164" s="66">
        <v>0</v>
      </c>
      <c r="AQ164" s="97" t="s">
        <v>712</v>
      </c>
      <c r="AR164" s="97" t="s">
        <v>717</v>
      </c>
      <c r="AS164" s="66" t="b">
        <v>0</v>
      </c>
      <c r="AT164" s="97" t="s">
        <v>636</v>
      </c>
      <c r="AU164" s="66" t="s">
        <v>241</v>
      </c>
      <c r="AV164" s="66">
        <v>0</v>
      </c>
      <c r="AW164" s="66">
        <v>0</v>
      </c>
      <c r="AX164" s="66"/>
      <c r="AY164" s="66"/>
      <c r="AZ164" s="66"/>
      <c r="BA164" s="66"/>
      <c r="BB164" s="66"/>
      <c r="BC164" s="66"/>
      <c r="BD164" s="66"/>
      <c r="BE164" s="66"/>
      <c r="BF164" s="45">
        <v>0</v>
      </c>
      <c r="BG164" s="46">
        <v>0</v>
      </c>
      <c r="BH164" s="45">
        <v>0</v>
      </c>
      <c r="BI164" s="46">
        <v>0</v>
      </c>
      <c r="BJ164" s="45">
        <v>0</v>
      </c>
      <c r="BK164" s="46">
        <v>0</v>
      </c>
      <c r="BL164" s="45">
        <v>12</v>
      </c>
      <c r="BM164" s="46">
        <v>66.66666666666667</v>
      </c>
      <c r="BN164" s="45">
        <v>18</v>
      </c>
    </row>
    <row r="165" spans="1:66" ht="15">
      <c r="A165" s="62" t="s">
        <v>304</v>
      </c>
      <c r="B165" s="62" t="s">
        <v>304</v>
      </c>
      <c r="C165" s="64" t="s">
        <v>1506</v>
      </c>
      <c r="D165" s="67">
        <v>6.5</v>
      </c>
      <c r="E165" s="68" t="s">
        <v>136</v>
      </c>
      <c r="F165" s="69">
        <v>30.470588235294116</v>
      </c>
      <c r="G165" s="64"/>
      <c r="H165" s="70"/>
      <c r="I165" s="71"/>
      <c r="J165" s="71"/>
      <c r="K165" s="31" t="s">
        <v>65</v>
      </c>
      <c r="L165" s="79">
        <v>165</v>
      </c>
      <c r="M165" s="79"/>
      <c r="N165" s="73"/>
      <c r="O165" s="66">
        <v>3</v>
      </c>
      <c r="P165" s="63" t="str">
        <f>REPLACE(INDEX(GroupVertices[Group],MATCH(Edges[[#This Row],[Vertex 1]],GroupVertices[Vertex],0)),1,1,"")</f>
        <v>5</v>
      </c>
      <c r="Q165" s="63" t="str">
        <f>REPLACE(INDEX(GroupVertices[Group],MATCH(Edges[[#This Row],[Vertex 2]],GroupVertices[Vertex],0)),1,1,"")</f>
        <v>5</v>
      </c>
      <c r="R165" s="66" t="s">
        <v>241</v>
      </c>
      <c r="S165" s="91">
        <v>44875.694756944446</v>
      </c>
      <c r="T165" s="66" t="s">
        <v>328</v>
      </c>
      <c r="U165" s="94" t="str">
        <f>HYPERLINK("https://www.transvisionmadrid.com/en/2022.html")</f>
        <v>https://www.transvisionmadrid.com/en/2022.html</v>
      </c>
      <c r="V165" s="66" t="s">
        <v>407</v>
      </c>
      <c r="W165" s="97" t="s">
        <v>421</v>
      </c>
      <c r="X165" s="94" t="str">
        <f>HYPERLINK("https://pbs.twimg.com/media/FhN2si8XwAIi1Du.jpg")</f>
        <v>https://pbs.twimg.com/media/FhN2si8XwAIi1Du.jpg</v>
      </c>
      <c r="Y165" s="94" t="str">
        <f>HYPERLINK("https://pbs.twimg.com/media/FhN2si8XwAIi1Du.jpg")</f>
        <v>https://pbs.twimg.com/media/FhN2si8XwAIi1Du.jpg</v>
      </c>
      <c r="Z165" s="91">
        <v>44875.694756944446</v>
      </c>
      <c r="AA165" s="100">
        <v>44875</v>
      </c>
      <c r="AB165" s="97" t="s">
        <v>504</v>
      </c>
      <c r="AC165" s="94" t="str">
        <f>HYPERLINK("https://twitter.com/dw2/status/1590746215284473866")</f>
        <v>https://twitter.com/dw2/status/1590746215284473866</v>
      </c>
      <c r="AD165" s="66"/>
      <c r="AE165" s="66"/>
      <c r="AF165" s="97" t="s">
        <v>637</v>
      </c>
      <c r="AG165" s="66"/>
      <c r="AH165" s="66" t="b">
        <v>0</v>
      </c>
      <c r="AI165" s="66">
        <v>10</v>
      </c>
      <c r="AJ165" s="97" t="s">
        <v>712</v>
      </c>
      <c r="AK165" s="66" t="b">
        <v>0</v>
      </c>
      <c r="AL165" s="66" t="s">
        <v>714</v>
      </c>
      <c r="AM165" s="66"/>
      <c r="AN165" s="97" t="s">
        <v>712</v>
      </c>
      <c r="AO165" s="66" t="b">
        <v>0</v>
      </c>
      <c r="AP165" s="66">
        <v>2</v>
      </c>
      <c r="AQ165" s="97" t="s">
        <v>712</v>
      </c>
      <c r="AR165" s="97" t="s">
        <v>717</v>
      </c>
      <c r="AS165" s="66" t="b">
        <v>0</v>
      </c>
      <c r="AT165" s="97" t="s">
        <v>637</v>
      </c>
      <c r="AU165" s="66" t="s">
        <v>241</v>
      </c>
      <c r="AV165" s="66">
        <v>0</v>
      </c>
      <c r="AW165" s="66">
        <v>0</v>
      </c>
      <c r="AX165" s="66"/>
      <c r="AY165" s="66"/>
      <c r="AZ165" s="66"/>
      <c r="BA165" s="66"/>
      <c r="BB165" s="66"/>
      <c r="BC165" s="66"/>
      <c r="BD165" s="66"/>
      <c r="BE165" s="66"/>
      <c r="BF165" s="45">
        <v>0</v>
      </c>
      <c r="BG165" s="46">
        <v>0</v>
      </c>
      <c r="BH165" s="45">
        <v>0</v>
      </c>
      <c r="BI165" s="46">
        <v>0</v>
      </c>
      <c r="BJ165" s="45">
        <v>0</v>
      </c>
      <c r="BK165" s="46">
        <v>0</v>
      </c>
      <c r="BL165" s="45">
        <v>17</v>
      </c>
      <c r="BM165" s="46">
        <v>62.96296296296296</v>
      </c>
      <c r="BN165" s="45">
        <v>27</v>
      </c>
    </row>
    <row r="166" spans="1:66" ht="15">
      <c r="A166" s="62" t="s">
        <v>304</v>
      </c>
      <c r="B166" s="62" t="s">
        <v>304</v>
      </c>
      <c r="C166" s="64" t="s">
        <v>1506</v>
      </c>
      <c r="D166" s="67">
        <v>6.5</v>
      </c>
      <c r="E166" s="68" t="s">
        <v>136</v>
      </c>
      <c r="F166" s="69">
        <v>30.470588235294116</v>
      </c>
      <c r="G166" s="64"/>
      <c r="H166" s="70"/>
      <c r="I166" s="71"/>
      <c r="J166" s="71"/>
      <c r="K166" s="31" t="s">
        <v>65</v>
      </c>
      <c r="L166" s="79">
        <v>166</v>
      </c>
      <c r="M166" s="79"/>
      <c r="N166" s="73"/>
      <c r="O166" s="66">
        <v>3</v>
      </c>
      <c r="P166" s="63" t="str">
        <f>REPLACE(INDEX(GroupVertices[Group],MATCH(Edges[[#This Row],[Vertex 1]],GroupVertices[Vertex],0)),1,1,"")</f>
        <v>5</v>
      </c>
      <c r="Q166" s="63" t="str">
        <f>REPLACE(INDEX(GroupVertices[Group],MATCH(Edges[[#This Row],[Vertex 2]],GroupVertices[Vertex],0)),1,1,"")</f>
        <v>5</v>
      </c>
      <c r="R166" s="66" t="s">
        <v>241</v>
      </c>
      <c r="S166" s="91">
        <v>44877.36381944444</v>
      </c>
      <c r="T166" s="66" t="s">
        <v>318</v>
      </c>
      <c r="U166" s="66"/>
      <c r="V166" s="66"/>
      <c r="W166" s="97" t="s">
        <v>421</v>
      </c>
      <c r="X166" s="94" t="str">
        <f>HYPERLINK("https://pbs.twimg.com/media/FhWdWZuXwAAO13Y.jpg")</f>
        <v>https://pbs.twimg.com/media/FhWdWZuXwAAO13Y.jpg</v>
      </c>
      <c r="Y166" s="94" t="str">
        <f>HYPERLINK("https://pbs.twimg.com/media/FhWdWZuXwAAO13Y.jpg")</f>
        <v>https://pbs.twimg.com/media/FhWdWZuXwAAO13Y.jpg</v>
      </c>
      <c r="Z166" s="91">
        <v>44877.36381944444</v>
      </c>
      <c r="AA166" s="100">
        <v>44877</v>
      </c>
      <c r="AB166" s="97" t="s">
        <v>505</v>
      </c>
      <c r="AC166" s="94" t="str">
        <f>HYPERLINK("https://twitter.com/dw2/status/1591351063663480833")</f>
        <v>https://twitter.com/dw2/status/1591351063663480833</v>
      </c>
      <c r="AD166" s="66"/>
      <c r="AE166" s="66"/>
      <c r="AF166" s="97" t="s">
        <v>638</v>
      </c>
      <c r="AG166" s="66"/>
      <c r="AH166" s="66" t="b">
        <v>0</v>
      </c>
      <c r="AI166" s="66">
        <v>20</v>
      </c>
      <c r="AJ166" s="97" t="s">
        <v>712</v>
      </c>
      <c r="AK166" s="66" t="b">
        <v>0</v>
      </c>
      <c r="AL166" s="66" t="s">
        <v>714</v>
      </c>
      <c r="AM166" s="66"/>
      <c r="AN166" s="97" t="s">
        <v>712</v>
      </c>
      <c r="AO166" s="66" t="b">
        <v>0</v>
      </c>
      <c r="AP166" s="66">
        <v>6</v>
      </c>
      <c r="AQ166" s="97" t="s">
        <v>712</v>
      </c>
      <c r="AR166" s="97" t="s">
        <v>719</v>
      </c>
      <c r="AS166" s="66" t="b">
        <v>0</v>
      </c>
      <c r="AT166" s="97" t="s">
        <v>638</v>
      </c>
      <c r="AU166" s="66" t="s">
        <v>241</v>
      </c>
      <c r="AV166" s="66">
        <v>0</v>
      </c>
      <c r="AW166" s="66">
        <v>0</v>
      </c>
      <c r="AX166" s="66"/>
      <c r="AY166" s="66"/>
      <c r="AZ166" s="66"/>
      <c r="BA166" s="66"/>
      <c r="BB166" s="66"/>
      <c r="BC166" s="66"/>
      <c r="BD166" s="66"/>
      <c r="BE166" s="66"/>
      <c r="BF166" s="45">
        <v>0</v>
      </c>
      <c r="BG166" s="46">
        <v>0</v>
      </c>
      <c r="BH166" s="45">
        <v>0</v>
      </c>
      <c r="BI166" s="46">
        <v>0</v>
      </c>
      <c r="BJ166" s="45">
        <v>0</v>
      </c>
      <c r="BK166" s="46">
        <v>0</v>
      </c>
      <c r="BL166" s="45">
        <v>5</v>
      </c>
      <c r="BM166" s="46">
        <v>83.33333333333333</v>
      </c>
      <c r="BN166" s="45">
        <v>6</v>
      </c>
    </row>
    <row r="167" spans="1:66" ht="15">
      <c r="A167" s="62" t="s">
        <v>304</v>
      </c>
      <c r="B167" s="62" t="s">
        <v>304</v>
      </c>
      <c r="C167" s="64" t="s">
        <v>1506</v>
      </c>
      <c r="D167" s="67">
        <v>6.5</v>
      </c>
      <c r="E167" s="68" t="s">
        <v>136</v>
      </c>
      <c r="F167" s="69">
        <v>30.470588235294116</v>
      </c>
      <c r="G167" s="64"/>
      <c r="H167" s="70"/>
      <c r="I167" s="71"/>
      <c r="J167" s="71"/>
      <c r="K167" s="31" t="s">
        <v>65</v>
      </c>
      <c r="L167" s="79">
        <v>167</v>
      </c>
      <c r="M167" s="79"/>
      <c r="N167" s="73"/>
      <c r="O167" s="66">
        <v>3</v>
      </c>
      <c r="P167" s="63" t="str">
        <f>REPLACE(INDEX(GroupVertices[Group],MATCH(Edges[[#This Row],[Vertex 1]],GroupVertices[Vertex],0)),1,1,"")</f>
        <v>5</v>
      </c>
      <c r="Q167" s="63" t="str">
        <f>REPLACE(INDEX(GroupVertices[Group],MATCH(Edges[[#This Row],[Vertex 2]],GroupVertices[Vertex],0)),1,1,"")</f>
        <v>5</v>
      </c>
      <c r="R167" s="66" t="s">
        <v>241</v>
      </c>
      <c r="S167" s="91">
        <v>44877.662824074076</v>
      </c>
      <c r="T167" s="66" t="s">
        <v>336</v>
      </c>
      <c r="U167" s="66"/>
      <c r="V167" s="66"/>
      <c r="W167" s="97" t="s">
        <v>421</v>
      </c>
      <c r="X167" s="94" t="str">
        <f>HYPERLINK("https://pbs.twimg.com/media/FhX_xegXoAIf7pk.jpg")</f>
        <v>https://pbs.twimg.com/media/FhX_xegXoAIf7pk.jpg</v>
      </c>
      <c r="Y167" s="94" t="str">
        <f>HYPERLINK("https://pbs.twimg.com/media/FhX_xegXoAIf7pk.jpg")</f>
        <v>https://pbs.twimg.com/media/FhX_xegXoAIf7pk.jpg</v>
      </c>
      <c r="Z167" s="91">
        <v>44877.662824074076</v>
      </c>
      <c r="AA167" s="100">
        <v>44877</v>
      </c>
      <c r="AB167" s="97" t="s">
        <v>506</v>
      </c>
      <c r="AC167" s="94" t="str">
        <f>HYPERLINK("https://twitter.com/dw2/status/1591459422395846658")</f>
        <v>https://twitter.com/dw2/status/1591459422395846658</v>
      </c>
      <c r="AD167" s="66"/>
      <c r="AE167" s="66"/>
      <c r="AF167" s="97" t="s">
        <v>639</v>
      </c>
      <c r="AG167" s="66"/>
      <c r="AH167" s="66" t="b">
        <v>0</v>
      </c>
      <c r="AI167" s="66">
        <v>8</v>
      </c>
      <c r="AJ167" s="97" t="s">
        <v>712</v>
      </c>
      <c r="AK167" s="66" t="b">
        <v>0</v>
      </c>
      <c r="AL167" s="66" t="s">
        <v>714</v>
      </c>
      <c r="AM167" s="66"/>
      <c r="AN167" s="97" t="s">
        <v>712</v>
      </c>
      <c r="AO167" s="66" t="b">
        <v>0</v>
      </c>
      <c r="AP167" s="66">
        <v>4</v>
      </c>
      <c r="AQ167" s="97" t="s">
        <v>712</v>
      </c>
      <c r="AR167" s="97" t="s">
        <v>719</v>
      </c>
      <c r="AS167" s="66" t="b">
        <v>0</v>
      </c>
      <c r="AT167" s="97" t="s">
        <v>639</v>
      </c>
      <c r="AU167" s="66" t="s">
        <v>241</v>
      </c>
      <c r="AV167" s="66">
        <v>0</v>
      </c>
      <c r="AW167" s="66">
        <v>0</v>
      </c>
      <c r="AX167" s="66"/>
      <c r="AY167" s="66"/>
      <c r="AZ167" s="66"/>
      <c r="BA167" s="66"/>
      <c r="BB167" s="66"/>
      <c r="BC167" s="66"/>
      <c r="BD167" s="66"/>
      <c r="BE167" s="66"/>
      <c r="BF167" s="45">
        <v>1</v>
      </c>
      <c r="BG167" s="46">
        <v>7.6923076923076925</v>
      </c>
      <c r="BH167" s="45">
        <v>0</v>
      </c>
      <c r="BI167" s="46">
        <v>0</v>
      </c>
      <c r="BJ167" s="45">
        <v>0</v>
      </c>
      <c r="BK167" s="46">
        <v>0</v>
      </c>
      <c r="BL167" s="45">
        <v>7</v>
      </c>
      <c r="BM167" s="46">
        <v>53.84615384615385</v>
      </c>
      <c r="BN167" s="45">
        <v>13</v>
      </c>
    </row>
    <row r="168" spans="1:66" ht="15">
      <c r="A168" s="62" t="s">
        <v>298</v>
      </c>
      <c r="B168" s="62" t="s">
        <v>304</v>
      </c>
      <c r="C168" s="64" t="s">
        <v>1506</v>
      </c>
      <c r="D168" s="67">
        <v>6.5</v>
      </c>
      <c r="E168" s="68" t="s">
        <v>136</v>
      </c>
      <c r="F168" s="69">
        <v>30.470588235294116</v>
      </c>
      <c r="G168" s="64"/>
      <c r="H168" s="70"/>
      <c r="I168" s="71"/>
      <c r="J168" s="71"/>
      <c r="K168" s="31" t="s">
        <v>65</v>
      </c>
      <c r="L168" s="79">
        <v>168</v>
      </c>
      <c r="M168" s="79"/>
      <c r="N168" s="73"/>
      <c r="O168" s="66">
        <v>3</v>
      </c>
      <c r="P168" s="63" t="str">
        <f>REPLACE(INDEX(GroupVertices[Group],MATCH(Edges[[#This Row],[Vertex 1]],GroupVertices[Vertex],0)),1,1,"")</f>
        <v>2</v>
      </c>
      <c r="Q168" s="63" t="str">
        <f>REPLACE(INDEX(GroupVertices[Group],MATCH(Edges[[#This Row],[Vertex 2]],GroupVertices[Vertex],0)),1,1,"")</f>
        <v>5</v>
      </c>
      <c r="R168" s="66" t="s">
        <v>315</v>
      </c>
      <c r="S168" s="91">
        <v>44877.418541666666</v>
      </c>
      <c r="T168" s="66" t="s">
        <v>318</v>
      </c>
      <c r="U168" s="66"/>
      <c r="V168" s="66"/>
      <c r="W168" s="97" t="s">
        <v>421</v>
      </c>
      <c r="X168" s="94" t="str">
        <f>HYPERLINK("https://pbs.twimg.com/media/FhWdWZuXwAAO13Y.jpg")</f>
        <v>https://pbs.twimg.com/media/FhWdWZuXwAAO13Y.jpg</v>
      </c>
      <c r="Y168" s="94" t="str">
        <f>HYPERLINK("https://pbs.twimg.com/media/FhWdWZuXwAAO13Y.jpg")</f>
        <v>https://pbs.twimg.com/media/FhWdWZuXwAAO13Y.jpg</v>
      </c>
      <c r="Z168" s="91">
        <v>44877.418541666666</v>
      </c>
      <c r="AA168" s="100">
        <v>44877</v>
      </c>
      <c r="AB168" s="97" t="s">
        <v>507</v>
      </c>
      <c r="AC168" s="94" t="str">
        <f>HYPERLINK("https://twitter.com/transvisionmad1/status/1591370896316727296")</f>
        <v>https://twitter.com/transvisionmad1/status/1591370896316727296</v>
      </c>
      <c r="AD168" s="66"/>
      <c r="AE168" s="66"/>
      <c r="AF168" s="97" t="s">
        <v>640</v>
      </c>
      <c r="AG168" s="66"/>
      <c r="AH168" s="66" t="b">
        <v>0</v>
      </c>
      <c r="AI168" s="66">
        <v>0</v>
      </c>
      <c r="AJ168" s="97" t="s">
        <v>712</v>
      </c>
      <c r="AK168" s="66" t="b">
        <v>0</v>
      </c>
      <c r="AL168" s="66" t="s">
        <v>714</v>
      </c>
      <c r="AM168" s="66"/>
      <c r="AN168" s="97" t="s">
        <v>712</v>
      </c>
      <c r="AO168" s="66" t="b">
        <v>0</v>
      </c>
      <c r="AP168" s="66">
        <v>6</v>
      </c>
      <c r="AQ168" s="97" t="s">
        <v>638</v>
      </c>
      <c r="AR168" s="97" t="s">
        <v>717</v>
      </c>
      <c r="AS168" s="66" t="b">
        <v>0</v>
      </c>
      <c r="AT168" s="97" t="s">
        <v>638</v>
      </c>
      <c r="AU168" s="66" t="s">
        <v>241</v>
      </c>
      <c r="AV168" s="66">
        <v>0</v>
      </c>
      <c r="AW168" s="66">
        <v>0</v>
      </c>
      <c r="AX168" s="66"/>
      <c r="AY168" s="66"/>
      <c r="AZ168" s="66"/>
      <c r="BA168" s="66"/>
      <c r="BB168" s="66"/>
      <c r="BC168" s="66"/>
      <c r="BD168" s="66"/>
      <c r="BE168" s="66"/>
      <c r="BF168" s="45">
        <v>0</v>
      </c>
      <c r="BG168" s="46">
        <v>0</v>
      </c>
      <c r="BH168" s="45">
        <v>0</v>
      </c>
      <c r="BI168" s="46">
        <v>0</v>
      </c>
      <c r="BJ168" s="45">
        <v>0</v>
      </c>
      <c r="BK168" s="46">
        <v>0</v>
      </c>
      <c r="BL168" s="45">
        <v>5</v>
      </c>
      <c r="BM168" s="46">
        <v>83.33333333333333</v>
      </c>
      <c r="BN168" s="45">
        <v>6</v>
      </c>
    </row>
    <row r="169" spans="1:66" ht="15">
      <c r="A169" s="62" t="s">
        <v>298</v>
      </c>
      <c r="B169" s="62" t="s">
        <v>304</v>
      </c>
      <c r="C169" s="64" t="s">
        <v>1506</v>
      </c>
      <c r="D169" s="67">
        <v>6.5</v>
      </c>
      <c r="E169" s="68" t="s">
        <v>136</v>
      </c>
      <c r="F169" s="69">
        <v>30.470588235294116</v>
      </c>
      <c r="G169" s="64"/>
      <c r="H169" s="70"/>
      <c r="I169" s="71"/>
      <c r="J169" s="71"/>
      <c r="K169" s="31" t="s">
        <v>65</v>
      </c>
      <c r="L169" s="79">
        <v>169</v>
      </c>
      <c r="M169" s="79"/>
      <c r="N169" s="73"/>
      <c r="O169" s="66">
        <v>3</v>
      </c>
      <c r="P169" s="63" t="str">
        <f>REPLACE(INDEX(GroupVertices[Group],MATCH(Edges[[#This Row],[Vertex 1]],GroupVertices[Vertex],0)),1,1,"")</f>
        <v>2</v>
      </c>
      <c r="Q169" s="63" t="str">
        <f>REPLACE(INDEX(GroupVertices[Group],MATCH(Edges[[#This Row],[Vertex 2]],GroupVertices[Vertex],0)),1,1,"")</f>
        <v>5</v>
      </c>
      <c r="R169" s="66" t="s">
        <v>315</v>
      </c>
      <c r="S169" s="91">
        <v>44877.41878472222</v>
      </c>
      <c r="T169" s="66" t="s">
        <v>328</v>
      </c>
      <c r="U169" s="94" t="str">
        <f>HYPERLINK("https://www.transvisionmadrid.com/en/2022.html")</f>
        <v>https://www.transvisionmadrid.com/en/2022.html</v>
      </c>
      <c r="V169" s="66" t="s">
        <v>407</v>
      </c>
      <c r="W169" s="97" t="s">
        <v>421</v>
      </c>
      <c r="X169" s="94" t="str">
        <f>HYPERLINK("https://pbs.twimg.com/media/FhN2si8XwAIi1Du.jpg")</f>
        <v>https://pbs.twimg.com/media/FhN2si8XwAIi1Du.jpg</v>
      </c>
      <c r="Y169" s="94" t="str">
        <f>HYPERLINK("https://pbs.twimg.com/media/FhN2si8XwAIi1Du.jpg")</f>
        <v>https://pbs.twimg.com/media/FhN2si8XwAIi1Du.jpg</v>
      </c>
      <c r="Z169" s="91">
        <v>44877.41878472222</v>
      </c>
      <c r="AA169" s="100">
        <v>44877</v>
      </c>
      <c r="AB169" s="97" t="s">
        <v>508</v>
      </c>
      <c r="AC169" s="94" t="str">
        <f>HYPERLINK("https://twitter.com/transvisionmad1/status/1591370983591809025")</f>
        <v>https://twitter.com/transvisionmad1/status/1591370983591809025</v>
      </c>
      <c r="AD169" s="66"/>
      <c r="AE169" s="66"/>
      <c r="AF169" s="97" t="s">
        <v>641</v>
      </c>
      <c r="AG169" s="66"/>
      <c r="AH169" s="66" t="b">
        <v>0</v>
      </c>
      <c r="AI169" s="66">
        <v>0</v>
      </c>
      <c r="AJ169" s="97" t="s">
        <v>712</v>
      </c>
      <c r="AK169" s="66" t="b">
        <v>0</v>
      </c>
      <c r="AL169" s="66" t="s">
        <v>714</v>
      </c>
      <c r="AM169" s="66"/>
      <c r="AN169" s="97" t="s">
        <v>712</v>
      </c>
      <c r="AO169" s="66" t="b">
        <v>0</v>
      </c>
      <c r="AP169" s="66">
        <v>2</v>
      </c>
      <c r="AQ169" s="97" t="s">
        <v>637</v>
      </c>
      <c r="AR169" s="97" t="s">
        <v>717</v>
      </c>
      <c r="AS169" s="66" t="b">
        <v>0</v>
      </c>
      <c r="AT169" s="97" t="s">
        <v>637</v>
      </c>
      <c r="AU169" s="66" t="s">
        <v>241</v>
      </c>
      <c r="AV169" s="66">
        <v>0</v>
      </c>
      <c r="AW169" s="66">
        <v>0</v>
      </c>
      <c r="AX169" s="66"/>
      <c r="AY169" s="66"/>
      <c r="AZ169" s="66"/>
      <c r="BA169" s="66"/>
      <c r="BB169" s="66"/>
      <c r="BC169" s="66"/>
      <c r="BD169" s="66"/>
      <c r="BE169" s="66"/>
      <c r="BF169" s="45">
        <v>0</v>
      </c>
      <c r="BG169" s="46">
        <v>0</v>
      </c>
      <c r="BH169" s="45">
        <v>0</v>
      </c>
      <c r="BI169" s="46">
        <v>0</v>
      </c>
      <c r="BJ169" s="45">
        <v>0</v>
      </c>
      <c r="BK169" s="46">
        <v>0</v>
      </c>
      <c r="BL169" s="45">
        <v>17</v>
      </c>
      <c r="BM169" s="46">
        <v>62.96296296296296</v>
      </c>
      <c r="BN169" s="45">
        <v>27</v>
      </c>
    </row>
    <row r="170" spans="1:66" ht="15">
      <c r="A170" s="62" t="s">
        <v>298</v>
      </c>
      <c r="B170" s="62" t="s">
        <v>304</v>
      </c>
      <c r="C170" s="64" t="s">
        <v>1504</v>
      </c>
      <c r="D170" s="67">
        <v>3</v>
      </c>
      <c r="E170" s="68" t="s">
        <v>132</v>
      </c>
      <c r="F170" s="69">
        <v>32</v>
      </c>
      <c r="G170" s="64"/>
      <c r="H170" s="70"/>
      <c r="I170" s="71"/>
      <c r="J170" s="71"/>
      <c r="K170" s="31" t="s">
        <v>65</v>
      </c>
      <c r="L170" s="79">
        <v>170</v>
      </c>
      <c r="M170" s="79"/>
      <c r="N170" s="73"/>
      <c r="O170" s="66">
        <v>1</v>
      </c>
      <c r="P170" s="63" t="str">
        <f>REPLACE(INDEX(GroupVertices[Group],MATCH(Edges[[#This Row],[Vertex 1]],GroupVertices[Vertex],0)),1,1,"")</f>
        <v>2</v>
      </c>
      <c r="Q170" s="63" t="str">
        <f>REPLACE(INDEX(GroupVertices[Group],MATCH(Edges[[#This Row],[Vertex 2]],GroupVertices[Vertex],0)),1,1,"")</f>
        <v>5</v>
      </c>
      <c r="R170" s="66" t="s">
        <v>316</v>
      </c>
      <c r="S170" s="91">
        <v>44877.526192129626</v>
      </c>
      <c r="T170" s="66" t="s">
        <v>321</v>
      </c>
      <c r="U170" s="94" t="str">
        <f>HYPERLINK("https://www.youtube.com/watch?v=xb0JCOgMsXc&amp;feature=youtu.be")</f>
        <v>https://www.youtube.com/watch?v=xb0JCOgMsXc&amp;feature=youtu.be</v>
      </c>
      <c r="V170" s="66" t="s">
        <v>403</v>
      </c>
      <c r="W170" s="97" t="s">
        <v>424</v>
      </c>
      <c r="X170" s="94" t="str">
        <f>HYPERLINK("https://pbs.twimg.com/media/FhW7ZTpXkAAZ4Hh.jpg")</f>
        <v>https://pbs.twimg.com/media/FhW7ZTpXkAAZ4Hh.jpg</v>
      </c>
      <c r="Y170" s="94" t="str">
        <f>HYPERLINK("https://pbs.twimg.com/media/FhW7ZTpXkAAZ4Hh.jpg")</f>
        <v>https://pbs.twimg.com/media/FhW7ZTpXkAAZ4Hh.jpg</v>
      </c>
      <c r="Z170" s="91">
        <v>44877.526192129626</v>
      </c>
      <c r="AA170" s="100">
        <v>44877</v>
      </c>
      <c r="AB170" s="97" t="s">
        <v>469</v>
      </c>
      <c r="AC170" s="94" t="str">
        <f>HYPERLINK("https://twitter.com/transvisionmad1/status/1591409908440002562")</f>
        <v>https://twitter.com/transvisionmad1/status/1591409908440002562</v>
      </c>
      <c r="AD170" s="66"/>
      <c r="AE170" s="66"/>
      <c r="AF170" s="97" t="s">
        <v>602</v>
      </c>
      <c r="AG170" s="66"/>
      <c r="AH170" s="66" t="b">
        <v>0</v>
      </c>
      <c r="AI170" s="66">
        <v>0</v>
      </c>
      <c r="AJ170" s="97" t="s">
        <v>712</v>
      </c>
      <c r="AK170" s="66" t="b">
        <v>0</v>
      </c>
      <c r="AL170" s="66" t="s">
        <v>715</v>
      </c>
      <c r="AM170" s="66"/>
      <c r="AN170" s="97" t="s">
        <v>712</v>
      </c>
      <c r="AO170" s="66" t="b">
        <v>0</v>
      </c>
      <c r="AP170" s="66">
        <v>5</v>
      </c>
      <c r="AQ170" s="97" t="s">
        <v>601</v>
      </c>
      <c r="AR170" s="97" t="s">
        <v>717</v>
      </c>
      <c r="AS170" s="66" t="b">
        <v>0</v>
      </c>
      <c r="AT170" s="97" t="s">
        <v>601</v>
      </c>
      <c r="AU170" s="66" t="s">
        <v>241</v>
      </c>
      <c r="AV170" s="66">
        <v>0</v>
      </c>
      <c r="AW170" s="66">
        <v>0</v>
      </c>
      <c r="AX170" s="66"/>
      <c r="AY170" s="66"/>
      <c r="AZ170" s="66"/>
      <c r="BA170" s="66"/>
      <c r="BB170" s="66"/>
      <c r="BC170" s="66"/>
      <c r="BD170" s="66"/>
      <c r="BE170" s="66"/>
      <c r="BF170" s="45"/>
      <c r="BG170" s="46"/>
      <c r="BH170" s="45"/>
      <c r="BI170" s="46"/>
      <c r="BJ170" s="45"/>
      <c r="BK170" s="46"/>
      <c r="BL170" s="45"/>
      <c r="BM170" s="46"/>
      <c r="BN170" s="45"/>
    </row>
    <row r="171" spans="1:66" ht="15">
      <c r="A171" s="62" t="s">
        <v>298</v>
      </c>
      <c r="B171" s="62" t="s">
        <v>304</v>
      </c>
      <c r="C171" s="64" t="s">
        <v>1504</v>
      </c>
      <c r="D171" s="67">
        <v>3</v>
      </c>
      <c r="E171" s="68" t="s">
        <v>132</v>
      </c>
      <c r="F171" s="69">
        <v>32</v>
      </c>
      <c r="G171" s="64"/>
      <c r="H171" s="70"/>
      <c r="I171" s="71"/>
      <c r="J171" s="71"/>
      <c r="K171" s="31" t="s">
        <v>65</v>
      </c>
      <c r="L171" s="79">
        <v>171</v>
      </c>
      <c r="M171" s="79"/>
      <c r="N171" s="73"/>
      <c r="O171" s="66">
        <v>1</v>
      </c>
      <c r="P171" s="63" t="str">
        <f>REPLACE(INDEX(GroupVertices[Group],MATCH(Edges[[#This Row],[Vertex 1]],GroupVertices[Vertex],0)),1,1,"")</f>
        <v>2</v>
      </c>
      <c r="Q171" s="63" t="str">
        <f>REPLACE(INDEX(GroupVertices[Group],MATCH(Edges[[#This Row],[Vertex 2]],GroupVertices[Vertex],0)),1,1,"")</f>
        <v>5</v>
      </c>
      <c r="R171" s="66" t="s">
        <v>317</v>
      </c>
      <c r="S171" s="91">
        <v>44877.61263888889</v>
      </c>
      <c r="T171" s="66" t="s">
        <v>347</v>
      </c>
      <c r="U171" s="94" t="str">
        <f>HYPERLINK("https://www.youtube.com/watch?v=erkbGlWtX3Q")</f>
        <v>https://www.youtube.com/watch?v=erkbGlWtX3Q</v>
      </c>
      <c r="V171" s="66" t="s">
        <v>403</v>
      </c>
      <c r="W171" s="97" t="s">
        <v>427</v>
      </c>
      <c r="X171" s="94" t="str">
        <f>HYPERLINK("https://pbs.twimg.com/media/FhXtuIwXoAIQHKd.jpg")</f>
        <v>https://pbs.twimg.com/media/FhXtuIwXoAIQHKd.jpg</v>
      </c>
      <c r="Y171" s="94" t="str">
        <f>HYPERLINK("https://pbs.twimg.com/media/FhXtuIwXoAIQHKd.jpg")</f>
        <v>https://pbs.twimg.com/media/FhXtuIwXoAIQHKd.jpg</v>
      </c>
      <c r="Z171" s="91">
        <v>44877.61263888889</v>
      </c>
      <c r="AA171" s="100">
        <v>44877</v>
      </c>
      <c r="AB171" s="97" t="s">
        <v>509</v>
      </c>
      <c r="AC171" s="94" t="str">
        <f>HYPERLINK("https://twitter.com/transvisionmad1/status/1591441233578172418")</f>
        <v>https://twitter.com/transvisionmad1/status/1591441233578172418</v>
      </c>
      <c r="AD171" s="66"/>
      <c r="AE171" s="66"/>
      <c r="AF171" s="97" t="s">
        <v>642</v>
      </c>
      <c r="AG171" s="66"/>
      <c r="AH171" s="66" t="b">
        <v>0</v>
      </c>
      <c r="AI171" s="66">
        <v>0</v>
      </c>
      <c r="AJ171" s="97" t="s">
        <v>712</v>
      </c>
      <c r="AK171" s="66" t="b">
        <v>0</v>
      </c>
      <c r="AL171" s="66" t="s">
        <v>714</v>
      </c>
      <c r="AM171" s="66"/>
      <c r="AN171" s="97" t="s">
        <v>712</v>
      </c>
      <c r="AO171" s="66" t="b">
        <v>0</v>
      </c>
      <c r="AP171" s="66">
        <v>0</v>
      </c>
      <c r="AQ171" s="97" t="s">
        <v>712</v>
      </c>
      <c r="AR171" s="97" t="s">
        <v>717</v>
      </c>
      <c r="AS171" s="66" t="b">
        <v>0</v>
      </c>
      <c r="AT171" s="97" t="s">
        <v>642</v>
      </c>
      <c r="AU171" s="66" t="s">
        <v>241</v>
      </c>
      <c r="AV171" s="66">
        <v>0</v>
      </c>
      <c r="AW171" s="66">
        <v>0</v>
      </c>
      <c r="AX171" s="66"/>
      <c r="AY171" s="66"/>
      <c r="AZ171" s="66"/>
      <c r="BA171" s="66"/>
      <c r="BB171" s="66"/>
      <c r="BC171" s="66"/>
      <c r="BD171" s="66"/>
      <c r="BE171" s="66"/>
      <c r="BF171" s="45">
        <v>1</v>
      </c>
      <c r="BG171" s="46">
        <v>6.666666666666667</v>
      </c>
      <c r="BH171" s="45">
        <v>0</v>
      </c>
      <c r="BI171" s="46">
        <v>0</v>
      </c>
      <c r="BJ171" s="45">
        <v>0</v>
      </c>
      <c r="BK171" s="46">
        <v>0</v>
      </c>
      <c r="BL171" s="45">
        <v>11</v>
      </c>
      <c r="BM171" s="46">
        <v>73.33333333333333</v>
      </c>
      <c r="BN171" s="45">
        <v>15</v>
      </c>
    </row>
    <row r="172" spans="1:66" ht="15">
      <c r="A172" s="62" t="s">
        <v>298</v>
      </c>
      <c r="B172" s="62" t="s">
        <v>304</v>
      </c>
      <c r="C172" s="64" t="s">
        <v>1506</v>
      </c>
      <c r="D172" s="67">
        <v>6.5</v>
      </c>
      <c r="E172" s="68" t="s">
        <v>136</v>
      </c>
      <c r="F172" s="69">
        <v>30.470588235294116</v>
      </c>
      <c r="G172" s="64"/>
      <c r="H172" s="70"/>
      <c r="I172" s="71"/>
      <c r="J172" s="71"/>
      <c r="K172" s="31" t="s">
        <v>65</v>
      </c>
      <c r="L172" s="79">
        <v>172</v>
      </c>
      <c r="M172" s="79"/>
      <c r="N172" s="73"/>
      <c r="O172" s="66">
        <v>3</v>
      </c>
      <c r="P172" s="63" t="str">
        <f>REPLACE(INDEX(GroupVertices[Group],MATCH(Edges[[#This Row],[Vertex 1]],GroupVertices[Vertex],0)),1,1,"")</f>
        <v>2</v>
      </c>
      <c r="Q172" s="63" t="str">
        <f>REPLACE(INDEX(GroupVertices[Group],MATCH(Edges[[#This Row],[Vertex 2]],GroupVertices[Vertex],0)),1,1,"")</f>
        <v>5</v>
      </c>
      <c r="R172" s="66" t="s">
        <v>315</v>
      </c>
      <c r="S172" s="91">
        <v>44878.36201388889</v>
      </c>
      <c r="T172" s="66" t="s">
        <v>336</v>
      </c>
      <c r="U172" s="66"/>
      <c r="V172" s="66"/>
      <c r="W172" s="97" t="s">
        <v>421</v>
      </c>
      <c r="X172" s="94" t="str">
        <f>HYPERLINK("https://pbs.twimg.com/media/FhX_xegXoAIf7pk.jpg")</f>
        <v>https://pbs.twimg.com/media/FhX_xegXoAIf7pk.jpg</v>
      </c>
      <c r="Y172" s="94" t="str">
        <f>HYPERLINK("https://pbs.twimg.com/media/FhX_xegXoAIf7pk.jpg")</f>
        <v>https://pbs.twimg.com/media/FhX_xegXoAIf7pk.jpg</v>
      </c>
      <c r="Z172" s="91">
        <v>44878.36201388889</v>
      </c>
      <c r="AA172" s="100">
        <v>44878</v>
      </c>
      <c r="AB172" s="97" t="s">
        <v>510</v>
      </c>
      <c r="AC172" s="94" t="str">
        <f>HYPERLINK("https://twitter.com/transvisionmad1/status/1591712799193198592")</f>
        <v>https://twitter.com/transvisionmad1/status/1591712799193198592</v>
      </c>
      <c r="AD172" s="66"/>
      <c r="AE172" s="66"/>
      <c r="AF172" s="97" t="s">
        <v>643</v>
      </c>
      <c r="AG172" s="66"/>
      <c r="AH172" s="66" t="b">
        <v>0</v>
      </c>
      <c r="AI172" s="66">
        <v>0</v>
      </c>
      <c r="AJ172" s="97" t="s">
        <v>712</v>
      </c>
      <c r="AK172" s="66" t="b">
        <v>0</v>
      </c>
      <c r="AL172" s="66" t="s">
        <v>714</v>
      </c>
      <c r="AM172" s="66"/>
      <c r="AN172" s="97" t="s">
        <v>712</v>
      </c>
      <c r="AO172" s="66" t="b">
        <v>0</v>
      </c>
      <c r="AP172" s="66">
        <v>4</v>
      </c>
      <c r="AQ172" s="97" t="s">
        <v>639</v>
      </c>
      <c r="AR172" s="97" t="s">
        <v>717</v>
      </c>
      <c r="AS172" s="66" t="b">
        <v>0</v>
      </c>
      <c r="AT172" s="97" t="s">
        <v>639</v>
      </c>
      <c r="AU172" s="66" t="s">
        <v>241</v>
      </c>
      <c r="AV172" s="66">
        <v>0</v>
      </c>
      <c r="AW172" s="66">
        <v>0</v>
      </c>
      <c r="AX172" s="66"/>
      <c r="AY172" s="66"/>
      <c r="AZ172" s="66"/>
      <c r="BA172" s="66"/>
      <c r="BB172" s="66"/>
      <c r="BC172" s="66"/>
      <c r="BD172" s="66"/>
      <c r="BE172" s="66"/>
      <c r="BF172" s="45">
        <v>1</v>
      </c>
      <c r="BG172" s="46">
        <v>7.6923076923076925</v>
      </c>
      <c r="BH172" s="45">
        <v>0</v>
      </c>
      <c r="BI172" s="46">
        <v>0</v>
      </c>
      <c r="BJ172" s="45">
        <v>0</v>
      </c>
      <c r="BK172" s="46">
        <v>0</v>
      </c>
      <c r="BL172" s="45">
        <v>7</v>
      </c>
      <c r="BM172" s="46">
        <v>53.84615384615385</v>
      </c>
      <c r="BN172" s="45">
        <v>13</v>
      </c>
    </row>
    <row r="173" spans="1:66" ht="15">
      <c r="A173" s="62" t="s">
        <v>300</v>
      </c>
      <c r="B173" s="62" t="s">
        <v>298</v>
      </c>
      <c r="C173" s="64" t="s">
        <v>1504</v>
      </c>
      <c r="D173" s="67">
        <v>3</v>
      </c>
      <c r="E173" s="68" t="s">
        <v>132</v>
      </c>
      <c r="F173" s="69">
        <v>32</v>
      </c>
      <c r="G173" s="64"/>
      <c r="H173" s="70"/>
      <c r="I173" s="71"/>
      <c r="J173" s="71"/>
      <c r="K173" s="31" t="s">
        <v>66</v>
      </c>
      <c r="L173" s="79">
        <v>173</v>
      </c>
      <c r="M173" s="79"/>
      <c r="N173" s="73"/>
      <c r="O173" s="66">
        <v>1</v>
      </c>
      <c r="P173" s="63" t="str">
        <f>REPLACE(INDEX(GroupVertices[Group],MATCH(Edges[[#This Row],[Vertex 1]],GroupVertices[Vertex],0)),1,1,"")</f>
        <v>3</v>
      </c>
      <c r="Q173" s="63" t="str">
        <f>REPLACE(INDEX(GroupVertices[Group],MATCH(Edges[[#This Row],[Vertex 2]],GroupVertices[Vertex],0)),1,1,"")</f>
        <v>2</v>
      </c>
      <c r="R173" s="66" t="s">
        <v>315</v>
      </c>
      <c r="S173" s="91">
        <v>44877.94027777778</v>
      </c>
      <c r="T173" s="66" t="s">
        <v>320</v>
      </c>
      <c r="U173" s="94" t="str">
        <f>HYPERLINK("https://www.youtube.com/watch?v=xb0JCOgMsXc&amp;feature=youtu.be")</f>
        <v>https://www.youtube.com/watch?v=xb0JCOgMsXc&amp;feature=youtu.be</v>
      </c>
      <c r="V173" s="66" t="s">
        <v>403</v>
      </c>
      <c r="W173" s="97" t="s">
        <v>423</v>
      </c>
      <c r="X173" s="94" t="str">
        <f>HYPERLINK("https://pbs.twimg.com/media/FhWu7YzX0AEJMfI.png")</f>
        <v>https://pbs.twimg.com/media/FhWu7YzX0AEJMfI.png</v>
      </c>
      <c r="Y173" s="94" t="str">
        <f>HYPERLINK("https://pbs.twimg.com/media/FhWu7YzX0AEJMfI.png")</f>
        <v>https://pbs.twimg.com/media/FhWu7YzX0AEJMfI.png</v>
      </c>
      <c r="Z173" s="91">
        <v>44877.94027777778</v>
      </c>
      <c r="AA173" s="100">
        <v>44877</v>
      </c>
      <c r="AB173" s="97" t="s">
        <v>471</v>
      </c>
      <c r="AC173" s="94" t="str">
        <f>HYPERLINK("https://twitter.com/javiercremades/status/1591559965898330113")</f>
        <v>https://twitter.com/javiercremades/status/1591559965898330113</v>
      </c>
      <c r="AD173" s="66"/>
      <c r="AE173" s="66"/>
      <c r="AF173" s="97" t="s">
        <v>604</v>
      </c>
      <c r="AG173" s="66"/>
      <c r="AH173" s="66" t="b">
        <v>0</v>
      </c>
      <c r="AI173" s="66">
        <v>0</v>
      </c>
      <c r="AJ173" s="97" t="s">
        <v>712</v>
      </c>
      <c r="AK173" s="66" t="b">
        <v>0</v>
      </c>
      <c r="AL173" s="66" t="s">
        <v>715</v>
      </c>
      <c r="AM173" s="66"/>
      <c r="AN173" s="97" t="s">
        <v>712</v>
      </c>
      <c r="AO173" s="66" t="b">
        <v>0</v>
      </c>
      <c r="AP173" s="66">
        <v>5</v>
      </c>
      <c r="AQ173" s="97" t="s">
        <v>613</v>
      </c>
      <c r="AR173" s="97" t="s">
        <v>718</v>
      </c>
      <c r="AS173" s="66" t="b">
        <v>0</v>
      </c>
      <c r="AT173" s="97" t="s">
        <v>613</v>
      </c>
      <c r="AU173" s="66" t="s">
        <v>241</v>
      </c>
      <c r="AV173" s="66">
        <v>0</v>
      </c>
      <c r="AW173" s="66">
        <v>0</v>
      </c>
      <c r="AX173" s="66"/>
      <c r="AY173" s="66"/>
      <c r="AZ173" s="66"/>
      <c r="BA173" s="66"/>
      <c r="BB173" s="66"/>
      <c r="BC173" s="66"/>
      <c r="BD173" s="66"/>
      <c r="BE173" s="66"/>
      <c r="BF173" s="45">
        <v>0</v>
      </c>
      <c r="BG173" s="46">
        <v>0</v>
      </c>
      <c r="BH173" s="45">
        <v>0</v>
      </c>
      <c r="BI173" s="46">
        <v>0</v>
      </c>
      <c r="BJ173" s="45">
        <v>0</v>
      </c>
      <c r="BK173" s="46">
        <v>0</v>
      </c>
      <c r="BL173" s="45">
        <v>15</v>
      </c>
      <c r="BM173" s="46">
        <v>83.33333333333333</v>
      </c>
      <c r="BN173" s="45">
        <v>18</v>
      </c>
    </row>
    <row r="174" spans="1:66" ht="15">
      <c r="A174" s="62" t="s">
        <v>298</v>
      </c>
      <c r="B174" s="62" t="s">
        <v>298</v>
      </c>
      <c r="C174" s="64" t="s">
        <v>1508</v>
      </c>
      <c r="D174" s="67">
        <v>10</v>
      </c>
      <c r="E174" s="68" t="s">
        <v>136</v>
      </c>
      <c r="F174" s="69">
        <v>15.941176470588236</v>
      </c>
      <c r="G174" s="64"/>
      <c r="H174" s="70"/>
      <c r="I174" s="71"/>
      <c r="J174" s="71"/>
      <c r="K174" s="31" t="s">
        <v>65</v>
      </c>
      <c r="L174" s="79">
        <v>174</v>
      </c>
      <c r="M174" s="79"/>
      <c r="N174" s="73"/>
      <c r="O174" s="66">
        <v>22</v>
      </c>
      <c r="P174" s="63" t="str">
        <f>REPLACE(INDEX(GroupVertices[Group],MATCH(Edges[[#This Row],[Vertex 1]],GroupVertices[Vertex],0)),1,1,"")</f>
        <v>2</v>
      </c>
      <c r="Q174" s="63" t="str">
        <f>REPLACE(INDEX(GroupVertices[Group],MATCH(Edges[[#This Row],[Vertex 2]],GroupVertices[Vertex],0)),1,1,"")</f>
        <v>2</v>
      </c>
      <c r="R174" s="66" t="s">
        <v>241</v>
      </c>
      <c r="S174" s="91">
        <v>44875.414131944446</v>
      </c>
      <c r="T174" s="66" t="s">
        <v>348</v>
      </c>
      <c r="U174" s="94" t="str">
        <f>HYPERLINK("http://transvisionmadrid.com")</f>
        <v>http://transvisionmadrid.com</v>
      </c>
      <c r="V174" s="66" t="s">
        <v>407</v>
      </c>
      <c r="W174" s="97" t="s">
        <v>428</v>
      </c>
      <c r="X174" s="94" t="str">
        <f>HYPERLINK("https://pbs.twimg.com/media/FhMawqBXwAAYDEv.jpg")</f>
        <v>https://pbs.twimg.com/media/FhMawqBXwAAYDEv.jpg</v>
      </c>
      <c r="Y174" s="94" t="str">
        <f>HYPERLINK("https://pbs.twimg.com/media/FhMawqBXwAAYDEv.jpg")</f>
        <v>https://pbs.twimg.com/media/FhMawqBXwAAYDEv.jpg</v>
      </c>
      <c r="Z174" s="91">
        <v>44875.414131944446</v>
      </c>
      <c r="AA174" s="100">
        <v>44875</v>
      </c>
      <c r="AB174" s="97" t="s">
        <v>511</v>
      </c>
      <c r="AC174" s="94" t="str">
        <f>HYPERLINK("https://twitter.com/transvisionmad1/status/1590644520517091328")</f>
        <v>https://twitter.com/transvisionmad1/status/1590644520517091328</v>
      </c>
      <c r="AD174" s="66"/>
      <c r="AE174" s="66"/>
      <c r="AF174" s="97" t="s">
        <v>644</v>
      </c>
      <c r="AG174" s="66"/>
      <c r="AH174" s="66" t="b">
        <v>0</v>
      </c>
      <c r="AI174" s="66">
        <v>0</v>
      </c>
      <c r="AJ174" s="97" t="s">
        <v>712</v>
      </c>
      <c r="AK174" s="66" t="b">
        <v>0</v>
      </c>
      <c r="AL174" s="66" t="s">
        <v>714</v>
      </c>
      <c r="AM174" s="66"/>
      <c r="AN174" s="97" t="s">
        <v>712</v>
      </c>
      <c r="AO174" s="66" t="b">
        <v>0</v>
      </c>
      <c r="AP174" s="66">
        <v>0</v>
      </c>
      <c r="AQ174" s="97" t="s">
        <v>712</v>
      </c>
      <c r="AR174" s="97" t="s">
        <v>724</v>
      </c>
      <c r="AS174" s="66" t="b">
        <v>0</v>
      </c>
      <c r="AT174" s="97" t="s">
        <v>644</v>
      </c>
      <c r="AU174" s="66" t="s">
        <v>241</v>
      </c>
      <c r="AV174" s="66">
        <v>0</v>
      </c>
      <c r="AW174" s="66">
        <v>0</v>
      </c>
      <c r="AX174" s="66"/>
      <c r="AY174" s="66"/>
      <c r="AZ174" s="66"/>
      <c r="BA174" s="66"/>
      <c r="BB174" s="66"/>
      <c r="BC174" s="66"/>
      <c r="BD174" s="66"/>
      <c r="BE174" s="66"/>
      <c r="BF174" s="45">
        <v>0</v>
      </c>
      <c r="BG174" s="46">
        <v>0</v>
      </c>
      <c r="BH174" s="45">
        <v>0</v>
      </c>
      <c r="BI174" s="46">
        <v>0</v>
      </c>
      <c r="BJ174" s="45">
        <v>0</v>
      </c>
      <c r="BK174" s="46">
        <v>0</v>
      </c>
      <c r="BL174" s="45">
        <v>16</v>
      </c>
      <c r="BM174" s="46">
        <v>84.21052631578948</v>
      </c>
      <c r="BN174" s="45">
        <v>19</v>
      </c>
    </row>
    <row r="175" spans="1:66" ht="15">
      <c r="A175" s="62" t="s">
        <v>298</v>
      </c>
      <c r="B175" s="62" t="s">
        <v>298</v>
      </c>
      <c r="C175" s="64" t="s">
        <v>1508</v>
      </c>
      <c r="D175" s="67">
        <v>10</v>
      </c>
      <c r="E175" s="68" t="s">
        <v>136</v>
      </c>
      <c r="F175" s="69">
        <v>15.941176470588236</v>
      </c>
      <c r="G175" s="64"/>
      <c r="H175" s="70"/>
      <c r="I175" s="71"/>
      <c r="J175" s="71"/>
      <c r="K175" s="31" t="s">
        <v>65</v>
      </c>
      <c r="L175" s="79">
        <v>175</v>
      </c>
      <c r="M175" s="79"/>
      <c r="N175" s="73"/>
      <c r="O175" s="66">
        <v>22</v>
      </c>
      <c r="P175" s="63" t="str">
        <f>REPLACE(INDEX(GroupVertices[Group],MATCH(Edges[[#This Row],[Vertex 1]],GroupVertices[Vertex],0)),1,1,"")</f>
        <v>2</v>
      </c>
      <c r="Q175" s="63" t="str">
        <f>REPLACE(INDEX(GroupVertices[Group],MATCH(Edges[[#This Row],[Vertex 2]],GroupVertices[Vertex],0)),1,1,"")</f>
        <v>2</v>
      </c>
      <c r="R175" s="66" t="s">
        <v>241</v>
      </c>
      <c r="S175" s="91">
        <v>44875.636354166665</v>
      </c>
      <c r="T175" s="66" t="s">
        <v>349</v>
      </c>
      <c r="U175" s="94" t="str">
        <f>HYPERLINK("http://transvisionmadrid.com")</f>
        <v>http://transvisionmadrid.com</v>
      </c>
      <c r="V175" s="66" t="s">
        <v>407</v>
      </c>
      <c r="W175" s="97" t="s">
        <v>428</v>
      </c>
      <c r="X175" s="94" t="str">
        <f>HYPERLINK("https://pbs.twimg.com/media/FhNkAJLXoAEWJrT.jpg")</f>
        <v>https://pbs.twimg.com/media/FhNkAJLXoAEWJrT.jpg</v>
      </c>
      <c r="Y175" s="94" t="str">
        <f>HYPERLINK("https://pbs.twimg.com/media/FhNkAJLXoAEWJrT.jpg")</f>
        <v>https://pbs.twimg.com/media/FhNkAJLXoAEWJrT.jpg</v>
      </c>
      <c r="Z175" s="91">
        <v>44875.636354166665</v>
      </c>
      <c r="AA175" s="100">
        <v>44875</v>
      </c>
      <c r="AB175" s="97" t="s">
        <v>512</v>
      </c>
      <c r="AC175" s="94" t="str">
        <f>HYPERLINK("https://twitter.com/transvisionmad1/status/1590725051489329152")</f>
        <v>https://twitter.com/transvisionmad1/status/1590725051489329152</v>
      </c>
      <c r="AD175" s="66"/>
      <c r="AE175" s="66"/>
      <c r="AF175" s="97" t="s">
        <v>645</v>
      </c>
      <c r="AG175" s="66"/>
      <c r="AH175" s="66" t="b">
        <v>0</v>
      </c>
      <c r="AI175" s="66">
        <v>0</v>
      </c>
      <c r="AJ175" s="97" t="s">
        <v>712</v>
      </c>
      <c r="AK175" s="66" t="b">
        <v>0</v>
      </c>
      <c r="AL175" s="66" t="s">
        <v>714</v>
      </c>
      <c r="AM175" s="66"/>
      <c r="AN175" s="97" t="s">
        <v>712</v>
      </c>
      <c r="AO175" s="66" t="b">
        <v>0</v>
      </c>
      <c r="AP175" s="66">
        <v>0</v>
      </c>
      <c r="AQ175" s="97" t="s">
        <v>712</v>
      </c>
      <c r="AR175" s="97" t="s">
        <v>724</v>
      </c>
      <c r="AS175" s="66" t="b">
        <v>0</v>
      </c>
      <c r="AT175" s="97" t="s">
        <v>645</v>
      </c>
      <c r="AU175" s="66" t="s">
        <v>241</v>
      </c>
      <c r="AV175" s="66">
        <v>0</v>
      </c>
      <c r="AW175" s="66">
        <v>0</v>
      </c>
      <c r="AX175" s="66"/>
      <c r="AY175" s="66"/>
      <c r="AZ175" s="66"/>
      <c r="BA175" s="66"/>
      <c r="BB175" s="66"/>
      <c r="BC175" s="66"/>
      <c r="BD175" s="66"/>
      <c r="BE175" s="66"/>
      <c r="BF175" s="45">
        <v>0</v>
      </c>
      <c r="BG175" s="46">
        <v>0</v>
      </c>
      <c r="BH175" s="45">
        <v>0</v>
      </c>
      <c r="BI175" s="46">
        <v>0</v>
      </c>
      <c r="BJ175" s="45">
        <v>0</v>
      </c>
      <c r="BK175" s="46">
        <v>0</v>
      </c>
      <c r="BL175" s="45">
        <v>16</v>
      </c>
      <c r="BM175" s="46">
        <v>84.21052631578948</v>
      </c>
      <c r="BN175" s="45">
        <v>19</v>
      </c>
    </row>
    <row r="176" spans="1:66" ht="15">
      <c r="A176" s="62" t="s">
        <v>298</v>
      </c>
      <c r="B176" s="62" t="s">
        <v>298</v>
      </c>
      <c r="C176" s="64" t="s">
        <v>1508</v>
      </c>
      <c r="D176" s="67">
        <v>10</v>
      </c>
      <c r="E176" s="68" t="s">
        <v>136</v>
      </c>
      <c r="F176" s="69">
        <v>15.941176470588236</v>
      </c>
      <c r="G176" s="64"/>
      <c r="H176" s="70"/>
      <c r="I176" s="71"/>
      <c r="J176" s="71"/>
      <c r="K176" s="31" t="s">
        <v>65</v>
      </c>
      <c r="L176" s="79">
        <v>176</v>
      </c>
      <c r="M176" s="79"/>
      <c r="N176" s="73"/>
      <c r="O176" s="66">
        <v>22</v>
      </c>
      <c r="P176" s="63" t="str">
        <f>REPLACE(INDEX(GroupVertices[Group],MATCH(Edges[[#This Row],[Vertex 1]],GroupVertices[Vertex],0)),1,1,"")</f>
        <v>2</v>
      </c>
      <c r="Q176" s="63" t="str">
        <f>REPLACE(INDEX(GroupVertices[Group],MATCH(Edges[[#This Row],[Vertex 2]],GroupVertices[Vertex],0)),1,1,"")</f>
        <v>2</v>
      </c>
      <c r="R176" s="66" t="s">
        <v>241</v>
      </c>
      <c r="S176" s="91">
        <v>44876.414131944446</v>
      </c>
      <c r="T176" s="66" t="s">
        <v>350</v>
      </c>
      <c r="U176" s="94" t="str">
        <f>HYPERLINK("http://transvisionmadrid.com")</f>
        <v>http://transvisionmadrid.com</v>
      </c>
      <c r="V176" s="66" t="s">
        <v>407</v>
      </c>
      <c r="W176" s="97" t="s">
        <v>428</v>
      </c>
      <c r="X176" s="94" t="str">
        <f>HYPERLINK("https://pbs.twimg.com/media/FhRkWd4XEAEO7ZX.jpg")</f>
        <v>https://pbs.twimg.com/media/FhRkWd4XEAEO7ZX.jpg</v>
      </c>
      <c r="Y176" s="94" t="str">
        <f>HYPERLINK("https://pbs.twimg.com/media/FhRkWd4XEAEO7ZX.jpg")</f>
        <v>https://pbs.twimg.com/media/FhRkWd4XEAEO7ZX.jpg</v>
      </c>
      <c r="Z176" s="91">
        <v>44876.414131944446</v>
      </c>
      <c r="AA176" s="100">
        <v>44876</v>
      </c>
      <c r="AB176" s="97" t="s">
        <v>511</v>
      </c>
      <c r="AC176" s="94" t="str">
        <f>HYPERLINK("https://twitter.com/transvisionmad1/status/1591006910886694912")</f>
        <v>https://twitter.com/transvisionmad1/status/1591006910886694912</v>
      </c>
      <c r="AD176" s="66"/>
      <c r="AE176" s="66"/>
      <c r="AF176" s="97" t="s">
        <v>646</v>
      </c>
      <c r="AG176" s="66"/>
      <c r="AH176" s="66" t="b">
        <v>0</v>
      </c>
      <c r="AI176" s="66">
        <v>1</v>
      </c>
      <c r="AJ176" s="97" t="s">
        <v>712</v>
      </c>
      <c r="AK176" s="66" t="b">
        <v>0</v>
      </c>
      <c r="AL176" s="66" t="s">
        <v>714</v>
      </c>
      <c r="AM176" s="66"/>
      <c r="AN176" s="97" t="s">
        <v>712</v>
      </c>
      <c r="AO176" s="66" t="b">
        <v>0</v>
      </c>
      <c r="AP176" s="66">
        <v>0</v>
      </c>
      <c r="AQ176" s="97" t="s">
        <v>712</v>
      </c>
      <c r="AR176" s="97" t="s">
        <v>724</v>
      </c>
      <c r="AS176" s="66" t="b">
        <v>0</v>
      </c>
      <c r="AT176" s="97" t="s">
        <v>646</v>
      </c>
      <c r="AU176" s="66" t="s">
        <v>241</v>
      </c>
      <c r="AV176" s="66">
        <v>0</v>
      </c>
      <c r="AW176" s="66">
        <v>0</v>
      </c>
      <c r="AX176" s="66"/>
      <c r="AY176" s="66"/>
      <c r="AZ176" s="66"/>
      <c r="BA176" s="66"/>
      <c r="BB176" s="66"/>
      <c r="BC176" s="66"/>
      <c r="BD176" s="66"/>
      <c r="BE176" s="66"/>
      <c r="BF176" s="45">
        <v>0</v>
      </c>
      <c r="BG176" s="46">
        <v>0</v>
      </c>
      <c r="BH176" s="45">
        <v>0</v>
      </c>
      <c r="BI176" s="46">
        <v>0</v>
      </c>
      <c r="BJ176" s="45">
        <v>0</v>
      </c>
      <c r="BK176" s="46">
        <v>0</v>
      </c>
      <c r="BL176" s="45">
        <v>17</v>
      </c>
      <c r="BM176" s="46">
        <v>85</v>
      </c>
      <c r="BN176" s="45">
        <v>20</v>
      </c>
    </row>
    <row r="177" spans="1:66" ht="15">
      <c r="A177" s="62" t="s">
        <v>298</v>
      </c>
      <c r="B177" s="62" t="s">
        <v>298</v>
      </c>
      <c r="C177" s="64" t="s">
        <v>1508</v>
      </c>
      <c r="D177" s="67">
        <v>10</v>
      </c>
      <c r="E177" s="68" t="s">
        <v>136</v>
      </c>
      <c r="F177" s="69">
        <v>15.941176470588236</v>
      </c>
      <c r="G177" s="64"/>
      <c r="H177" s="70"/>
      <c r="I177" s="71"/>
      <c r="J177" s="71"/>
      <c r="K177" s="31" t="s">
        <v>65</v>
      </c>
      <c r="L177" s="79">
        <v>177</v>
      </c>
      <c r="M177" s="79"/>
      <c r="N177" s="73"/>
      <c r="O177" s="66">
        <v>22</v>
      </c>
      <c r="P177" s="63" t="str">
        <f>REPLACE(INDEX(GroupVertices[Group],MATCH(Edges[[#This Row],[Vertex 1]],GroupVertices[Vertex],0)),1,1,"")</f>
        <v>2</v>
      </c>
      <c r="Q177" s="63" t="str">
        <f>REPLACE(INDEX(GroupVertices[Group],MATCH(Edges[[#This Row],[Vertex 2]],GroupVertices[Vertex],0)),1,1,"")</f>
        <v>2</v>
      </c>
      <c r="R177" s="66" t="s">
        <v>241</v>
      </c>
      <c r="S177" s="91">
        <v>44876.636875</v>
      </c>
      <c r="T177" s="66" t="s">
        <v>351</v>
      </c>
      <c r="U177" s="94" t="str">
        <f>HYPERLINK("http://transvisionmadrid.com")</f>
        <v>http://transvisionmadrid.com</v>
      </c>
      <c r="V177" s="66" t="s">
        <v>407</v>
      </c>
      <c r="W177" s="97" t="s">
        <v>428</v>
      </c>
      <c r="X177" s="94" t="str">
        <f>HYPERLINK("https://pbs.twimg.com/media/FhStw5bWYAIB-Rt.jpg")</f>
        <v>https://pbs.twimg.com/media/FhStw5bWYAIB-Rt.jpg</v>
      </c>
      <c r="Y177" s="94" t="str">
        <f>HYPERLINK("https://pbs.twimg.com/media/FhStw5bWYAIB-Rt.jpg")</f>
        <v>https://pbs.twimg.com/media/FhStw5bWYAIB-Rt.jpg</v>
      </c>
      <c r="Z177" s="91">
        <v>44876.636875</v>
      </c>
      <c r="AA177" s="100">
        <v>44876</v>
      </c>
      <c r="AB177" s="97" t="s">
        <v>513</v>
      </c>
      <c r="AC177" s="94" t="str">
        <f>HYPERLINK("https://twitter.com/transvisionmad1/status/1591087629482729473")</f>
        <v>https://twitter.com/transvisionmad1/status/1591087629482729473</v>
      </c>
      <c r="AD177" s="66"/>
      <c r="AE177" s="66"/>
      <c r="AF177" s="97" t="s">
        <v>647</v>
      </c>
      <c r="AG177" s="66"/>
      <c r="AH177" s="66" t="b">
        <v>0</v>
      </c>
      <c r="AI177" s="66">
        <v>0</v>
      </c>
      <c r="AJ177" s="97" t="s">
        <v>712</v>
      </c>
      <c r="AK177" s="66" t="b">
        <v>0</v>
      </c>
      <c r="AL177" s="66" t="s">
        <v>714</v>
      </c>
      <c r="AM177" s="66"/>
      <c r="AN177" s="97" t="s">
        <v>712</v>
      </c>
      <c r="AO177" s="66" t="b">
        <v>0</v>
      </c>
      <c r="AP177" s="66">
        <v>0</v>
      </c>
      <c r="AQ177" s="97" t="s">
        <v>712</v>
      </c>
      <c r="AR177" s="97" t="s">
        <v>724</v>
      </c>
      <c r="AS177" s="66" t="b">
        <v>0</v>
      </c>
      <c r="AT177" s="97" t="s">
        <v>647</v>
      </c>
      <c r="AU177" s="66" t="s">
        <v>241</v>
      </c>
      <c r="AV177" s="66">
        <v>0</v>
      </c>
      <c r="AW177" s="66">
        <v>0</v>
      </c>
      <c r="AX177" s="66"/>
      <c r="AY177" s="66"/>
      <c r="AZ177" s="66"/>
      <c r="BA177" s="66"/>
      <c r="BB177" s="66"/>
      <c r="BC177" s="66"/>
      <c r="BD177" s="66"/>
      <c r="BE177" s="66"/>
      <c r="BF177" s="45">
        <v>0</v>
      </c>
      <c r="BG177" s="46">
        <v>0</v>
      </c>
      <c r="BH177" s="45">
        <v>0</v>
      </c>
      <c r="BI177" s="46">
        <v>0</v>
      </c>
      <c r="BJ177" s="45">
        <v>0</v>
      </c>
      <c r="BK177" s="46">
        <v>0</v>
      </c>
      <c r="BL177" s="45">
        <v>17</v>
      </c>
      <c r="BM177" s="46">
        <v>85</v>
      </c>
      <c r="BN177" s="45">
        <v>20</v>
      </c>
    </row>
    <row r="178" spans="1:66" ht="15">
      <c r="A178" s="62" t="s">
        <v>298</v>
      </c>
      <c r="B178" s="62" t="s">
        <v>298</v>
      </c>
      <c r="C178" s="64" t="s">
        <v>1508</v>
      </c>
      <c r="D178" s="67">
        <v>10</v>
      </c>
      <c r="E178" s="68" t="s">
        <v>136</v>
      </c>
      <c r="F178" s="69">
        <v>15.941176470588236</v>
      </c>
      <c r="G178" s="64"/>
      <c r="H178" s="70"/>
      <c r="I178" s="71"/>
      <c r="J178" s="71"/>
      <c r="K178" s="31" t="s">
        <v>65</v>
      </c>
      <c r="L178" s="79">
        <v>178</v>
      </c>
      <c r="M178" s="79"/>
      <c r="N178" s="73"/>
      <c r="O178" s="66">
        <v>22</v>
      </c>
      <c r="P178" s="63" t="str">
        <f>REPLACE(INDEX(GroupVertices[Group],MATCH(Edges[[#This Row],[Vertex 1]],GroupVertices[Vertex],0)),1,1,"")</f>
        <v>2</v>
      </c>
      <c r="Q178" s="63" t="str">
        <f>REPLACE(INDEX(GroupVertices[Group],MATCH(Edges[[#This Row],[Vertex 2]],GroupVertices[Vertex],0)),1,1,"")</f>
        <v>2</v>
      </c>
      <c r="R178" s="66" t="s">
        <v>241</v>
      </c>
      <c r="S178" s="91">
        <v>44876.836331018516</v>
      </c>
      <c r="T178" s="66" t="s">
        <v>327</v>
      </c>
      <c r="U178" s="94" t="str">
        <f>HYPERLINK("http://transvisionmadrid.com")</f>
        <v>http://transvisionmadrid.com</v>
      </c>
      <c r="V178" s="66" t="s">
        <v>407</v>
      </c>
      <c r="W178" s="97" t="s">
        <v>428</v>
      </c>
      <c r="X178" s="94" t="str">
        <f>HYPERLINK("https://pbs.twimg.com/media/FhTvgAiXgBAb2MX.jpg")</f>
        <v>https://pbs.twimg.com/media/FhTvgAiXgBAb2MX.jpg</v>
      </c>
      <c r="Y178" s="94" t="str">
        <f>HYPERLINK("https://pbs.twimg.com/media/FhTvgAiXgBAb2MX.jpg")</f>
        <v>https://pbs.twimg.com/media/FhTvgAiXgBAb2MX.jpg</v>
      </c>
      <c r="Z178" s="91">
        <v>44876.836331018516</v>
      </c>
      <c r="AA178" s="100">
        <v>44876</v>
      </c>
      <c r="AB178" s="97" t="s">
        <v>514</v>
      </c>
      <c r="AC178" s="94" t="str">
        <f>HYPERLINK("https://twitter.com/transvisionmad1/status/1591159908736667648")</f>
        <v>https://twitter.com/transvisionmad1/status/1591159908736667648</v>
      </c>
      <c r="AD178" s="66"/>
      <c r="AE178" s="66"/>
      <c r="AF178" s="97" t="s">
        <v>648</v>
      </c>
      <c r="AG178" s="66"/>
      <c r="AH178" s="66" t="b">
        <v>0</v>
      </c>
      <c r="AI178" s="66">
        <v>3</v>
      </c>
      <c r="AJ178" s="97" t="s">
        <v>712</v>
      </c>
      <c r="AK178" s="66" t="b">
        <v>0</v>
      </c>
      <c r="AL178" s="66" t="s">
        <v>714</v>
      </c>
      <c r="AM178" s="66"/>
      <c r="AN178" s="97" t="s">
        <v>712</v>
      </c>
      <c r="AO178" s="66" t="b">
        <v>0</v>
      </c>
      <c r="AP178" s="66">
        <v>1</v>
      </c>
      <c r="AQ178" s="97" t="s">
        <v>712</v>
      </c>
      <c r="AR178" s="97" t="s">
        <v>724</v>
      </c>
      <c r="AS178" s="66" t="b">
        <v>0</v>
      </c>
      <c r="AT178" s="97" t="s">
        <v>648</v>
      </c>
      <c r="AU178" s="66" t="s">
        <v>241</v>
      </c>
      <c r="AV178" s="66">
        <v>0</v>
      </c>
      <c r="AW178" s="66">
        <v>0</v>
      </c>
      <c r="AX178" s="66"/>
      <c r="AY178" s="66"/>
      <c r="AZ178" s="66"/>
      <c r="BA178" s="66"/>
      <c r="BB178" s="66"/>
      <c r="BC178" s="66"/>
      <c r="BD178" s="66"/>
      <c r="BE178" s="66"/>
      <c r="BF178" s="45">
        <v>0</v>
      </c>
      <c r="BG178" s="46">
        <v>0</v>
      </c>
      <c r="BH178" s="45">
        <v>0</v>
      </c>
      <c r="BI178" s="46">
        <v>0</v>
      </c>
      <c r="BJ178" s="45">
        <v>0</v>
      </c>
      <c r="BK178" s="46">
        <v>0</v>
      </c>
      <c r="BL178" s="45">
        <v>16</v>
      </c>
      <c r="BM178" s="46">
        <v>84.21052631578948</v>
      </c>
      <c r="BN178" s="45">
        <v>19</v>
      </c>
    </row>
    <row r="179" spans="1:66" ht="15">
      <c r="A179" s="62" t="s">
        <v>298</v>
      </c>
      <c r="B179" s="62" t="s">
        <v>305</v>
      </c>
      <c r="C179" s="64" t="s">
        <v>1509</v>
      </c>
      <c r="D179" s="67">
        <v>10</v>
      </c>
      <c r="E179" s="68" t="s">
        <v>136</v>
      </c>
      <c r="F179" s="69">
        <v>28.941176470588236</v>
      </c>
      <c r="G179" s="64"/>
      <c r="H179" s="70"/>
      <c r="I179" s="71"/>
      <c r="J179" s="71"/>
      <c r="K179" s="31" t="s">
        <v>65</v>
      </c>
      <c r="L179" s="79">
        <v>179</v>
      </c>
      <c r="M179" s="79"/>
      <c r="N179" s="73"/>
      <c r="O179" s="66">
        <v>5</v>
      </c>
      <c r="P179" s="63" t="str">
        <f>REPLACE(INDEX(GroupVertices[Group],MATCH(Edges[[#This Row],[Vertex 1]],GroupVertices[Vertex],0)),1,1,"")</f>
        <v>2</v>
      </c>
      <c r="Q179" s="63" t="str">
        <f>REPLACE(INDEX(GroupVertices[Group],MATCH(Edges[[#This Row],[Vertex 2]],GroupVertices[Vertex],0)),1,1,"")</f>
        <v>4</v>
      </c>
      <c r="R179" s="66" t="s">
        <v>315</v>
      </c>
      <c r="S179" s="91">
        <v>44877.405023148145</v>
      </c>
      <c r="T179" s="66" t="s">
        <v>319</v>
      </c>
      <c r="U179" s="94" t="str">
        <f>HYPERLINK("https://www.abc.es/sociedad/cuatro-espanoles-reposan-congelados-espera-resucitados-20221109220843-nt.html")</f>
        <v>https://www.abc.es/sociedad/cuatro-espanoles-reposan-congelados-espera-resucitados-20221109220843-nt.html</v>
      </c>
      <c r="V179" s="66" t="s">
        <v>402</v>
      </c>
      <c r="W179" s="97" t="s">
        <v>422</v>
      </c>
      <c r="X179" s="66"/>
      <c r="Y179" s="94" t="str">
        <f>HYPERLINK("https://pbs.twimg.com/profile_images/1416462775400927235/DSrY8TK-_normal.jpg")</f>
        <v>https://pbs.twimg.com/profile_images/1416462775400927235/DSrY8TK-_normal.jpg</v>
      </c>
      <c r="Z179" s="91">
        <v>44877.405023148145</v>
      </c>
      <c r="AA179" s="100">
        <v>44877</v>
      </c>
      <c r="AB179" s="97" t="s">
        <v>515</v>
      </c>
      <c r="AC179" s="94" t="str">
        <f>HYPERLINK("https://twitter.com/transvisionmad1/status/1591365995439874049")</f>
        <v>https://twitter.com/transvisionmad1/status/1591365995439874049</v>
      </c>
      <c r="AD179" s="66"/>
      <c r="AE179" s="66"/>
      <c r="AF179" s="97" t="s">
        <v>649</v>
      </c>
      <c r="AG179" s="66"/>
      <c r="AH179" s="66" t="b">
        <v>0</v>
      </c>
      <c r="AI179" s="66">
        <v>0</v>
      </c>
      <c r="AJ179" s="97" t="s">
        <v>712</v>
      </c>
      <c r="AK179" s="66" t="b">
        <v>0</v>
      </c>
      <c r="AL179" s="66" t="s">
        <v>715</v>
      </c>
      <c r="AM179" s="66"/>
      <c r="AN179" s="97" t="s">
        <v>712</v>
      </c>
      <c r="AO179" s="66" t="b">
        <v>0</v>
      </c>
      <c r="AP179" s="66">
        <v>2</v>
      </c>
      <c r="AQ179" s="97" t="s">
        <v>687</v>
      </c>
      <c r="AR179" s="97" t="s">
        <v>717</v>
      </c>
      <c r="AS179" s="66" t="b">
        <v>0</v>
      </c>
      <c r="AT179" s="97" t="s">
        <v>687</v>
      </c>
      <c r="AU179" s="66" t="s">
        <v>241</v>
      </c>
      <c r="AV179" s="66">
        <v>0</v>
      </c>
      <c r="AW179" s="66">
        <v>0</v>
      </c>
      <c r="AX179" s="66"/>
      <c r="AY179" s="66"/>
      <c r="AZ179" s="66"/>
      <c r="BA179" s="66"/>
      <c r="BB179" s="66"/>
      <c r="BC179" s="66"/>
      <c r="BD179" s="66"/>
      <c r="BE179" s="66"/>
      <c r="BF179" s="45">
        <v>0</v>
      </c>
      <c r="BG179" s="46">
        <v>0</v>
      </c>
      <c r="BH179" s="45">
        <v>0</v>
      </c>
      <c r="BI179" s="46">
        <v>0</v>
      </c>
      <c r="BJ179" s="45">
        <v>0</v>
      </c>
      <c r="BK179" s="46">
        <v>0</v>
      </c>
      <c r="BL179" s="45">
        <v>23</v>
      </c>
      <c r="BM179" s="46">
        <v>67.6470588235294</v>
      </c>
      <c r="BN179" s="45">
        <v>34</v>
      </c>
    </row>
    <row r="180" spans="1:66" ht="15">
      <c r="A180" s="62" t="s">
        <v>298</v>
      </c>
      <c r="B180" s="62" t="s">
        <v>305</v>
      </c>
      <c r="C180" s="64" t="s">
        <v>1506</v>
      </c>
      <c r="D180" s="67">
        <v>6.5</v>
      </c>
      <c r="E180" s="68" t="s">
        <v>136</v>
      </c>
      <c r="F180" s="69">
        <v>30.470588235294116</v>
      </c>
      <c r="G180" s="64"/>
      <c r="H180" s="70"/>
      <c r="I180" s="71"/>
      <c r="J180" s="71"/>
      <c r="K180" s="31" t="s">
        <v>65</v>
      </c>
      <c r="L180" s="79">
        <v>180</v>
      </c>
      <c r="M180" s="79"/>
      <c r="N180" s="73"/>
      <c r="O180" s="66">
        <v>3</v>
      </c>
      <c r="P180" s="63" t="str">
        <f>REPLACE(INDEX(GroupVertices[Group],MATCH(Edges[[#This Row],[Vertex 1]],GroupVertices[Vertex],0)),1,1,"")</f>
        <v>2</v>
      </c>
      <c r="Q180" s="63" t="str">
        <f>REPLACE(INDEX(GroupVertices[Group],MATCH(Edges[[#This Row],[Vertex 2]],GroupVertices[Vertex],0)),1,1,"")</f>
        <v>4</v>
      </c>
      <c r="R180" s="66" t="s">
        <v>317</v>
      </c>
      <c r="S180" s="91">
        <v>44877.40723379629</v>
      </c>
      <c r="T180" s="66" t="s">
        <v>341</v>
      </c>
      <c r="U180" s="94" t="str">
        <f>HYPERLINK("https://www.youtube.com/watch?v=xb0JCOgMsXc")</f>
        <v>https://www.youtube.com/watch?v=xb0JCOgMsXc</v>
      </c>
      <c r="V180" s="66" t="s">
        <v>403</v>
      </c>
      <c r="W180" s="97" t="s">
        <v>421</v>
      </c>
      <c r="X180" s="66"/>
      <c r="Y180" s="94" t="str">
        <f>HYPERLINK("https://pbs.twimg.com/profile_images/1416462775400927235/DSrY8TK-_normal.jpg")</f>
        <v>https://pbs.twimg.com/profile_images/1416462775400927235/DSrY8TK-_normal.jpg</v>
      </c>
      <c r="Z180" s="91">
        <v>44877.40723379629</v>
      </c>
      <c r="AA180" s="100">
        <v>44877</v>
      </c>
      <c r="AB180" s="97" t="s">
        <v>500</v>
      </c>
      <c r="AC180" s="94" t="str">
        <f>HYPERLINK("https://twitter.com/transvisionmad1/status/1591366796648808449")</f>
        <v>https://twitter.com/transvisionmad1/status/1591366796648808449</v>
      </c>
      <c r="AD180" s="66"/>
      <c r="AE180" s="66"/>
      <c r="AF180" s="97" t="s">
        <v>633</v>
      </c>
      <c r="AG180" s="66"/>
      <c r="AH180" s="66" t="b">
        <v>0</v>
      </c>
      <c r="AI180" s="66">
        <v>3</v>
      </c>
      <c r="AJ180" s="97" t="s">
        <v>712</v>
      </c>
      <c r="AK180" s="66" t="b">
        <v>0</v>
      </c>
      <c r="AL180" s="66" t="s">
        <v>715</v>
      </c>
      <c r="AM180" s="66"/>
      <c r="AN180" s="97" t="s">
        <v>712</v>
      </c>
      <c r="AO180" s="66" t="b">
        <v>0</v>
      </c>
      <c r="AP180" s="66">
        <v>1</v>
      </c>
      <c r="AQ180" s="97" t="s">
        <v>712</v>
      </c>
      <c r="AR180" s="97" t="s">
        <v>717</v>
      </c>
      <c r="AS180" s="66" t="b">
        <v>0</v>
      </c>
      <c r="AT180" s="97" t="s">
        <v>633</v>
      </c>
      <c r="AU180" s="66" t="s">
        <v>241</v>
      </c>
      <c r="AV180" s="66">
        <v>0</v>
      </c>
      <c r="AW180" s="66">
        <v>0</v>
      </c>
      <c r="AX180" s="66"/>
      <c r="AY180" s="66"/>
      <c r="AZ180" s="66"/>
      <c r="BA180" s="66"/>
      <c r="BB180" s="66"/>
      <c r="BC180" s="66"/>
      <c r="BD180" s="66"/>
      <c r="BE180" s="66"/>
      <c r="BF180" s="45">
        <v>0</v>
      </c>
      <c r="BG180" s="46">
        <v>0</v>
      </c>
      <c r="BH180" s="45">
        <v>0</v>
      </c>
      <c r="BI180" s="46">
        <v>0</v>
      </c>
      <c r="BJ180" s="45">
        <v>0</v>
      </c>
      <c r="BK180" s="46">
        <v>0</v>
      </c>
      <c r="BL180" s="45">
        <v>17</v>
      </c>
      <c r="BM180" s="46">
        <v>73.91304347826087</v>
      </c>
      <c r="BN180" s="45">
        <v>23</v>
      </c>
    </row>
    <row r="181" spans="1:66" ht="15">
      <c r="A181" s="62" t="s">
        <v>298</v>
      </c>
      <c r="B181" s="62" t="s">
        <v>305</v>
      </c>
      <c r="C181" s="64" t="s">
        <v>1506</v>
      </c>
      <c r="D181" s="67">
        <v>6.5</v>
      </c>
      <c r="E181" s="68" t="s">
        <v>136</v>
      </c>
      <c r="F181" s="69">
        <v>30.470588235294116</v>
      </c>
      <c r="G181" s="64"/>
      <c r="H181" s="70"/>
      <c r="I181" s="71"/>
      <c r="J181" s="71"/>
      <c r="K181" s="31" t="s">
        <v>65</v>
      </c>
      <c r="L181" s="79">
        <v>181</v>
      </c>
      <c r="M181" s="79"/>
      <c r="N181" s="73"/>
      <c r="O181" s="66">
        <v>3</v>
      </c>
      <c r="P181" s="63" t="str">
        <f>REPLACE(INDEX(GroupVertices[Group],MATCH(Edges[[#This Row],[Vertex 1]],GroupVertices[Vertex],0)),1,1,"")</f>
        <v>2</v>
      </c>
      <c r="Q181" s="63" t="str">
        <f>REPLACE(INDEX(GroupVertices[Group],MATCH(Edges[[#This Row],[Vertex 2]],GroupVertices[Vertex],0)),1,1,"")</f>
        <v>4</v>
      </c>
      <c r="R181" s="66" t="s">
        <v>317</v>
      </c>
      <c r="S181" s="91">
        <v>44877.409004629626</v>
      </c>
      <c r="T181" s="66" t="s">
        <v>344</v>
      </c>
      <c r="U181" s="94" t="str">
        <f>HYPERLINK("https://www.youtube.com/watch?v=xb0JCOgMsXc")</f>
        <v>https://www.youtube.com/watch?v=xb0JCOgMsXc</v>
      </c>
      <c r="V181" s="66" t="s">
        <v>403</v>
      </c>
      <c r="W181" s="97" t="s">
        <v>421</v>
      </c>
      <c r="X181" s="94" t="str">
        <f>HYPERLINK("https://pbs.twimg.com/media/FhWsCzBXwAA-d9k.jpg")</f>
        <v>https://pbs.twimg.com/media/FhWsCzBXwAA-d9k.jpg</v>
      </c>
      <c r="Y181" s="94" t="str">
        <f>HYPERLINK("https://pbs.twimg.com/media/FhWsCzBXwAA-d9k.jpg")</f>
        <v>https://pbs.twimg.com/media/FhWsCzBXwAA-d9k.jpg</v>
      </c>
      <c r="Z181" s="91">
        <v>44877.409004629626</v>
      </c>
      <c r="AA181" s="100">
        <v>44877</v>
      </c>
      <c r="AB181" s="97" t="s">
        <v>501</v>
      </c>
      <c r="AC181" s="94" t="str">
        <f>HYPERLINK("https://twitter.com/transvisionmad1/status/1591367441027776513")</f>
        <v>https://twitter.com/transvisionmad1/status/1591367441027776513</v>
      </c>
      <c r="AD181" s="66"/>
      <c r="AE181" s="66"/>
      <c r="AF181" s="97" t="s">
        <v>634</v>
      </c>
      <c r="AG181" s="97" t="s">
        <v>633</v>
      </c>
      <c r="AH181" s="66" t="b">
        <v>0</v>
      </c>
      <c r="AI181" s="66">
        <v>0</v>
      </c>
      <c r="AJ181" s="97" t="s">
        <v>713</v>
      </c>
      <c r="AK181" s="66" t="b">
        <v>0</v>
      </c>
      <c r="AL181" s="66" t="s">
        <v>715</v>
      </c>
      <c r="AM181" s="66"/>
      <c r="AN181" s="97" t="s">
        <v>712</v>
      </c>
      <c r="AO181" s="66" t="b">
        <v>0</v>
      </c>
      <c r="AP181" s="66">
        <v>0</v>
      </c>
      <c r="AQ181" s="97" t="s">
        <v>712</v>
      </c>
      <c r="AR181" s="97" t="s">
        <v>717</v>
      </c>
      <c r="AS181" s="66" t="b">
        <v>0</v>
      </c>
      <c r="AT181" s="97" t="s">
        <v>633</v>
      </c>
      <c r="AU181" s="66" t="s">
        <v>241</v>
      </c>
      <c r="AV181" s="66">
        <v>0</v>
      </c>
      <c r="AW181" s="66">
        <v>0</v>
      </c>
      <c r="AX181" s="66"/>
      <c r="AY181" s="66"/>
      <c r="AZ181" s="66"/>
      <c r="BA181" s="66"/>
      <c r="BB181" s="66"/>
      <c r="BC181" s="66"/>
      <c r="BD181" s="66"/>
      <c r="BE181" s="66"/>
      <c r="BF181" s="45">
        <v>0</v>
      </c>
      <c r="BG181" s="46">
        <v>0</v>
      </c>
      <c r="BH181" s="45">
        <v>0</v>
      </c>
      <c r="BI181" s="46">
        <v>0</v>
      </c>
      <c r="BJ181" s="45">
        <v>0</v>
      </c>
      <c r="BK181" s="46">
        <v>0</v>
      </c>
      <c r="BL181" s="45">
        <v>13</v>
      </c>
      <c r="BM181" s="46">
        <v>68.42105263157895</v>
      </c>
      <c r="BN181" s="45">
        <v>19</v>
      </c>
    </row>
    <row r="182" spans="1:66" ht="15">
      <c r="A182" s="62" t="s">
        <v>298</v>
      </c>
      <c r="B182" s="62" t="s">
        <v>298</v>
      </c>
      <c r="C182" s="64" t="s">
        <v>1508</v>
      </c>
      <c r="D182" s="67">
        <v>10</v>
      </c>
      <c r="E182" s="68" t="s">
        <v>136</v>
      </c>
      <c r="F182" s="69">
        <v>15.941176470588236</v>
      </c>
      <c r="G182" s="64"/>
      <c r="H182" s="70"/>
      <c r="I182" s="71"/>
      <c r="J182" s="71"/>
      <c r="K182" s="31" t="s">
        <v>65</v>
      </c>
      <c r="L182" s="79">
        <v>182</v>
      </c>
      <c r="M182" s="79"/>
      <c r="N182" s="73"/>
      <c r="O182" s="66">
        <v>22</v>
      </c>
      <c r="P182" s="63" t="str">
        <f>REPLACE(INDEX(GroupVertices[Group],MATCH(Edges[[#This Row],[Vertex 1]],GroupVertices[Vertex],0)),1,1,"")</f>
        <v>2</v>
      </c>
      <c r="Q182" s="63" t="str">
        <f>REPLACE(INDEX(GroupVertices[Group],MATCH(Edges[[#This Row],[Vertex 2]],GroupVertices[Vertex],0)),1,1,"")</f>
        <v>2</v>
      </c>
      <c r="R182" s="66" t="s">
        <v>241</v>
      </c>
      <c r="S182" s="91">
        <v>44877.41412037037</v>
      </c>
      <c r="T182" s="66" t="s">
        <v>352</v>
      </c>
      <c r="U182" s="94" t="str">
        <f>HYPERLINK("http://transvisionmadrid.com")</f>
        <v>http://transvisionmadrid.com</v>
      </c>
      <c r="V182" s="66" t="s">
        <v>407</v>
      </c>
      <c r="W182" s="97" t="s">
        <v>428</v>
      </c>
      <c r="X182" s="94" t="str">
        <f>HYPERLINK("https://pbs.twimg.com/media/FhWt75pXwAAE9yY.jpg")</f>
        <v>https://pbs.twimg.com/media/FhWt75pXwAAE9yY.jpg</v>
      </c>
      <c r="Y182" s="94" t="str">
        <f>HYPERLINK("https://pbs.twimg.com/media/FhWt75pXwAAE9yY.jpg")</f>
        <v>https://pbs.twimg.com/media/FhWt75pXwAAE9yY.jpg</v>
      </c>
      <c r="Z182" s="91">
        <v>44877.41412037037</v>
      </c>
      <c r="AA182" s="100">
        <v>44877</v>
      </c>
      <c r="AB182" s="97" t="s">
        <v>516</v>
      </c>
      <c r="AC182" s="94" t="str">
        <f>HYPERLINK("https://twitter.com/transvisionmad1/status/1591369292125200384")</f>
        <v>https://twitter.com/transvisionmad1/status/1591369292125200384</v>
      </c>
      <c r="AD182" s="66"/>
      <c r="AE182" s="66"/>
      <c r="AF182" s="97" t="s">
        <v>650</v>
      </c>
      <c r="AG182" s="66"/>
      <c r="AH182" s="66" t="b">
        <v>0</v>
      </c>
      <c r="AI182" s="66">
        <v>1</v>
      </c>
      <c r="AJ182" s="97" t="s">
        <v>712</v>
      </c>
      <c r="AK182" s="66" t="b">
        <v>0</v>
      </c>
      <c r="AL182" s="66" t="s">
        <v>714</v>
      </c>
      <c r="AM182" s="66"/>
      <c r="AN182" s="97" t="s">
        <v>712</v>
      </c>
      <c r="AO182" s="66" t="b">
        <v>0</v>
      </c>
      <c r="AP182" s="66">
        <v>0</v>
      </c>
      <c r="AQ182" s="97" t="s">
        <v>712</v>
      </c>
      <c r="AR182" s="97" t="s">
        <v>724</v>
      </c>
      <c r="AS182" s="66" t="b">
        <v>0</v>
      </c>
      <c r="AT182" s="97" t="s">
        <v>650</v>
      </c>
      <c r="AU182" s="66" t="s">
        <v>241</v>
      </c>
      <c r="AV182" s="66">
        <v>0</v>
      </c>
      <c r="AW182" s="66">
        <v>0</v>
      </c>
      <c r="AX182" s="66"/>
      <c r="AY182" s="66"/>
      <c r="AZ182" s="66"/>
      <c r="BA182" s="66"/>
      <c r="BB182" s="66"/>
      <c r="BC182" s="66"/>
      <c r="BD182" s="66"/>
      <c r="BE182" s="66"/>
      <c r="BF182" s="45">
        <v>0</v>
      </c>
      <c r="BG182" s="46">
        <v>0</v>
      </c>
      <c r="BH182" s="45">
        <v>0</v>
      </c>
      <c r="BI182" s="46">
        <v>0</v>
      </c>
      <c r="BJ182" s="45">
        <v>0</v>
      </c>
      <c r="BK182" s="46">
        <v>0</v>
      </c>
      <c r="BL182" s="45">
        <v>16</v>
      </c>
      <c r="BM182" s="46">
        <v>76.19047619047619</v>
      </c>
      <c r="BN182" s="45">
        <v>21</v>
      </c>
    </row>
    <row r="183" spans="1:66" ht="15">
      <c r="A183" s="62" t="s">
        <v>298</v>
      </c>
      <c r="B183" s="62" t="s">
        <v>305</v>
      </c>
      <c r="C183" s="64" t="s">
        <v>1506</v>
      </c>
      <c r="D183" s="67">
        <v>6.5</v>
      </c>
      <c r="E183" s="68" t="s">
        <v>136</v>
      </c>
      <c r="F183" s="69">
        <v>30.470588235294116</v>
      </c>
      <c r="G183" s="64"/>
      <c r="H183" s="70"/>
      <c r="I183" s="71"/>
      <c r="J183" s="71"/>
      <c r="K183" s="31" t="s">
        <v>65</v>
      </c>
      <c r="L183" s="79">
        <v>183</v>
      </c>
      <c r="M183" s="79"/>
      <c r="N183" s="73"/>
      <c r="O183" s="66">
        <v>3</v>
      </c>
      <c r="P183" s="63" t="str">
        <f>REPLACE(INDEX(GroupVertices[Group],MATCH(Edges[[#This Row],[Vertex 1]],GroupVertices[Vertex],0)),1,1,"")</f>
        <v>2</v>
      </c>
      <c r="Q183" s="63" t="str">
        <f>REPLACE(INDEX(GroupVertices[Group],MATCH(Edges[[#This Row],[Vertex 2]],GroupVertices[Vertex],0)),1,1,"")</f>
        <v>4</v>
      </c>
      <c r="R183" s="66" t="s">
        <v>317</v>
      </c>
      <c r="S183" s="91">
        <v>44877.42091435185</v>
      </c>
      <c r="T183" s="66" t="s">
        <v>320</v>
      </c>
      <c r="U183" s="94" t="str">
        <f>HYPERLINK("https://www.youtube.com/watch?v=xb0JCOgMsXc&amp;feature=youtu.be")</f>
        <v>https://www.youtube.com/watch?v=xb0JCOgMsXc&amp;feature=youtu.be</v>
      </c>
      <c r="V183" s="66" t="s">
        <v>403</v>
      </c>
      <c r="W183" s="97" t="s">
        <v>423</v>
      </c>
      <c r="X183" s="94" t="str">
        <f>HYPERLINK("https://pbs.twimg.com/media/FhWu7YzX0AEJMfI.png")</f>
        <v>https://pbs.twimg.com/media/FhWu7YzX0AEJMfI.png</v>
      </c>
      <c r="Y183" s="94" t="str">
        <f>HYPERLINK("https://pbs.twimg.com/media/FhWu7YzX0AEJMfI.png")</f>
        <v>https://pbs.twimg.com/media/FhWu7YzX0AEJMfI.png</v>
      </c>
      <c r="Z183" s="91">
        <v>44877.42091435185</v>
      </c>
      <c r="AA183" s="100">
        <v>44877</v>
      </c>
      <c r="AB183" s="97" t="s">
        <v>480</v>
      </c>
      <c r="AC183" s="94" t="str">
        <f>HYPERLINK("https://twitter.com/transvisionmad1/status/1591371754617946112")</f>
        <v>https://twitter.com/transvisionmad1/status/1591371754617946112</v>
      </c>
      <c r="AD183" s="66"/>
      <c r="AE183" s="66"/>
      <c r="AF183" s="97" t="s">
        <v>613</v>
      </c>
      <c r="AG183" s="66"/>
      <c r="AH183" s="66" t="b">
        <v>0</v>
      </c>
      <c r="AI183" s="66">
        <v>3</v>
      </c>
      <c r="AJ183" s="97" t="s">
        <v>712</v>
      </c>
      <c r="AK183" s="66" t="b">
        <v>0</v>
      </c>
      <c r="AL183" s="66" t="s">
        <v>715</v>
      </c>
      <c r="AM183" s="66"/>
      <c r="AN183" s="97" t="s">
        <v>712</v>
      </c>
      <c r="AO183" s="66" t="b">
        <v>0</v>
      </c>
      <c r="AP183" s="66">
        <v>5</v>
      </c>
      <c r="AQ183" s="97" t="s">
        <v>712</v>
      </c>
      <c r="AR183" s="97" t="s">
        <v>717</v>
      </c>
      <c r="AS183" s="66" t="b">
        <v>0</v>
      </c>
      <c r="AT183" s="97" t="s">
        <v>613</v>
      </c>
      <c r="AU183" s="66" t="s">
        <v>241</v>
      </c>
      <c r="AV183" s="66">
        <v>0</v>
      </c>
      <c r="AW183" s="66">
        <v>0</v>
      </c>
      <c r="AX183" s="66"/>
      <c r="AY183" s="66"/>
      <c r="AZ183" s="66"/>
      <c r="BA183" s="66"/>
      <c r="BB183" s="66"/>
      <c r="BC183" s="66"/>
      <c r="BD183" s="66"/>
      <c r="BE183" s="66"/>
      <c r="BF183" s="45"/>
      <c r="BG183" s="46"/>
      <c r="BH183" s="45"/>
      <c r="BI183" s="46"/>
      <c r="BJ183" s="45"/>
      <c r="BK183" s="46"/>
      <c r="BL183" s="45"/>
      <c r="BM183" s="46"/>
      <c r="BN183" s="45"/>
    </row>
    <row r="184" spans="1:66" ht="15">
      <c r="A184" s="62" t="s">
        <v>298</v>
      </c>
      <c r="B184" s="62" t="s">
        <v>300</v>
      </c>
      <c r="C184" s="64" t="s">
        <v>1504</v>
      </c>
      <c r="D184" s="67">
        <v>3</v>
      </c>
      <c r="E184" s="68" t="s">
        <v>132</v>
      </c>
      <c r="F184" s="69">
        <v>32</v>
      </c>
      <c r="G184" s="64"/>
      <c r="H184" s="70"/>
      <c r="I184" s="71"/>
      <c r="J184" s="71"/>
      <c r="K184" s="31" t="s">
        <v>66</v>
      </c>
      <c r="L184" s="79">
        <v>184</v>
      </c>
      <c r="M184" s="79"/>
      <c r="N184" s="73"/>
      <c r="O184" s="66">
        <v>1</v>
      </c>
      <c r="P184" s="63" t="str">
        <f>REPLACE(INDEX(GroupVertices[Group],MATCH(Edges[[#This Row],[Vertex 1]],GroupVertices[Vertex],0)),1,1,"")</f>
        <v>2</v>
      </c>
      <c r="Q184" s="63" t="str">
        <f>REPLACE(INDEX(GroupVertices[Group],MATCH(Edges[[#This Row],[Vertex 2]],GroupVertices[Vertex],0)),1,1,"")</f>
        <v>3</v>
      </c>
      <c r="R184" s="66" t="s">
        <v>317</v>
      </c>
      <c r="S184" s="91">
        <v>44877.42091435185</v>
      </c>
      <c r="T184" s="66" t="s">
        <v>320</v>
      </c>
      <c r="U184" s="94" t="str">
        <f>HYPERLINK("https://www.youtube.com/watch?v=xb0JCOgMsXc&amp;feature=youtu.be")</f>
        <v>https://www.youtube.com/watch?v=xb0JCOgMsXc&amp;feature=youtu.be</v>
      </c>
      <c r="V184" s="66" t="s">
        <v>403</v>
      </c>
      <c r="W184" s="97" t="s">
        <v>423</v>
      </c>
      <c r="X184" s="94" t="str">
        <f>HYPERLINK("https://pbs.twimg.com/media/FhWu7YzX0AEJMfI.png")</f>
        <v>https://pbs.twimg.com/media/FhWu7YzX0AEJMfI.png</v>
      </c>
      <c r="Y184" s="94" t="str">
        <f>HYPERLINK("https://pbs.twimg.com/media/FhWu7YzX0AEJMfI.png")</f>
        <v>https://pbs.twimg.com/media/FhWu7YzX0AEJMfI.png</v>
      </c>
      <c r="Z184" s="91">
        <v>44877.42091435185</v>
      </c>
      <c r="AA184" s="100">
        <v>44877</v>
      </c>
      <c r="AB184" s="97" t="s">
        <v>480</v>
      </c>
      <c r="AC184" s="94" t="str">
        <f>HYPERLINK("https://twitter.com/transvisionmad1/status/1591371754617946112")</f>
        <v>https://twitter.com/transvisionmad1/status/1591371754617946112</v>
      </c>
      <c r="AD184" s="66"/>
      <c r="AE184" s="66"/>
      <c r="AF184" s="97" t="s">
        <v>613</v>
      </c>
      <c r="AG184" s="66"/>
      <c r="AH184" s="66" t="b">
        <v>0</v>
      </c>
      <c r="AI184" s="66">
        <v>3</v>
      </c>
      <c r="AJ184" s="97" t="s">
        <v>712</v>
      </c>
      <c r="AK184" s="66" t="b">
        <v>0</v>
      </c>
      <c r="AL184" s="66" t="s">
        <v>715</v>
      </c>
      <c r="AM184" s="66"/>
      <c r="AN184" s="97" t="s">
        <v>712</v>
      </c>
      <c r="AO184" s="66" t="b">
        <v>0</v>
      </c>
      <c r="AP184" s="66">
        <v>5</v>
      </c>
      <c r="AQ184" s="97" t="s">
        <v>712</v>
      </c>
      <c r="AR184" s="97" t="s">
        <v>717</v>
      </c>
      <c r="AS184" s="66" t="b">
        <v>0</v>
      </c>
      <c r="AT184" s="97" t="s">
        <v>613</v>
      </c>
      <c r="AU184" s="66" t="s">
        <v>241</v>
      </c>
      <c r="AV184" s="66">
        <v>0</v>
      </c>
      <c r="AW184" s="66">
        <v>0</v>
      </c>
      <c r="AX184" s="66"/>
      <c r="AY184" s="66"/>
      <c r="AZ184" s="66"/>
      <c r="BA184" s="66"/>
      <c r="BB184" s="66"/>
      <c r="BC184" s="66"/>
      <c r="BD184" s="66"/>
      <c r="BE184" s="66"/>
      <c r="BF184" s="45"/>
      <c r="BG184" s="46"/>
      <c r="BH184" s="45"/>
      <c r="BI184" s="46"/>
      <c r="BJ184" s="45"/>
      <c r="BK184" s="46"/>
      <c r="BL184" s="45"/>
      <c r="BM184" s="46"/>
      <c r="BN184" s="45"/>
    </row>
    <row r="185" spans="1:66" ht="15">
      <c r="A185" s="62" t="s">
        <v>298</v>
      </c>
      <c r="B185" s="62" t="s">
        <v>308</v>
      </c>
      <c r="C185" s="64" t="s">
        <v>1505</v>
      </c>
      <c r="D185" s="67">
        <v>4.75</v>
      </c>
      <c r="E185" s="68" t="s">
        <v>136</v>
      </c>
      <c r="F185" s="69">
        <v>31.235294117647058</v>
      </c>
      <c r="G185" s="64"/>
      <c r="H185" s="70"/>
      <c r="I185" s="71"/>
      <c r="J185" s="71"/>
      <c r="K185" s="31" t="s">
        <v>65</v>
      </c>
      <c r="L185" s="79">
        <v>185</v>
      </c>
      <c r="M185" s="79"/>
      <c r="N185" s="73"/>
      <c r="O185" s="66">
        <v>2</v>
      </c>
      <c r="P185" s="63" t="str">
        <f>REPLACE(INDEX(GroupVertices[Group],MATCH(Edges[[#This Row],[Vertex 1]],GroupVertices[Vertex],0)),1,1,"")</f>
        <v>2</v>
      </c>
      <c r="Q185" s="63" t="str">
        <f>REPLACE(INDEX(GroupVertices[Group],MATCH(Edges[[#This Row],[Vertex 2]],GroupVertices[Vertex],0)),1,1,"")</f>
        <v>3</v>
      </c>
      <c r="R185" s="66" t="s">
        <v>317</v>
      </c>
      <c r="S185" s="91">
        <v>44877.42091435185</v>
      </c>
      <c r="T185" s="66" t="s">
        <v>320</v>
      </c>
      <c r="U185" s="94" t="str">
        <f>HYPERLINK("https://www.youtube.com/watch?v=xb0JCOgMsXc&amp;feature=youtu.be")</f>
        <v>https://www.youtube.com/watch?v=xb0JCOgMsXc&amp;feature=youtu.be</v>
      </c>
      <c r="V185" s="66" t="s">
        <v>403</v>
      </c>
      <c r="W185" s="97" t="s">
        <v>423</v>
      </c>
      <c r="X185" s="94" t="str">
        <f>HYPERLINK("https://pbs.twimg.com/media/FhWu7YzX0AEJMfI.png")</f>
        <v>https://pbs.twimg.com/media/FhWu7YzX0AEJMfI.png</v>
      </c>
      <c r="Y185" s="94" t="str">
        <f>HYPERLINK("https://pbs.twimg.com/media/FhWu7YzX0AEJMfI.png")</f>
        <v>https://pbs.twimg.com/media/FhWu7YzX0AEJMfI.png</v>
      </c>
      <c r="Z185" s="91">
        <v>44877.42091435185</v>
      </c>
      <c r="AA185" s="100">
        <v>44877</v>
      </c>
      <c r="AB185" s="97" t="s">
        <v>480</v>
      </c>
      <c r="AC185" s="94" t="str">
        <f>HYPERLINK("https://twitter.com/transvisionmad1/status/1591371754617946112")</f>
        <v>https://twitter.com/transvisionmad1/status/1591371754617946112</v>
      </c>
      <c r="AD185" s="66"/>
      <c r="AE185" s="66"/>
      <c r="AF185" s="97" t="s">
        <v>613</v>
      </c>
      <c r="AG185" s="66"/>
      <c r="AH185" s="66" t="b">
        <v>0</v>
      </c>
      <c r="AI185" s="66">
        <v>3</v>
      </c>
      <c r="AJ185" s="97" t="s">
        <v>712</v>
      </c>
      <c r="AK185" s="66" t="b">
        <v>0</v>
      </c>
      <c r="AL185" s="66" t="s">
        <v>715</v>
      </c>
      <c r="AM185" s="66"/>
      <c r="AN185" s="97" t="s">
        <v>712</v>
      </c>
      <c r="AO185" s="66" t="b">
        <v>0</v>
      </c>
      <c r="AP185" s="66">
        <v>5</v>
      </c>
      <c r="AQ185" s="97" t="s">
        <v>712</v>
      </c>
      <c r="AR185" s="97" t="s">
        <v>717</v>
      </c>
      <c r="AS185" s="66" t="b">
        <v>0</v>
      </c>
      <c r="AT185" s="97" t="s">
        <v>613</v>
      </c>
      <c r="AU185" s="66" t="s">
        <v>241</v>
      </c>
      <c r="AV185" s="66">
        <v>0</v>
      </c>
      <c r="AW185" s="66">
        <v>0</v>
      </c>
      <c r="AX185" s="66"/>
      <c r="AY185" s="66"/>
      <c r="AZ185" s="66"/>
      <c r="BA185" s="66"/>
      <c r="BB185" s="66"/>
      <c r="BC185" s="66"/>
      <c r="BD185" s="66"/>
      <c r="BE185" s="66"/>
      <c r="BF185" s="45">
        <v>0</v>
      </c>
      <c r="BG185" s="46">
        <v>0</v>
      </c>
      <c r="BH185" s="45">
        <v>0</v>
      </c>
      <c r="BI185" s="46">
        <v>0</v>
      </c>
      <c r="BJ185" s="45">
        <v>0</v>
      </c>
      <c r="BK185" s="46">
        <v>0</v>
      </c>
      <c r="BL185" s="45">
        <v>15</v>
      </c>
      <c r="BM185" s="46">
        <v>83.33333333333333</v>
      </c>
      <c r="BN185" s="45">
        <v>18</v>
      </c>
    </row>
    <row r="186" spans="1:66" ht="15">
      <c r="A186" s="62" t="s">
        <v>298</v>
      </c>
      <c r="B186" s="62" t="s">
        <v>305</v>
      </c>
      <c r="C186" s="64" t="s">
        <v>1509</v>
      </c>
      <c r="D186" s="67">
        <v>10</v>
      </c>
      <c r="E186" s="68" t="s">
        <v>136</v>
      </c>
      <c r="F186" s="69">
        <v>28.941176470588236</v>
      </c>
      <c r="G186" s="64"/>
      <c r="H186" s="70"/>
      <c r="I186" s="71"/>
      <c r="J186" s="71"/>
      <c r="K186" s="31" t="s">
        <v>65</v>
      </c>
      <c r="L186" s="79">
        <v>186</v>
      </c>
      <c r="M186" s="79"/>
      <c r="N186" s="73"/>
      <c r="O186" s="66">
        <v>5</v>
      </c>
      <c r="P186" s="63" t="str">
        <f>REPLACE(INDEX(GroupVertices[Group],MATCH(Edges[[#This Row],[Vertex 1]],GroupVertices[Vertex],0)),1,1,"")</f>
        <v>2</v>
      </c>
      <c r="Q186" s="63" t="str">
        <f>REPLACE(INDEX(GroupVertices[Group],MATCH(Edges[[#This Row],[Vertex 2]],GroupVertices[Vertex],0)),1,1,"")</f>
        <v>4</v>
      </c>
      <c r="R186" s="66" t="s">
        <v>315</v>
      </c>
      <c r="S186" s="91">
        <v>44877.435740740744</v>
      </c>
      <c r="T186" s="66" t="s">
        <v>353</v>
      </c>
      <c r="U186" s="94" t="str">
        <f>HYPERLINK("https://www.levante-emv.com/tendencias21/2022/11/12/cumbre-cientifica-inmortalidad-madrid-78418464.html")</f>
        <v>https://www.levante-emv.com/tendencias21/2022/11/12/cumbre-cientifica-inmortalidad-madrid-78418464.html</v>
      </c>
      <c r="V186" s="66" t="s">
        <v>409</v>
      </c>
      <c r="W186" s="97" t="s">
        <v>426</v>
      </c>
      <c r="X186" s="66"/>
      <c r="Y186" s="94" t="str">
        <f>HYPERLINK("https://pbs.twimg.com/profile_images/1416462775400927235/DSrY8TK-_normal.jpg")</f>
        <v>https://pbs.twimg.com/profile_images/1416462775400927235/DSrY8TK-_normal.jpg</v>
      </c>
      <c r="Z186" s="91">
        <v>44877.435740740744</v>
      </c>
      <c r="AA186" s="100">
        <v>44877</v>
      </c>
      <c r="AB186" s="97" t="s">
        <v>517</v>
      </c>
      <c r="AC186" s="94" t="str">
        <f>HYPERLINK("https://twitter.com/transvisionmad1/status/1591377128204951552")</f>
        <v>https://twitter.com/transvisionmad1/status/1591377128204951552</v>
      </c>
      <c r="AD186" s="66"/>
      <c r="AE186" s="66"/>
      <c r="AF186" s="97" t="s">
        <v>651</v>
      </c>
      <c r="AG186" s="66"/>
      <c r="AH186" s="66" t="b">
        <v>0</v>
      </c>
      <c r="AI186" s="66">
        <v>0</v>
      </c>
      <c r="AJ186" s="97" t="s">
        <v>712</v>
      </c>
      <c r="AK186" s="66" t="b">
        <v>0</v>
      </c>
      <c r="AL186" s="66" t="s">
        <v>715</v>
      </c>
      <c r="AM186" s="66"/>
      <c r="AN186" s="97" t="s">
        <v>712</v>
      </c>
      <c r="AO186" s="66" t="b">
        <v>0</v>
      </c>
      <c r="AP186" s="66">
        <v>1</v>
      </c>
      <c r="AQ186" s="97" t="s">
        <v>689</v>
      </c>
      <c r="AR186" s="97" t="s">
        <v>717</v>
      </c>
      <c r="AS186" s="66" t="b">
        <v>0</v>
      </c>
      <c r="AT186" s="97" t="s">
        <v>689</v>
      </c>
      <c r="AU186" s="66" t="s">
        <v>241</v>
      </c>
      <c r="AV186" s="66">
        <v>0</v>
      </c>
      <c r="AW186" s="66">
        <v>0</v>
      </c>
      <c r="AX186" s="66"/>
      <c r="AY186" s="66"/>
      <c r="AZ186" s="66"/>
      <c r="BA186" s="66"/>
      <c r="BB186" s="66"/>
      <c r="BC186" s="66"/>
      <c r="BD186" s="66"/>
      <c r="BE186" s="66"/>
      <c r="BF186" s="45">
        <v>0</v>
      </c>
      <c r="BG186" s="46">
        <v>0</v>
      </c>
      <c r="BH186" s="45">
        <v>0</v>
      </c>
      <c r="BI186" s="46">
        <v>0</v>
      </c>
      <c r="BJ186" s="45">
        <v>0</v>
      </c>
      <c r="BK186" s="46">
        <v>0</v>
      </c>
      <c r="BL186" s="45">
        <v>22</v>
      </c>
      <c r="BM186" s="46">
        <v>66.66666666666667</v>
      </c>
      <c r="BN186" s="45">
        <v>33</v>
      </c>
    </row>
    <row r="187" spans="1:66" ht="15">
      <c r="A187" s="62" t="s">
        <v>298</v>
      </c>
      <c r="B187" s="62" t="s">
        <v>300</v>
      </c>
      <c r="C187" s="64" t="s">
        <v>1504</v>
      </c>
      <c r="D187" s="67">
        <v>3</v>
      </c>
      <c r="E187" s="68" t="s">
        <v>132</v>
      </c>
      <c r="F187" s="69">
        <v>32</v>
      </c>
      <c r="G187" s="64"/>
      <c r="H187" s="70"/>
      <c r="I187" s="71"/>
      <c r="J187" s="71"/>
      <c r="K187" s="31" t="s">
        <v>66</v>
      </c>
      <c r="L187" s="79">
        <v>187</v>
      </c>
      <c r="M187" s="79"/>
      <c r="N187" s="73"/>
      <c r="O187" s="66">
        <v>1</v>
      </c>
      <c r="P187" s="63" t="str">
        <f>REPLACE(INDEX(GroupVertices[Group],MATCH(Edges[[#This Row],[Vertex 1]],GroupVertices[Vertex],0)),1,1,"")</f>
        <v>2</v>
      </c>
      <c r="Q187" s="63" t="str">
        <f>REPLACE(INDEX(GroupVertices[Group],MATCH(Edges[[#This Row],[Vertex 2]],GroupVertices[Vertex],0)),1,1,"")</f>
        <v>3</v>
      </c>
      <c r="R187" s="66" t="s">
        <v>316</v>
      </c>
      <c r="S187" s="91">
        <v>44877.43578703704</v>
      </c>
      <c r="T187" s="66" t="s">
        <v>342</v>
      </c>
      <c r="U187" s="66" t="s">
        <v>395</v>
      </c>
      <c r="V187" s="66" t="s">
        <v>412</v>
      </c>
      <c r="W187" s="97" t="s">
        <v>423</v>
      </c>
      <c r="X187" s="66"/>
      <c r="Y187" s="94" t="str">
        <f>HYPERLINK("https://pbs.twimg.com/profile_images/1416462775400927235/DSrY8TK-_normal.jpg")</f>
        <v>https://pbs.twimg.com/profile_images/1416462775400927235/DSrY8TK-_normal.jpg</v>
      </c>
      <c r="Z187" s="91">
        <v>44877.43578703704</v>
      </c>
      <c r="AA187" s="100">
        <v>44877</v>
      </c>
      <c r="AB187" s="97" t="s">
        <v>518</v>
      </c>
      <c r="AC187" s="94" t="str">
        <f>HYPERLINK("https://twitter.com/transvisionmad1/status/1591377144382652416")</f>
        <v>https://twitter.com/transvisionmad1/status/1591377144382652416</v>
      </c>
      <c r="AD187" s="66"/>
      <c r="AE187" s="66"/>
      <c r="AF187" s="97" t="s">
        <v>652</v>
      </c>
      <c r="AG187" s="66"/>
      <c r="AH187" s="66" t="b">
        <v>0</v>
      </c>
      <c r="AI187" s="66">
        <v>0</v>
      </c>
      <c r="AJ187" s="97" t="s">
        <v>712</v>
      </c>
      <c r="AK187" s="66" t="b">
        <v>0</v>
      </c>
      <c r="AL187" s="66" t="s">
        <v>715</v>
      </c>
      <c r="AM187" s="66"/>
      <c r="AN187" s="97" t="s">
        <v>712</v>
      </c>
      <c r="AO187" s="66" t="b">
        <v>0</v>
      </c>
      <c r="AP187" s="66">
        <v>2</v>
      </c>
      <c r="AQ187" s="97" t="s">
        <v>674</v>
      </c>
      <c r="AR187" s="97" t="s">
        <v>717</v>
      </c>
      <c r="AS187" s="66" t="b">
        <v>0</v>
      </c>
      <c r="AT187" s="97" t="s">
        <v>674</v>
      </c>
      <c r="AU187" s="66" t="s">
        <v>241</v>
      </c>
      <c r="AV187" s="66">
        <v>0</v>
      </c>
      <c r="AW187" s="66">
        <v>0</v>
      </c>
      <c r="AX187" s="66"/>
      <c r="AY187" s="66"/>
      <c r="AZ187" s="66"/>
      <c r="BA187" s="66"/>
      <c r="BB187" s="66"/>
      <c r="BC187" s="66"/>
      <c r="BD187" s="66"/>
      <c r="BE187" s="66"/>
      <c r="BF187" s="45"/>
      <c r="BG187" s="46"/>
      <c r="BH187" s="45"/>
      <c r="BI187" s="46"/>
      <c r="BJ187" s="45"/>
      <c r="BK187" s="46"/>
      <c r="BL187" s="45"/>
      <c r="BM187" s="46"/>
      <c r="BN187" s="45"/>
    </row>
    <row r="188" spans="1:66" ht="15">
      <c r="A188" s="62" t="s">
        <v>298</v>
      </c>
      <c r="B188" s="62" t="s">
        <v>308</v>
      </c>
      <c r="C188" s="64" t="s">
        <v>1505</v>
      </c>
      <c r="D188" s="67">
        <v>4.75</v>
      </c>
      <c r="E188" s="68" t="s">
        <v>136</v>
      </c>
      <c r="F188" s="69">
        <v>31.235294117647058</v>
      </c>
      <c r="G188" s="64"/>
      <c r="H188" s="70"/>
      <c r="I188" s="71"/>
      <c r="J188" s="71"/>
      <c r="K188" s="31" t="s">
        <v>65</v>
      </c>
      <c r="L188" s="79">
        <v>188</v>
      </c>
      <c r="M188" s="79"/>
      <c r="N188" s="73"/>
      <c r="O188" s="66">
        <v>2</v>
      </c>
      <c r="P188" s="63" t="str">
        <f>REPLACE(INDEX(GroupVertices[Group],MATCH(Edges[[#This Row],[Vertex 1]],GroupVertices[Vertex],0)),1,1,"")</f>
        <v>2</v>
      </c>
      <c r="Q188" s="63" t="str">
        <f>REPLACE(INDEX(GroupVertices[Group],MATCH(Edges[[#This Row],[Vertex 2]],GroupVertices[Vertex],0)),1,1,"")</f>
        <v>3</v>
      </c>
      <c r="R188" s="66" t="s">
        <v>316</v>
      </c>
      <c r="S188" s="91">
        <v>44877.43578703704</v>
      </c>
      <c r="T188" s="66" t="s">
        <v>342</v>
      </c>
      <c r="U188" s="66" t="s">
        <v>395</v>
      </c>
      <c r="V188" s="66" t="s">
        <v>412</v>
      </c>
      <c r="W188" s="97" t="s">
        <v>423</v>
      </c>
      <c r="X188" s="66"/>
      <c r="Y188" s="94" t="str">
        <f>HYPERLINK("https://pbs.twimg.com/profile_images/1416462775400927235/DSrY8TK-_normal.jpg")</f>
        <v>https://pbs.twimg.com/profile_images/1416462775400927235/DSrY8TK-_normal.jpg</v>
      </c>
      <c r="Z188" s="91">
        <v>44877.43578703704</v>
      </c>
      <c r="AA188" s="100">
        <v>44877</v>
      </c>
      <c r="AB188" s="97" t="s">
        <v>518</v>
      </c>
      <c r="AC188" s="94" t="str">
        <f>HYPERLINK("https://twitter.com/transvisionmad1/status/1591377144382652416")</f>
        <v>https://twitter.com/transvisionmad1/status/1591377144382652416</v>
      </c>
      <c r="AD188" s="66"/>
      <c r="AE188" s="66"/>
      <c r="AF188" s="97" t="s">
        <v>652</v>
      </c>
      <c r="AG188" s="66"/>
      <c r="AH188" s="66" t="b">
        <v>0</v>
      </c>
      <c r="AI188" s="66">
        <v>0</v>
      </c>
      <c r="AJ188" s="97" t="s">
        <v>712</v>
      </c>
      <c r="AK188" s="66" t="b">
        <v>0</v>
      </c>
      <c r="AL188" s="66" t="s">
        <v>715</v>
      </c>
      <c r="AM188" s="66"/>
      <c r="AN188" s="97" t="s">
        <v>712</v>
      </c>
      <c r="AO188" s="66" t="b">
        <v>0</v>
      </c>
      <c r="AP188" s="66">
        <v>2</v>
      </c>
      <c r="AQ188" s="97" t="s">
        <v>674</v>
      </c>
      <c r="AR188" s="97" t="s">
        <v>717</v>
      </c>
      <c r="AS188" s="66" t="b">
        <v>0</v>
      </c>
      <c r="AT188" s="97" t="s">
        <v>674</v>
      </c>
      <c r="AU188" s="66" t="s">
        <v>241</v>
      </c>
      <c r="AV188" s="66">
        <v>0</v>
      </c>
      <c r="AW188" s="66">
        <v>0</v>
      </c>
      <c r="AX188" s="66"/>
      <c r="AY188" s="66"/>
      <c r="AZ188" s="66"/>
      <c r="BA188" s="66"/>
      <c r="BB188" s="66"/>
      <c r="BC188" s="66"/>
      <c r="BD188" s="66"/>
      <c r="BE188" s="66"/>
      <c r="BF188" s="45"/>
      <c r="BG188" s="46"/>
      <c r="BH188" s="45"/>
      <c r="BI188" s="46"/>
      <c r="BJ188" s="45"/>
      <c r="BK188" s="46"/>
      <c r="BL188" s="45"/>
      <c r="BM188" s="46"/>
      <c r="BN188" s="45"/>
    </row>
    <row r="189" spans="1:66" ht="15">
      <c r="A189" s="62" t="s">
        <v>298</v>
      </c>
      <c r="B189" s="62" t="s">
        <v>305</v>
      </c>
      <c r="C189" s="64" t="s">
        <v>1509</v>
      </c>
      <c r="D189" s="67">
        <v>10</v>
      </c>
      <c r="E189" s="68" t="s">
        <v>136</v>
      </c>
      <c r="F189" s="69">
        <v>28.941176470588236</v>
      </c>
      <c r="G189" s="64"/>
      <c r="H189" s="70"/>
      <c r="I189" s="71"/>
      <c r="J189" s="71"/>
      <c r="K189" s="31" t="s">
        <v>65</v>
      </c>
      <c r="L189" s="79">
        <v>189</v>
      </c>
      <c r="M189" s="79"/>
      <c r="N189" s="73"/>
      <c r="O189" s="66">
        <v>5</v>
      </c>
      <c r="P189" s="63" t="str">
        <f>REPLACE(INDEX(GroupVertices[Group],MATCH(Edges[[#This Row],[Vertex 1]],GroupVertices[Vertex],0)),1,1,"")</f>
        <v>2</v>
      </c>
      <c r="Q189" s="63" t="str">
        <f>REPLACE(INDEX(GroupVertices[Group],MATCH(Edges[[#This Row],[Vertex 2]],GroupVertices[Vertex],0)),1,1,"")</f>
        <v>4</v>
      </c>
      <c r="R189" s="66" t="s">
        <v>315</v>
      </c>
      <c r="S189" s="91">
        <v>44877.43578703704</v>
      </c>
      <c r="T189" s="66" t="s">
        <v>342</v>
      </c>
      <c r="U189" s="66" t="s">
        <v>395</v>
      </c>
      <c r="V189" s="66" t="s">
        <v>412</v>
      </c>
      <c r="W189" s="97" t="s">
        <v>423</v>
      </c>
      <c r="X189" s="66"/>
      <c r="Y189" s="94" t="str">
        <f>HYPERLINK("https://pbs.twimg.com/profile_images/1416462775400927235/DSrY8TK-_normal.jpg")</f>
        <v>https://pbs.twimg.com/profile_images/1416462775400927235/DSrY8TK-_normal.jpg</v>
      </c>
      <c r="Z189" s="91">
        <v>44877.43578703704</v>
      </c>
      <c r="AA189" s="100">
        <v>44877</v>
      </c>
      <c r="AB189" s="97" t="s">
        <v>518</v>
      </c>
      <c r="AC189" s="94" t="str">
        <f>HYPERLINK("https://twitter.com/transvisionmad1/status/1591377144382652416")</f>
        <v>https://twitter.com/transvisionmad1/status/1591377144382652416</v>
      </c>
      <c r="AD189" s="66"/>
      <c r="AE189" s="66"/>
      <c r="AF189" s="97" t="s">
        <v>652</v>
      </c>
      <c r="AG189" s="66"/>
      <c r="AH189" s="66" t="b">
        <v>0</v>
      </c>
      <c r="AI189" s="66">
        <v>0</v>
      </c>
      <c r="AJ189" s="97" t="s">
        <v>712</v>
      </c>
      <c r="AK189" s="66" t="b">
        <v>0</v>
      </c>
      <c r="AL189" s="66" t="s">
        <v>715</v>
      </c>
      <c r="AM189" s="66"/>
      <c r="AN189" s="97" t="s">
        <v>712</v>
      </c>
      <c r="AO189" s="66" t="b">
        <v>0</v>
      </c>
      <c r="AP189" s="66">
        <v>2</v>
      </c>
      <c r="AQ189" s="97" t="s">
        <v>674</v>
      </c>
      <c r="AR189" s="97" t="s">
        <v>717</v>
      </c>
      <c r="AS189" s="66" t="b">
        <v>0</v>
      </c>
      <c r="AT189" s="97" t="s">
        <v>674</v>
      </c>
      <c r="AU189" s="66" t="s">
        <v>241</v>
      </c>
      <c r="AV189" s="66">
        <v>0</v>
      </c>
      <c r="AW189" s="66">
        <v>0</v>
      </c>
      <c r="AX189" s="66"/>
      <c r="AY189" s="66"/>
      <c r="AZ189" s="66"/>
      <c r="BA189" s="66"/>
      <c r="BB189" s="66"/>
      <c r="BC189" s="66"/>
      <c r="BD189" s="66"/>
      <c r="BE189" s="66"/>
      <c r="BF189" s="45">
        <v>0</v>
      </c>
      <c r="BG189" s="46">
        <v>0</v>
      </c>
      <c r="BH189" s="45">
        <v>0</v>
      </c>
      <c r="BI189" s="46">
        <v>0</v>
      </c>
      <c r="BJ189" s="45">
        <v>0</v>
      </c>
      <c r="BK189" s="46">
        <v>0</v>
      </c>
      <c r="BL189" s="45">
        <v>18</v>
      </c>
      <c r="BM189" s="46">
        <v>85.71428571428571</v>
      </c>
      <c r="BN189" s="45">
        <v>21</v>
      </c>
    </row>
    <row r="190" spans="1:66" ht="15">
      <c r="A190" s="62" t="s">
        <v>298</v>
      </c>
      <c r="B190" s="62" t="s">
        <v>298</v>
      </c>
      <c r="C190" s="64" t="s">
        <v>1508</v>
      </c>
      <c r="D190" s="67">
        <v>10</v>
      </c>
      <c r="E190" s="68" t="s">
        <v>136</v>
      </c>
      <c r="F190" s="69">
        <v>15.941176470588236</v>
      </c>
      <c r="G190" s="64"/>
      <c r="H190" s="70"/>
      <c r="I190" s="71"/>
      <c r="J190" s="71"/>
      <c r="K190" s="31" t="s">
        <v>65</v>
      </c>
      <c r="L190" s="79">
        <v>190</v>
      </c>
      <c r="M190" s="79"/>
      <c r="N190" s="73"/>
      <c r="O190" s="66">
        <v>22</v>
      </c>
      <c r="P190" s="63" t="str">
        <f>REPLACE(INDEX(GroupVertices[Group],MATCH(Edges[[#This Row],[Vertex 1]],GroupVertices[Vertex],0)),1,1,"")</f>
        <v>2</v>
      </c>
      <c r="Q190" s="63" t="str">
        <f>REPLACE(INDEX(GroupVertices[Group],MATCH(Edges[[#This Row],[Vertex 2]],GroupVertices[Vertex],0)),1,1,"")</f>
        <v>2</v>
      </c>
      <c r="R190" s="66" t="s">
        <v>241</v>
      </c>
      <c r="S190" s="91">
        <v>44877.44232638889</v>
      </c>
      <c r="T190" s="66" t="s">
        <v>339</v>
      </c>
      <c r="U190" s="94" t="str">
        <f>HYPERLINK("https://www.youtube.com/watch?v=xb0JCOgMsXc")</f>
        <v>https://www.youtube.com/watch?v=xb0JCOgMsXc</v>
      </c>
      <c r="V190" s="66" t="s">
        <v>403</v>
      </c>
      <c r="W190" s="97" t="s">
        <v>433</v>
      </c>
      <c r="X190" s="94" t="str">
        <f>HYPERLINK("https://pbs.twimg.com/media/FhW1XNFXgAACXVj.jpg")</f>
        <v>https://pbs.twimg.com/media/FhW1XNFXgAACXVj.jpg</v>
      </c>
      <c r="Y190" s="94" t="str">
        <f>HYPERLINK("https://pbs.twimg.com/media/FhW1XNFXgAACXVj.jpg")</f>
        <v>https://pbs.twimg.com/media/FhW1XNFXgAACXVj.jpg</v>
      </c>
      <c r="Z190" s="91">
        <v>44877.44232638889</v>
      </c>
      <c r="AA190" s="100">
        <v>44877</v>
      </c>
      <c r="AB190" s="97" t="s">
        <v>519</v>
      </c>
      <c r="AC190" s="94" t="str">
        <f>HYPERLINK("https://twitter.com/transvisionmad1/status/1591379517054267392")</f>
        <v>https://twitter.com/transvisionmad1/status/1591379517054267392</v>
      </c>
      <c r="AD190" s="66"/>
      <c r="AE190" s="66"/>
      <c r="AF190" s="97" t="s">
        <v>653</v>
      </c>
      <c r="AG190" s="66"/>
      <c r="AH190" s="66" t="b">
        <v>0</v>
      </c>
      <c r="AI190" s="66">
        <v>3</v>
      </c>
      <c r="AJ190" s="97" t="s">
        <v>712</v>
      </c>
      <c r="AK190" s="66" t="b">
        <v>0</v>
      </c>
      <c r="AL190" s="66" t="s">
        <v>715</v>
      </c>
      <c r="AM190" s="66"/>
      <c r="AN190" s="97" t="s">
        <v>712</v>
      </c>
      <c r="AO190" s="66" t="b">
        <v>0</v>
      </c>
      <c r="AP190" s="66">
        <v>2</v>
      </c>
      <c r="AQ190" s="97" t="s">
        <v>712</v>
      </c>
      <c r="AR190" s="97" t="s">
        <v>717</v>
      </c>
      <c r="AS190" s="66" t="b">
        <v>0</v>
      </c>
      <c r="AT190" s="97" t="s">
        <v>653</v>
      </c>
      <c r="AU190" s="66" t="s">
        <v>241</v>
      </c>
      <c r="AV190" s="66">
        <v>0</v>
      </c>
      <c r="AW190" s="66">
        <v>0</v>
      </c>
      <c r="AX190" s="66"/>
      <c r="AY190" s="66"/>
      <c r="AZ190" s="66"/>
      <c r="BA190" s="66"/>
      <c r="BB190" s="66"/>
      <c r="BC190" s="66"/>
      <c r="BD190" s="66"/>
      <c r="BE190" s="66"/>
      <c r="BF190" s="45">
        <v>0</v>
      </c>
      <c r="BG190" s="46">
        <v>0</v>
      </c>
      <c r="BH190" s="45">
        <v>0</v>
      </c>
      <c r="BI190" s="46">
        <v>0</v>
      </c>
      <c r="BJ190" s="45">
        <v>0</v>
      </c>
      <c r="BK190" s="46">
        <v>0</v>
      </c>
      <c r="BL190" s="45">
        <v>22</v>
      </c>
      <c r="BM190" s="46">
        <v>66.66666666666667</v>
      </c>
      <c r="BN190" s="45">
        <v>33</v>
      </c>
    </row>
    <row r="191" spans="1:66" ht="15">
      <c r="A191" s="62" t="s">
        <v>298</v>
      </c>
      <c r="B191" s="62" t="s">
        <v>298</v>
      </c>
      <c r="C191" s="64" t="s">
        <v>1508</v>
      </c>
      <c r="D191" s="67">
        <v>10</v>
      </c>
      <c r="E191" s="68" t="s">
        <v>136</v>
      </c>
      <c r="F191" s="69">
        <v>15.941176470588236</v>
      </c>
      <c r="G191" s="64"/>
      <c r="H191" s="70"/>
      <c r="I191" s="71"/>
      <c r="J191" s="71"/>
      <c r="K191" s="31" t="s">
        <v>65</v>
      </c>
      <c r="L191" s="79">
        <v>191</v>
      </c>
      <c r="M191" s="79"/>
      <c r="N191" s="73"/>
      <c r="O191" s="66">
        <v>22</v>
      </c>
      <c r="P191" s="63" t="str">
        <f>REPLACE(INDEX(GroupVertices[Group],MATCH(Edges[[#This Row],[Vertex 1]],GroupVertices[Vertex],0)),1,1,"")</f>
        <v>2</v>
      </c>
      <c r="Q191" s="63" t="str">
        <f>REPLACE(INDEX(GroupVertices[Group],MATCH(Edges[[#This Row],[Vertex 2]],GroupVertices[Vertex],0)),1,1,"")</f>
        <v>2</v>
      </c>
      <c r="R191" s="66" t="s">
        <v>241</v>
      </c>
      <c r="S191" s="91">
        <v>44877.50436342593</v>
      </c>
      <c r="T191" s="66" t="s">
        <v>322</v>
      </c>
      <c r="U191" s="94" t="str">
        <f>HYPERLINK("https://www.europapress.es/sociedad/noticia-madrid-acoge-fin-semana-cumbre-internacional-criopreservacion-humana-20221111121558.html")</f>
        <v>https://www.europapress.es/sociedad/noticia-madrid-acoge-fin-semana-cumbre-internacional-criopreservacion-humana-20221111121558.html</v>
      </c>
      <c r="V191" s="66" t="s">
        <v>404</v>
      </c>
      <c r="W191" s="97" t="s">
        <v>425</v>
      </c>
      <c r="X191" s="94" t="str">
        <f>HYPERLINK("https://pbs.twimg.com/media/FhXLrnHXwAAfpE5.jpg")</f>
        <v>https://pbs.twimg.com/media/FhXLrnHXwAAfpE5.jpg</v>
      </c>
      <c r="Y191" s="94" t="str">
        <f>HYPERLINK("https://pbs.twimg.com/media/FhXLrnHXwAAfpE5.jpg")</f>
        <v>https://pbs.twimg.com/media/FhXLrnHXwAAfpE5.jpg</v>
      </c>
      <c r="Z191" s="91">
        <v>44877.50436342593</v>
      </c>
      <c r="AA191" s="100">
        <v>44877</v>
      </c>
      <c r="AB191" s="97" t="s">
        <v>520</v>
      </c>
      <c r="AC191" s="94" t="str">
        <f>HYPERLINK("https://twitter.com/transvisionmad1/status/1591401998385029120")</f>
        <v>https://twitter.com/transvisionmad1/status/1591401998385029120</v>
      </c>
      <c r="AD191" s="66"/>
      <c r="AE191" s="66"/>
      <c r="AF191" s="97" t="s">
        <v>654</v>
      </c>
      <c r="AG191" s="66"/>
      <c r="AH191" s="66" t="b">
        <v>0</v>
      </c>
      <c r="AI191" s="66">
        <v>1</v>
      </c>
      <c r="AJ191" s="97" t="s">
        <v>712</v>
      </c>
      <c r="AK191" s="66" t="b">
        <v>0</v>
      </c>
      <c r="AL191" s="66" t="s">
        <v>715</v>
      </c>
      <c r="AM191" s="66"/>
      <c r="AN191" s="97" t="s">
        <v>712</v>
      </c>
      <c r="AO191" s="66" t="b">
        <v>0</v>
      </c>
      <c r="AP191" s="66">
        <v>1</v>
      </c>
      <c r="AQ191" s="97" t="s">
        <v>712</v>
      </c>
      <c r="AR191" s="97" t="s">
        <v>724</v>
      </c>
      <c r="AS191" s="66" t="b">
        <v>0</v>
      </c>
      <c r="AT191" s="97" t="s">
        <v>654</v>
      </c>
      <c r="AU191" s="66" t="s">
        <v>241</v>
      </c>
      <c r="AV191" s="66">
        <v>0</v>
      </c>
      <c r="AW191" s="66">
        <v>0</v>
      </c>
      <c r="AX191" s="66"/>
      <c r="AY191" s="66"/>
      <c r="AZ191" s="66"/>
      <c r="BA191" s="66"/>
      <c r="BB191" s="66"/>
      <c r="BC191" s="66"/>
      <c r="BD191" s="66"/>
      <c r="BE191" s="66"/>
      <c r="BF191" s="45">
        <v>0</v>
      </c>
      <c r="BG191" s="46">
        <v>0</v>
      </c>
      <c r="BH191" s="45">
        <v>0</v>
      </c>
      <c r="BI191" s="46">
        <v>0</v>
      </c>
      <c r="BJ191" s="45">
        <v>0</v>
      </c>
      <c r="BK191" s="46">
        <v>0</v>
      </c>
      <c r="BL191" s="45">
        <v>10</v>
      </c>
      <c r="BM191" s="46">
        <v>76.92307692307692</v>
      </c>
      <c r="BN191" s="45">
        <v>13</v>
      </c>
    </row>
    <row r="192" spans="1:66" ht="15">
      <c r="A192" s="62" t="s">
        <v>298</v>
      </c>
      <c r="B192" s="62" t="s">
        <v>308</v>
      </c>
      <c r="C192" s="64" t="s">
        <v>1505</v>
      </c>
      <c r="D192" s="67">
        <v>4.75</v>
      </c>
      <c r="E192" s="68" t="s">
        <v>136</v>
      </c>
      <c r="F192" s="69">
        <v>31.235294117647058</v>
      </c>
      <c r="G192" s="64"/>
      <c r="H192" s="70"/>
      <c r="I192" s="71"/>
      <c r="J192" s="71"/>
      <c r="K192" s="31" t="s">
        <v>65</v>
      </c>
      <c r="L192" s="79">
        <v>192</v>
      </c>
      <c r="M192" s="79"/>
      <c r="N192" s="73"/>
      <c r="O192" s="66">
        <v>2</v>
      </c>
      <c r="P192" s="63" t="str">
        <f>REPLACE(INDEX(GroupVertices[Group],MATCH(Edges[[#This Row],[Vertex 1]],GroupVertices[Vertex],0)),1,1,"")</f>
        <v>2</v>
      </c>
      <c r="Q192" s="63" t="str">
        <f>REPLACE(INDEX(GroupVertices[Group],MATCH(Edges[[#This Row],[Vertex 2]],GroupVertices[Vertex],0)),1,1,"")</f>
        <v>3</v>
      </c>
      <c r="R192" s="66" t="s">
        <v>316</v>
      </c>
      <c r="S192" s="91">
        <v>44877.526192129626</v>
      </c>
      <c r="T192" s="66" t="s">
        <v>321</v>
      </c>
      <c r="U192" s="94" t="str">
        <f>HYPERLINK("https://www.youtube.com/watch?v=xb0JCOgMsXc&amp;feature=youtu.be")</f>
        <v>https://www.youtube.com/watch?v=xb0JCOgMsXc&amp;feature=youtu.be</v>
      </c>
      <c r="V192" s="66" t="s">
        <v>403</v>
      </c>
      <c r="W192" s="97" t="s">
        <v>424</v>
      </c>
      <c r="X192" s="94" t="str">
        <f>HYPERLINK("https://pbs.twimg.com/media/FhW7ZTpXkAAZ4Hh.jpg")</f>
        <v>https://pbs.twimg.com/media/FhW7ZTpXkAAZ4Hh.jpg</v>
      </c>
      <c r="Y192" s="94" t="str">
        <f>HYPERLINK("https://pbs.twimg.com/media/FhW7ZTpXkAAZ4Hh.jpg")</f>
        <v>https://pbs.twimg.com/media/FhW7ZTpXkAAZ4Hh.jpg</v>
      </c>
      <c r="Z192" s="91">
        <v>44877.526192129626</v>
      </c>
      <c r="AA192" s="100">
        <v>44877</v>
      </c>
      <c r="AB192" s="97" t="s">
        <v>469</v>
      </c>
      <c r="AC192" s="94" t="str">
        <f>HYPERLINK("https://twitter.com/transvisionmad1/status/1591409908440002562")</f>
        <v>https://twitter.com/transvisionmad1/status/1591409908440002562</v>
      </c>
      <c r="AD192" s="66"/>
      <c r="AE192" s="66"/>
      <c r="AF192" s="97" t="s">
        <v>602</v>
      </c>
      <c r="AG192" s="66"/>
      <c r="AH192" s="66" t="b">
        <v>0</v>
      </c>
      <c r="AI192" s="66">
        <v>0</v>
      </c>
      <c r="AJ192" s="97" t="s">
        <v>712</v>
      </c>
      <c r="AK192" s="66" t="b">
        <v>0</v>
      </c>
      <c r="AL192" s="66" t="s">
        <v>715</v>
      </c>
      <c r="AM192" s="66"/>
      <c r="AN192" s="97" t="s">
        <v>712</v>
      </c>
      <c r="AO192" s="66" t="b">
        <v>0</v>
      </c>
      <c r="AP192" s="66">
        <v>5</v>
      </c>
      <c r="AQ192" s="97" t="s">
        <v>601</v>
      </c>
      <c r="AR192" s="97" t="s">
        <v>717</v>
      </c>
      <c r="AS192" s="66" t="b">
        <v>0</v>
      </c>
      <c r="AT192" s="97" t="s">
        <v>601</v>
      </c>
      <c r="AU192" s="66" t="s">
        <v>241</v>
      </c>
      <c r="AV192" s="66">
        <v>0</v>
      </c>
      <c r="AW192" s="66">
        <v>0</v>
      </c>
      <c r="AX192" s="66"/>
      <c r="AY192" s="66"/>
      <c r="AZ192" s="66"/>
      <c r="BA192" s="66"/>
      <c r="BB192" s="66"/>
      <c r="BC192" s="66"/>
      <c r="BD192" s="66"/>
      <c r="BE192" s="66"/>
      <c r="BF192" s="45"/>
      <c r="BG192" s="46"/>
      <c r="BH192" s="45"/>
      <c r="BI192" s="46"/>
      <c r="BJ192" s="45"/>
      <c r="BK192" s="46"/>
      <c r="BL192" s="45"/>
      <c r="BM192" s="46"/>
      <c r="BN192" s="45"/>
    </row>
    <row r="193" spans="1:66" ht="15">
      <c r="A193" s="62" t="s">
        <v>298</v>
      </c>
      <c r="B193" s="62" t="s">
        <v>310</v>
      </c>
      <c r="C193" s="64" t="s">
        <v>1504</v>
      </c>
      <c r="D193" s="67">
        <v>3</v>
      </c>
      <c r="E193" s="68" t="s">
        <v>132</v>
      </c>
      <c r="F193" s="69">
        <v>32</v>
      </c>
      <c r="G193" s="64"/>
      <c r="H193" s="70"/>
      <c r="I193" s="71"/>
      <c r="J193" s="71"/>
      <c r="K193" s="31" t="s">
        <v>65</v>
      </c>
      <c r="L193" s="79">
        <v>193</v>
      </c>
      <c r="M193" s="79"/>
      <c r="N193" s="73"/>
      <c r="O193" s="66">
        <v>1</v>
      </c>
      <c r="P193" s="63" t="str">
        <f>REPLACE(INDEX(GroupVertices[Group],MATCH(Edges[[#This Row],[Vertex 1]],GroupVertices[Vertex],0)),1,1,"")</f>
        <v>2</v>
      </c>
      <c r="Q193" s="63" t="str">
        <f>REPLACE(INDEX(GroupVertices[Group],MATCH(Edges[[#This Row],[Vertex 2]],GroupVertices[Vertex],0)),1,1,"")</f>
        <v>2</v>
      </c>
      <c r="R193" s="66" t="s">
        <v>316</v>
      </c>
      <c r="S193" s="91">
        <v>44877.526192129626</v>
      </c>
      <c r="T193" s="66" t="s">
        <v>321</v>
      </c>
      <c r="U193" s="94" t="str">
        <f>HYPERLINK("https://www.youtube.com/watch?v=xb0JCOgMsXc&amp;feature=youtu.be")</f>
        <v>https://www.youtube.com/watch?v=xb0JCOgMsXc&amp;feature=youtu.be</v>
      </c>
      <c r="V193" s="66" t="s">
        <v>403</v>
      </c>
      <c r="W193" s="97" t="s">
        <v>424</v>
      </c>
      <c r="X193" s="94" t="str">
        <f>HYPERLINK("https://pbs.twimg.com/media/FhW7ZTpXkAAZ4Hh.jpg")</f>
        <v>https://pbs.twimg.com/media/FhW7ZTpXkAAZ4Hh.jpg</v>
      </c>
      <c r="Y193" s="94" t="str">
        <f>HYPERLINK("https://pbs.twimg.com/media/FhW7ZTpXkAAZ4Hh.jpg")</f>
        <v>https://pbs.twimg.com/media/FhW7ZTpXkAAZ4Hh.jpg</v>
      </c>
      <c r="Z193" s="91">
        <v>44877.526192129626</v>
      </c>
      <c r="AA193" s="100">
        <v>44877</v>
      </c>
      <c r="AB193" s="97" t="s">
        <v>469</v>
      </c>
      <c r="AC193" s="94" t="str">
        <f>HYPERLINK("https://twitter.com/transvisionmad1/status/1591409908440002562")</f>
        <v>https://twitter.com/transvisionmad1/status/1591409908440002562</v>
      </c>
      <c r="AD193" s="66"/>
      <c r="AE193" s="66"/>
      <c r="AF193" s="97" t="s">
        <v>602</v>
      </c>
      <c r="AG193" s="66"/>
      <c r="AH193" s="66" t="b">
        <v>0</v>
      </c>
      <c r="AI193" s="66">
        <v>0</v>
      </c>
      <c r="AJ193" s="97" t="s">
        <v>712</v>
      </c>
      <c r="AK193" s="66" t="b">
        <v>0</v>
      </c>
      <c r="AL193" s="66" t="s">
        <v>715</v>
      </c>
      <c r="AM193" s="66"/>
      <c r="AN193" s="97" t="s">
        <v>712</v>
      </c>
      <c r="AO193" s="66" t="b">
        <v>0</v>
      </c>
      <c r="AP193" s="66">
        <v>5</v>
      </c>
      <c r="AQ193" s="97" t="s">
        <v>601</v>
      </c>
      <c r="AR193" s="97" t="s">
        <v>717</v>
      </c>
      <c r="AS193" s="66" t="b">
        <v>0</v>
      </c>
      <c r="AT193" s="97" t="s">
        <v>601</v>
      </c>
      <c r="AU193" s="66" t="s">
        <v>241</v>
      </c>
      <c r="AV193" s="66">
        <v>0</v>
      </c>
      <c r="AW193" s="66">
        <v>0</v>
      </c>
      <c r="AX193" s="66"/>
      <c r="AY193" s="66"/>
      <c r="AZ193" s="66"/>
      <c r="BA193" s="66"/>
      <c r="BB193" s="66"/>
      <c r="BC193" s="66"/>
      <c r="BD193" s="66"/>
      <c r="BE193" s="66"/>
      <c r="BF193" s="45"/>
      <c r="BG193" s="46"/>
      <c r="BH193" s="45"/>
      <c r="BI193" s="46"/>
      <c r="BJ193" s="45"/>
      <c r="BK193" s="46"/>
      <c r="BL193" s="45"/>
      <c r="BM193" s="46"/>
      <c r="BN193" s="45"/>
    </row>
    <row r="194" spans="1:66" ht="15">
      <c r="A194" s="62" t="s">
        <v>298</v>
      </c>
      <c r="B194" s="62" t="s">
        <v>305</v>
      </c>
      <c r="C194" s="64" t="s">
        <v>1504</v>
      </c>
      <c r="D194" s="67">
        <v>3</v>
      </c>
      <c r="E194" s="68" t="s">
        <v>132</v>
      </c>
      <c r="F194" s="69">
        <v>32</v>
      </c>
      <c r="G194" s="64"/>
      <c r="H194" s="70"/>
      <c r="I194" s="71"/>
      <c r="J194" s="71"/>
      <c r="K194" s="31" t="s">
        <v>65</v>
      </c>
      <c r="L194" s="79">
        <v>194</v>
      </c>
      <c r="M194" s="79"/>
      <c r="N194" s="73"/>
      <c r="O194" s="66">
        <v>1</v>
      </c>
      <c r="P194" s="63" t="str">
        <f>REPLACE(INDEX(GroupVertices[Group],MATCH(Edges[[#This Row],[Vertex 1]],GroupVertices[Vertex],0)),1,1,"")</f>
        <v>2</v>
      </c>
      <c r="Q194" s="63" t="str">
        <f>REPLACE(INDEX(GroupVertices[Group],MATCH(Edges[[#This Row],[Vertex 2]],GroupVertices[Vertex],0)),1,1,"")</f>
        <v>4</v>
      </c>
      <c r="R194" s="66" t="s">
        <v>316</v>
      </c>
      <c r="S194" s="91">
        <v>44877.526192129626</v>
      </c>
      <c r="T194" s="66" t="s">
        <v>321</v>
      </c>
      <c r="U194" s="94" t="str">
        <f>HYPERLINK("https://www.youtube.com/watch?v=xb0JCOgMsXc&amp;feature=youtu.be")</f>
        <v>https://www.youtube.com/watch?v=xb0JCOgMsXc&amp;feature=youtu.be</v>
      </c>
      <c r="V194" s="66" t="s">
        <v>403</v>
      </c>
      <c r="W194" s="97" t="s">
        <v>424</v>
      </c>
      <c r="X194" s="94" t="str">
        <f>HYPERLINK("https://pbs.twimg.com/media/FhW7ZTpXkAAZ4Hh.jpg")</f>
        <v>https://pbs.twimg.com/media/FhW7ZTpXkAAZ4Hh.jpg</v>
      </c>
      <c r="Y194" s="94" t="str">
        <f>HYPERLINK("https://pbs.twimg.com/media/FhW7ZTpXkAAZ4Hh.jpg")</f>
        <v>https://pbs.twimg.com/media/FhW7ZTpXkAAZ4Hh.jpg</v>
      </c>
      <c r="Z194" s="91">
        <v>44877.526192129626</v>
      </c>
      <c r="AA194" s="100">
        <v>44877</v>
      </c>
      <c r="AB194" s="97" t="s">
        <v>469</v>
      </c>
      <c r="AC194" s="94" t="str">
        <f>HYPERLINK("https://twitter.com/transvisionmad1/status/1591409908440002562")</f>
        <v>https://twitter.com/transvisionmad1/status/1591409908440002562</v>
      </c>
      <c r="AD194" s="66"/>
      <c r="AE194" s="66"/>
      <c r="AF194" s="97" t="s">
        <v>602</v>
      </c>
      <c r="AG194" s="66"/>
      <c r="AH194" s="66" t="b">
        <v>0</v>
      </c>
      <c r="AI194" s="66">
        <v>0</v>
      </c>
      <c r="AJ194" s="97" t="s">
        <v>712</v>
      </c>
      <c r="AK194" s="66" t="b">
        <v>0</v>
      </c>
      <c r="AL194" s="66" t="s">
        <v>715</v>
      </c>
      <c r="AM194" s="66"/>
      <c r="AN194" s="97" t="s">
        <v>712</v>
      </c>
      <c r="AO194" s="66" t="b">
        <v>0</v>
      </c>
      <c r="AP194" s="66">
        <v>5</v>
      </c>
      <c r="AQ194" s="97" t="s">
        <v>601</v>
      </c>
      <c r="AR194" s="97" t="s">
        <v>717</v>
      </c>
      <c r="AS194" s="66" t="b">
        <v>0</v>
      </c>
      <c r="AT194" s="97" t="s">
        <v>601</v>
      </c>
      <c r="AU194" s="66" t="s">
        <v>241</v>
      </c>
      <c r="AV194" s="66">
        <v>0</v>
      </c>
      <c r="AW194" s="66">
        <v>0</v>
      </c>
      <c r="AX194" s="66"/>
      <c r="AY194" s="66"/>
      <c r="AZ194" s="66"/>
      <c r="BA194" s="66"/>
      <c r="BB194" s="66"/>
      <c r="BC194" s="66"/>
      <c r="BD194" s="66"/>
      <c r="BE194" s="66"/>
      <c r="BF194" s="45"/>
      <c r="BG194" s="46"/>
      <c r="BH194" s="45"/>
      <c r="BI194" s="46"/>
      <c r="BJ194" s="45"/>
      <c r="BK194" s="46"/>
      <c r="BL194" s="45"/>
      <c r="BM194" s="46"/>
      <c r="BN194" s="45"/>
    </row>
    <row r="195" spans="1:66" ht="15">
      <c r="A195" s="62" t="s">
        <v>298</v>
      </c>
      <c r="B195" s="62" t="s">
        <v>298</v>
      </c>
      <c r="C195" s="64" t="s">
        <v>1508</v>
      </c>
      <c r="D195" s="67">
        <v>10</v>
      </c>
      <c r="E195" s="68" t="s">
        <v>136</v>
      </c>
      <c r="F195" s="69">
        <v>15.941176470588236</v>
      </c>
      <c r="G195" s="64"/>
      <c r="H195" s="70"/>
      <c r="I195" s="71"/>
      <c r="J195" s="71"/>
      <c r="K195" s="31" t="s">
        <v>65</v>
      </c>
      <c r="L195" s="79">
        <v>195</v>
      </c>
      <c r="M195" s="79"/>
      <c r="N195" s="73"/>
      <c r="O195" s="66">
        <v>22</v>
      </c>
      <c r="P195" s="63" t="str">
        <f>REPLACE(INDEX(GroupVertices[Group],MATCH(Edges[[#This Row],[Vertex 1]],GroupVertices[Vertex],0)),1,1,"")</f>
        <v>2</v>
      </c>
      <c r="Q195" s="63" t="str">
        <f>REPLACE(INDEX(GroupVertices[Group],MATCH(Edges[[#This Row],[Vertex 2]],GroupVertices[Vertex],0)),1,1,"")</f>
        <v>2</v>
      </c>
      <c r="R195" s="66" t="s">
        <v>241</v>
      </c>
      <c r="S195" s="91">
        <v>44877.58231481481</v>
      </c>
      <c r="T195" s="66" t="s">
        <v>354</v>
      </c>
      <c r="U195" s="94" t="str">
        <f>HYPERLINK("https://www.youtube.com/watch?v=erkbGlWtX3Q&amp;feature=youtu.be")</f>
        <v>https://www.youtube.com/watch?v=erkbGlWtX3Q&amp;feature=youtu.be</v>
      </c>
      <c r="V195" s="66" t="s">
        <v>403</v>
      </c>
      <c r="W195" s="97" t="s">
        <v>423</v>
      </c>
      <c r="X195" s="66"/>
      <c r="Y195" s="94" t="str">
        <f>HYPERLINK("https://pbs.twimg.com/profile_images/1416462775400927235/DSrY8TK-_normal.jpg")</f>
        <v>https://pbs.twimg.com/profile_images/1416462775400927235/DSrY8TK-_normal.jpg</v>
      </c>
      <c r="Z195" s="91">
        <v>44877.58231481481</v>
      </c>
      <c r="AA195" s="100">
        <v>44877</v>
      </c>
      <c r="AB195" s="97" t="s">
        <v>521</v>
      </c>
      <c r="AC195" s="94" t="str">
        <f>HYPERLINK("https://twitter.com/transvisionmad1/status/1591430243302227968")</f>
        <v>https://twitter.com/transvisionmad1/status/1591430243302227968</v>
      </c>
      <c r="AD195" s="66"/>
      <c r="AE195" s="66"/>
      <c r="AF195" s="97" t="s">
        <v>655</v>
      </c>
      <c r="AG195" s="66"/>
      <c r="AH195" s="66" t="b">
        <v>0</v>
      </c>
      <c r="AI195" s="66">
        <v>1</v>
      </c>
      <c r="AJ195" s="97" t="s">
        <v>712</v>
      </c>
      <c r="AK195" s="66" t="b">
        <v>0</v>
      </c>
      <c r="AL195" s="66" t="s">
        <v>715</v>
      </c>
      <c r="AM195" s="66"/>
      <c r="AN195" s="97" t="s">
        <v>712</v>
      </c>
      <c r="AO195" s="66" t="b">
        <v>0</v>
      </c>
      <c r="AP195" s="66">
        <v>0</v>
      </c>
      <c r="AQ195" s="97" t="s">
        <v>712</v>
      </c>
      <c r="AR195" s="97" t="s">
        <v>717</v>
      </c>
      <c r="AS195" s="66" t="b">
        <v>0</v>
      </c>
      <c r="AT195" s="97" t="s">
        <v>655</v>
      </c>
      <c r="AU195" s="66" t="s">
        <v>241</v>
      </c>
      <c r="AV195" s="66">
        <v>0</v>
      </c>
      <c r="AW195" s="66">
        <v>0</v>
      </c>
      <c r="AX195" s="66"/>
      <c r="AY195" s="66"/>
      <c r="AZ195" s="66"/>
      <c r="BA195" s="66"/>
      <c r="BB195" s="66"/>
      <c r="BC195" s="66"/>
      <c r="BD195" s="66"/>
      <c r="BE195" s="66"/>
      <c r="BF195" s="45">
        <v>0</v>
      </c>
      <c r="BG195" s="46">
        <v>0</v>
      </c>
      <c r="BH195" s="45">
        <v>0</v>
      </c>
      <c r="BI195" s="46">
        <v>0</v>
      </c>
      <c r="BJ195" s="45">
        <v>0</v>
      </c>
      <c r="BK195" s="46">
        <v>0</v>
      </c>
      <c r="BL195" s="45">
        <v>11</v>
      </c>
      <c r="BM195" s="46">
        <v>78.57142857142857</v>
      </c>
      <c r="BN195" s="45">
        <v>14</v>
      </c>
    </row>
    <row r="196" spans="1:66" ht="15">
      <c r="A196" s="62" t="s">
        <v>298</v>
      </c>
      <c r="B196" s="62" t="s">
        <v>308</v>
      </c>
      <c r="C196" s="64" t="s">
        <v>1505</v>
      </c>
      <c r="D196" s="67">
        <v>4.75</v>
      </c>
      <c r="E196" s="68" t="s">
        <v>136</v>
      </c>
      <c r="F196" s="69">
        <v>31.235294117647058</v>
      </c>
      <c r="G196" s="64"/>
      <c r="H196" s="70"/>
      <c r="I196" s="71"/>
      <c r="J196" s="71"/>
      <c r="K196" s="31" t="s">
        <v>65</v>
      </c>
      <c r="L196" s="79">
        <v>196</v>
      </c>
      <c r="M196" s="79"/>
      <c r="N196" s="73"/>
      <c r="O196" s="66">
        <v>2</v>
      </c>
      <c r="P196" s="63" t="str">
        <f>REPLACE(INDEX(GroupVertices[Group],MATCH(Edges[[#This Row],[Vertex 1]],GroupVertices[Vertex],0)),1,1,"")</f>
        <v>2</v>
      </c>
      <c r="Q196" s="63" t="str">
        <f>REPLACE(INDEX(GroupVertices[Group],MATCH(Edges[[#This Row],[Vertex 2]],GroupVertices[Vertex],0)),1,1,"")</f>
        <v>3</v>
      </c>
      <c r="R196" s="66" t="s">
        <v>317</v>
      </c>
      <c r="S196" s="91">
        <v>44877.61565972222</v>
      </c>
      <c r="T196" s="66" t="s">
        <v>355</v>
      </c>
      <c r="U196" s="94" t="str">
        <f>HYPERLINK("https://www.youtube.com/watch?v=erkbGlWtX3Q")</f>
        <v>https://www.youtube.com/watch?v=erkbGlWtX3Q</v>
      </c>
      <c r="V196" s="66" t="s">
        <v>403</v>
      </c>
      <c r="W196" s="97" t="s">
        <v>427</v>
      </c>
      <c r="X196" s="94" t="str">
        <f>HYPERLINK("https://pbs.twimg.com/media/FhXv2xtWAAIg1Cp.jpg")</f>
        <v>https://pbs.twimg.com/media/FhXv2xtWAAIg1Cp.jpg</v>
      </c>
      <c r="Y196" s="94" t="str">
        <f>HYPERLINK("https://pbs.twimg.com/media/FhXv2xtWAAIg1Cp.jpg")</f>
        <v>https://pbs.twimg.com/media/FhXv2xtWAAIg1Cp.jpg</v>
      </c>
      <c r="Z196" s="91">
        <v>44877.61565972222</v>
      </c>
      <c r="AA196" s="100">
        <v>44877</v>
      </c>
      <c r="AB196" s="97" t="s">
        <v>522</v>
      </c>
      <c r="AC196" s="94" t="str">
        <f>HYPERLINK("https://twitter.com/transvisionmad1/status/1591442328178286593")</f>
        <v>https://twitter.com/transvisionmad1/status/1591442328178286593</v>
      </c>
      <c r="AD196" s="66"/>
      <c r="AE196" s="66"/>
      <c r="AF196" s="97" t="s">
        <v>656</v>
      </c>
      <c r="AG196" s="66"/>
      <c r="AH196" s="66" t="b">
        <v>0</v>
      </c>
      <c r="AI196" s="66">
        <v>1</v>
      </c>
      <c r="AJ196" s="97" t="s">
        <v>712</v>
      </c>
      <c r="AK196" s="66" t="b">
        <v>0</v>
      </c>
      <c r="AL196" s="66" t="s">
        <v>714</v>
      </c>
      <c r="AM196" s="66"/>
      <c r="AN196" s="97" t="s">
        <v>712</v>
      </c>
      <c r="AO196" s="66" t="b">
        <v>0</v>
      </c>
      <c r="AP196" s="66">
        <v>0</v>
      </c>
      <c r="AQ196" s="97" t="s">
        <v>712</v>
      </c>
      <c r="AR196" s="97" t="s">
        <v>717</v>
      </c>
      <c r="AS196" s="66" t="b">
        <v>0</v>
      </c>
      <c r="AT196" s="97" t="s">
        <v>656</v>
      </c>
      <c r="AU196" s="66" t="s">
        <v>241</v>
      </c>
      <c r="AV196" s="66">
        <v>0</v>
      </c>
      <c r="AW196" s="66">
        <v>0</v>
      </c>
      <c r="AX196" s="66"/>
      <c r="AY196" s="66"/>
      <c r="AZ196" s="66"/>
      <c r="BA196" s="66"/>
      <c r="BB196" s="66"/>
      <c r="BC196" s="66"/>
      <c r="BD196" s="66"/>
      <c r="BE196" s="66"/>
      <c r="BF196" s="45">
        <v>1</v>
      </c>
      <c r="BG196" s="46">
        <v>6.666666666666667</v>
      </c>
      <c r="BH196" s="45">
        <v>0</v>
      </c>
      <c r="BI196" s="46">
        <v>0</v>
      </c>
      <c r="BJ196" s="45">
        <v>0</v>
      </c>
      <c r="BK196" s="46">
        <v>0</v>
      </c>
      <c r="BL196" s="45">
        <v>11</v>
      </c>
      <c r="BM196" s="46">
        <v>73.33333333333333</v>
      </c>
      <c r="BN196" s="45">
        <v>15</v>
      </c>
    </row>
    <row r="197" spans="1:66" ht="15">
      <c r="A197" s="62" t="s">
        <v>298</v>
      </c>
      <c r="B197" s="62" t="s">
        <v>298</v>
      </c>
      <c r="C197" s="64" t="s">
        <v>1508</v>
      </c>
      <c r="D197" s="67">
        <v>10</v>
      </c>
      <c r="E197" s="68" t="s">
        <v>136</v>
      </c>
      <c r="F197" s="69">
        <v>15.941176470588236</v>
      </c>
      <c r="G197" s="64"/>
      <c r="H197" s="70"/>
      <c r="I197" s="71"/>
      <c r="J197" s="71"/>
      <c r="K197" s="31" t="s">
        <v>65</v>
      </c>
      <c r="L197" s="79">
        <v>197</v>
      </c>
      <c r="M197" s="79"/>
      <c r="N197" s="73"/>
      <c r="O197" s="66">
        <v>22</v>
      </c>
      <c r="P197" s="63" t="str">
        <f>REPLACE(INDEX(GroupVertices[Group],MATCH(Edges[[#This Row],[Vertex 1]],GroupVertices[Vertex],0)),1,1,"")</f>
        <v>2</v>
      </c>
      <c r="Q197" s="63" t="str">
        <f>REPLACE(INDEX(GroupVertices[Group],MATCH(Edges[[#This Row],[Vertex 2]],GroupVertices[Vertex],0)),1,1,"")</f>
        <v>2</v>
      </c>
      <c r="R197" s="66" t="s">
        <v>241</v>
      </c>
      <c r="S197" s="91">
        <v>44877.63628472222</v>
      </c>
      <c r="T197" s="66" t="s">
        <v>356</v>
      </c>
      <c r="U197" s="94" t="str">
        <f>HYPERLINK("http://transvisionmadrid.com")</f>
        <v>http://transvisionmadrid.com</v>
      </c>
      <c r="V197" s="66" t="s">
        <v>407</v>
      </c>
      <c r="W197" s="97" t="s">
        <v>428</v>
      </c>
      <c r="X197" s="94" t="str">
        <f>HYPERLINK("https://pbs.twimg.com/media/FhX3KWbWAAApSV0.jpg")</f>
        <v>https://pbs.twimg.com/media/FhX3KWbWAAApSV0.jpg</v>
      </c>
      <c r="Y197" s="94" t="str">
        <f>HYPERLINK("https://pbs.twimg.com/media/FhX3KWbWAAApSV0.jpg")</f>
        <v>https://pbs.twimg.com/media/FhX3KWbWAAApSV0.jpg</v>
      </c>
      <c r="Z197" s="91">
        <v>44877.63628472222</v>
      </c>
      <c r="AA197" s="100">
        <v>44877</v>
      </c>
      <c r="AB197" s="97" t="s">
        <v>523</v>
      </c>
      <c r="AC197" s="94" t="str">
        <f>HYPERLINK("https://twitter.com/transvisionmad1/status/1591449805267652608")</f>
        <v>https://twitter.com/transvisionmad1/status/1591449805267652608</v>
      </c>
      <c r="AD197" s="66"/>
      <c r="AE197" s="66"/>
      <c r="AF197" s="97" t="s">
        <v>657</v>
      </c>
      <c r="AG197" s="66"/>
      <c r="AH197" s="66" t="b">
        <v>0</v>
      </c>
      <c r="AI197" s="66">
        <v>0</v>
      </c>
      <c r="AJ197" s="97" t="s">
        <v>712</v>
      </c>
      <c r="AK197" s="66" t="b">
        <v>0</v>
      </c>
      <c r="AL197" s="66" t="s">
        <v>714</v>
      </c>
      <c r="AM197" s="66"/>
      <c r="AN197" s="97" t="s">
        <v>712</v>
      </c>
      <c r="AO197" s="66" t="b">
        <v>0</v>
      </c>
      <c r="AP197" s="66">
        <v>0</v>
      </c>
      <c r="AQ197" s="97" t="s">
        <v>712</v>
      </c>
      <c r="AR197" s="97" t="s">
        <v>724</v>
      </c>
      <c r="AS197" s="66" t="b">
        <v>0</v>
      </c>
      <c r="AT197" s="97" t="s">
        <v>657</v>
      </c>
      <c r="AU197" s="66" t="s">
        <v>241</v>
      </c>
      <c r="AV197" s="66">
        <v>0</v>
      </c>
      <c r="AW197" s="66">
        <v>0</v>
      </c>
      <c r="AX197" s="66"/>
      <c r="AY197" s="66"/>
      <c r="AZ197" s="66"/>
      <c r="BA197" s="66"/>
      <c r="BB197" s="66"/>
      <c r="BC197" s="66"/>
      <c r="BD197" s="66"/>
      <c r="BE197" s="66"/>
      <c r="BF197" s="45">
        <v>0</v>
      </c>
      <c r="BG197" s="46">
        <v>0</v>
      </c>
      <c r="BH197" s="45">
        <v>0</v>
      </c>
      <c r="BI197" s="46">
        <v>0</v>
      </c>
      <c r="BJ197" s="45">
        <v>0</v>
      </c>
      <c r="BK197" s="46">
        <v>0</v>
      </c>
      <c r="BL197" s="45">
        <v>16</v>
      </c>
      <c r="BM197" s="46">
        <v>84.21052631578948</v>
      </c>
      <c r="BN197" s="45">
        <v>19</v>
      </c>
    </row>
    <row r="198" spans="1:66" ht="15">
      <c r="A198" s="62" t="s">
        <v>298</v>
      </c>
      <c r="B198" s="62" t="s">
        <v>298</v>
      </c>
      <c r="C198" s="64" t="s">
        <v>1508</v>
      </c>
      <c r="D198" s="67">
        <v>10</v>
      </c>
      <c r="E198" s="68" t="s">
        <v>136</v>
      </c>
      <c r="F198" s="69">
        <v>15.941176470588236</v>
      </c>
      <c r="G198" s="64"/>
      <c r="H198" s="70"/>
      <c r="I198" s="71"/>
      <c r="J198" s="71"/>
      <c r="K198" s="31" t="s">
        <v>65</v>
      </c>
      <c r="L198" s="79">
        <v>198</v>
      </c>
      <c r="M198" s="79"/>
      <c r="N198" s="73"/>
      <c r="O198" s="66">
        <v>22</v>
      </c>
      <c r="P198" s="63" t="str">
        <f>REPLACE(INDEX(GroupVertices[Group],MATCH(Edges[[#This Row],[Vertex 1]],GroupVertices[Vertex],0)),1,1,"")</f>
        <v>2</v>
      </c>
      <c r="Q198" s="63" t="str">
        <f>REPLACE(INDEX(GroupVertices[Group],MATCH(Edges[[#This Row],[Vertex 2]],GroupVertices[Vertex],0)),1,1,"")</f>
        <v>2</v>
      </c>
      <c r="R198" s="66" t="s">
        <v>241</v>
      </c>
      <c r="S198" s="91">
        <v>44877.65525462963</v>
      </c>
      <c r="T198" s="66" t="s">
        <v>357</v>
      </c>
      <c r="U198" s="94" t="str">
        <f>HYPERLINK("https://www.youtube.com/watch?v=erkbGlWtX3Q")</f>
        <v>https://www.youtube.com/watch?v=erkbGlWtX3Q</v>
      </c>
      <c r="V198" s="66" t="s">
        <v>403</v>
      </c>
      <c r="W198" s="97" t="s">
        <v>427</v>
      </c>
      <c r="X198" s="94" t="str">
        <f>HYPERLINK("https://pbs.twimg.com/media/FhX8jKrWIAAAzHl.jpg")</f>
        <v>https://pbs.twimg.com/media/FhX8jKrWIAAAzHl.jpg</v>
      </c>
      <c r="Y198" s="94" t="str">
        <f>HYPERLINK("https://pbs.twimg.com/media/FhX8jKrWIAAAzHl.jpg")</f>
        <v>https://pbs.twimg.com/media/FhX8jKrWIAAAzHl.jpg</v>
      </c>
      <c r="Z198" s="91">
        <v>44877.65525462963</v>
      </c>
      <c r="AA198" s="100">
        <v>44877</v>
      </c>
      <c r="AB198" s="97" t="s">
        <v>524</v>
      </c>
      <c r="AC198" s="94" t="str">
        <f>HYPERLINK("https://twitter.com/transvisionmad1/status/1591456676980592640")</f>
        <v>https://twitter.com/transvisionmad1/status/1591456676980592640</v>
      </c>
      <c r="AD198" s="66"/>
      <c r="AE198" s="66"/>
      <c r="AF198" s="97" t="s">
        <v>658</v>
      </c>
      <c r="AG198" s="66"/>
      <c r="AH198" s="66" t="b">
        <v>0</v>
      </c>
      <c r="AI198" s="66">
        <v>0</v>
      </c>
      <c r="AJ198" s="97" t="s">
        <v>712</v>
      </c>
      <c r="AK198" s="66" t="b">
        <v>0</v>
      </c>
      <c r="AL198" s="66" t="s">
        <v>714</v>
      </c>
      <c r="AM198" s="66"/>
      <c r="AN198" s="97" t="s">
        <v>712</v>
      </c>
      <c r="AO198" s="66" t="b">
        <v>0</v>
      </c>
      <c r="AP198" s="66">
        <v>0</v>
      </c>
      <c r="AQ198" s="97" t="s">
        <v>712</v>
      </c>
      <c r="AR198" s="97" t="s">
        <v>717</v>
      </c>
      <c r="AS198" s="66" t="b">
        <v>0</v>
      </c>
      <c r="AT198" s="97" t="s">
        <v>658</v>
      </c>
      <c r="AU198" s="66" t="s">
        <v>241</v>
      </c>
      <c r="AV198" s="66">
        <v>0</v>
      </c>
      <c r="AW198" s="66">
        <v>0</v>
      </c>
      <c r="AX198" s="66"/>
      <c r="AY198" s="66"/>
      <c r="AZ198" s="66"/>
      <c r="BA198" s="66"/>
      <c r="BB198" s="66"/>
      <c r="BC198" s="66"/>
      <c r="BD198" s="66"/>
      <c r="BE198" s="66"/>
      <c r="BF198" s="45">
        <v>1</v>
      </c>
      <c r="BG198" s="46">
        <v>7.142857142857143</v>
      </c>
      <c r="BH198" s="45">
        <v>0</v>
      </c>
      <c r="BI198" s="46">
        <v>0</v>
      </c>
      <c r="BJ198" s="45">
        <v>0</v>
      </c>
      <c r="BK198" s="46">
        <v>0</v>
      </c>
      <c r="BL198" s="45">
        <v>10</v>
      </c>
      <c r="BM198" s="46">
        <v>71.42857142857143</v>
      </c>
      <c r="BN198" s="45">
        <v>14</v>
      </c>
    </row>
    <row r="199" spans="1:66" ht="15">
      <c r="A199" s="62" t="s">
        <v>298</v>
      </c>
      <c r="B199" s="62" t="s">
        <v>298</v>
      </c>
      <c r="C199" s="64" t="s">
        <v>1508</v>
      </c>
      <c r="D199" s="67">
        <v>10</v>
      </c>
      <c r="E199" s="68" t="s">
        <v>136</v>
      </c>
      <c r="F199" s="69">
        <v>15.941176470588236</v>
      </c>
      <c r="G199" s="64"/>
      <c r="H199" s="70"/>
      <c r="I199" s="71"/>
      <c r="J199" s="71"/>
      <c r="K199" s="31" t="s">
        <v>65</v>
      </c>
      <c r="L199" s="79">
        <v>199</v>
      </c>
      <c r="M199" s="79"/>
      <c r="N199" s="73"/>
      <c r="O199" s="66">
        <v>22</v>
      </c>
      <c r="P199" s="63" t="str">
        <f>REPLACE(INDEX(GroupVertices[Group],MATCH(Edges[[#This Row],[Vertex 1]],GroupVertices[Vertex],0)),1,1,"")</f>
        <v>2</v>
      </c>
      <c r="Q199" s="63" t="str">
        <f>REPLACE(INDEX(GroupVertices[Group],MATCH(Edges[[#This Row],[Vertex 2]],GroupVertices[Vertex],0)),1,1,"")</f>
        <v>2</v>
      </c>
      <c r="R199" s="66" t="s">
        <v>241</v>
      </c>
      <c r="S199" s="91">
        <v>44877.83629629629</v>
      </c>
      <c r="T199" s="66" t="s">
        <v>358</v>
      </c>
      <c r="U199" s="94" t="str">
        <f>HYPERLINK("http://transvisionmadrid.com")</f>
        <v>http://transvisionmadrid.com</v>
      </c>
      <c r="V199" s="66" t="s">
        <v>407</v>
      </c>
      <c r="W199" s="97" t="s">
        <v>428</v>
      </c>
      <c r="X199" s="94" t="str">
        <f>HYPERLINK("https://pbs.twimg.com/media/FhY5FHoXwAUOpWQ.jpg")</f>
        <v>https://pbs.twimg.com/media/FhY5FHoXwAUOpWQ.jpg</v>
      </c>
      <c r="Y199" s="94" t="str">
        <f>HYPERLINK("https://pbs.twimg.com/media/FhY5FHoXwAUOpWQ.jpg")</f>
        <v>https://pbs.twimg.com/media/FhY5FHoXwAUOpWQ.jpg</v>
      </c>
      <c r="Z199" s="91">
        <v>44877.83629629629</v>
      </c>
      <c r="AA199" s="100">
        <v>44877</v>
      </c>
      <c r="AB199" s="97" t="s">
        <v>525</v>
      </c>
      <c r="AC199" s="94" t="str">
        <f>HYPERLINK("https://twitter.com/transvisionmad1/status/1591522283285266432")</f>
        <v>https://twitter.com/transvisionmad1/status/1591522283285266432</v>
      </c>
      <c r="AD199" s="66"/>
      <c r="AE199" s="66"/>
      <c r="AF199" s="97" t="s">
        <v>659</v>
      </c>
      <c r="AG199" s="66"/>
      <c r="AH199" s="66" t="b">
        <v>0</v>
      </c>
      <c r="AI199" s="66">
        <v>1</v>
      </c>
      <c r="AJ199" s="97" t="s">
        <v>712</v>
      </c>
      <c r="AK199" s="66" t="b">
        <v>0</v>
      </c>
      <c r="AL199" s="66" t="s">
        <v>714</v>
      </c>
      <c r="AM199" s="66"/>
      <c r="AN199" s="97" t="s">
        <v>712</v>
      </c>
      <c r="AO199" s="66" t="b">
        <v>0</v>
      </c>
      <c r="AP199" s="66">
        <v>0</v>
      </c>
      <c r="AQ199" s="97" t="s">
        <v>712</v>
      </c>
      <c r="AR199" s="97" t="s">
        <v>724</v>
      </c>
      <c r="AS199" s="66" t="b">
        <v>0</v>
      </c>
      <c r="AT199" s="97" t="s">
        <v>659</v>
      </c>
      <c r="AU199" s="66" t="s">
        <v>241</v>
      </c>
      <c r="AV199" s="66">
        <v>0</v>
      </c>
      <c r="AW199" s="66">
        <v>0</v>
      </c>
      <c r="AX199" s="66"/>
      <c r="AY199" s="66"/>
      <c r="AZ199" s="66"/>
      <c r="BA199" s="66"/>
      <c r="BB199" s="66"/>
      <c r="BC199" s="66"/>
      <c r="BD199" s="66"/>
      <c r="BE199" s="66"/>
      <c r="BF199" s="45">
        <v>0</v>
      </c>
      <c r="BG199" s="46">
        <v>0</v>
      </c>
      <c r="BH199" s="45">
        <v>0</v>
      </c>
      <c r="BI199" s="46">
        <v>0</v>
      </c>
      <c r="BJ199" s="45">
        <v>0</v>
      </c>
      <c r="BK199" s="46">
        <v>0</v>
      </c>
      <c r="BL199" s="45">
        <v>16</v>
      </c>
      <c r="BM199" s="46">
        <v>84.21052631578948</v>
      </c>
      <c r="BN199" s="45">
        <v>19</v>
      </c>
    </row>
    <row r="200" spans="1:66" ht="15">
      <c r="A200" s="62" t="s">
        <v>298</v>
      </c>
      <c r="B200" s="62" t="s">
        <v>298</v>
      </c>
      <c r="C200" s="64" t="s">
        <v>1508</v>
      </c>
      <c r="D200" s="67">
        <v>10</v>
      </c>
      <c r="E200" s="68" t="s">
        <v>136</v>
      </c>
      <c r="F200" s="69">
        <v>15.941176470588236</v>
      </c>
      <c r="G200" s="64"/>
      <c r="H200" s="70"/>
      <c r="I200" s="71"/>
      <c r="J200" s="71"/>
      <c r="K200" s="31" t="s">
        <v>65</v>
      </c>
      <c r="L200" s="79">
        <v>200</v>
      </c>
      <c r="M200" s="79"/>
      <c r="N200" s="73"/>
      <c r="O200" s="66">
        <v>22</v>
      </c>
      <c r="P200" s="63" t="str">
        <f>REPLACE(INDEX(GroupVertices[Group],MATCH(Edges[[#This Row],[Vertex 1]],GroupVertices[Vertex],0)),1,1,"")</f>
        <v>2</v>
      </c>
      <c r="Q200" s="63" t="str">
        <f>REPLACE(INDEX(GroupVertices[Group],MATCH(Edges[[#This Row],[Vertex 2]],GroupVertices[Vertex],0)),1,1,"")</f>
        <v>2</v>
      </c>
      <c r="R200" s="66" t="s">
        <v>241</v>
      </c>
      <c r="S200" s="91">
        <v>44878.296006944445</v>
      </c>
      <c r="T200" s="66" t="s">
        <v>326</v>
      </c>
      <c r="U200" s="94" t="str">
        <f>HYPERLINK("https://www.abc.es/sociedad/cuatro-espanoles-reposan-congelados-espera-resucitados-20221109220843-nt.html")</f>
        <v>https://www.abc.es/sociedad/cuatro-espanoles-reposan-congelados-espera-resucitados-20221109220843-nt.html</v>
      </c>
      <c r="V200" s="66" t="s">
        <v>402</v>
      </c>
      <c r="W200" s="97" t="s">
        <v>422</v>
      </c>
      <c r="X200" s="66"/>
      <c r="Y200" s="94" t="str">
        <f>HYPERLINK("https://pbs.twimg.com/profile_images/1416462775400927235/DSrY8TK-_normal.jpg")</f>
        <v>https://pbs.twimg.com/profile_images/1416462775400927235/DSrY8TK-_normal.jpg</v>
      </c>
      <c r="Z200" s="91">
        <v>44878.296006944445</v>
      </c>
      <c r="AA200" s="100">
        <v>44878</v>
      </c>
      <c r="AB200" s="97" t="s">
        <v>526</v>
      </c>
      <c r="AC200" s="94" t="str">
        <f>HYPERLINK("https://twitter.com/transvisionmad1/status/1591688878091640832")</f>
        <v>https://twitter.com/transvisionmad1/status/1591688878091640832</v>
      </c>
      <c r="AD200" s="66"/>
      <c r="AE200" s="66"/>
      <c r="AF200" s="97" t="s">
        <v>660</v>
      </c>
      <c r="AG200" s="66"/>
      <c r="AH200" s="66" t="b">
        <v>0</v>
      </c>
      <c r="AI200" s="66">
        <v>1</v>
      </c>
      <c r="AJ200" s="97" t="s">
        <v>712</v>
      </c>
      <c r="AK200" s="66" t="b">
        <v>0</v>
      </c>
      <c r="AL200" s="66" t="s">
        <v>715</v>
      </c>
      <c r="AM200" s="66"/>
      <c r="AN200" s="97" t="s">
        <v>712</v>
      </c>
      <c r="AO200" s="66" t="b">
        <v>0</v>
      </c>
      <c r="AP200" s="66">
        <v>1</v>
      </c>
      <c r="AQ200" s="97" t="s">
        <v>712</v>
      </c>
      <c r="AR200" s="97" t="s">
        <v>724</v>
      </c>
      <c r="AS200" s="66" t="b">
        <v>0</v>
      </c>
      <c r="AT200" s="97" t="s">
        <v>660</v>
      </c>
      <c r="AU200" s="66" t="s">
        <v>241</v>
      </c>
      <c r="AV200" s="66">
        <v>0</v>
      </c>
      <c r="AW200" s="66">
        <v>0</v>
      </c>
      <c r="AX200" s="66"/>
      <c r="AY200" s="66"/>
      <c r="AZ200" s="66"/>
      <c r="BA200" s="66"/>
      <c r="BB200" s="66"/>
      <c r="BC200" s="66"/>
      <c r="BD200" s="66"/>
      <c r="BE200" s="66"/>
      <c r="BF200" s="45">
        <v>0</v>
      </c>
      <c r="BG200" s="46">
        <v>0</v>
      </c>
      <c r="BH200" s="45">
        <v>0</v>
      </c>
      <c r="BI200" s="46">
        <v>0</v>
      </c>
      <c r="BJ200" s="45">
        <v>0</v>
      </c>
      <c r="BK200" s="46">
        <v>0</v>
      </c>
      <c r="BL200" s="45">
        <v>23</v>
      </c>
      <c r="BM200" s="46">
        <v>67.6470588235294</v>
      </c>
      <c r="BN200" s="45">
        <v>34</v>
      </c>
    </row>
    <row r="201" spans="1:66" ht="15">
      <c r="A201" s="62" t="s">
        <v>298</v>
      </c>
      <c r="B201" s="62" t="s">
        <v>298</v>
      </c>
      <c r="C201" s="64" t="s">
        <v>1508</v>
      </c>
      <c r="D201" s="67">
        <v>10</v>
      </c>
      <c r="E201" s="68" t="s">
        <v>136</v>
      </c>
      <c r="F201" s="69">
        <v>15.941176470588236</v>
      </c>
      <c r="G201" s="64"/>
      <c r="H201" s="70"/>
      <c r="I201" s="71"/>
      <c r="J201" s="71"/>
      <c r="K201" s="31" t="s">
        <v>65</v>
      </c>
      <c r="L201" s="79">
        <v>201</v>
      </c>
      <c r="M201" s="79"/>
      <c r="N201" s="73"/>
      <c r="O201" s="66">
        <v>22</v>
      </c>
      <c r="P201" s="63" t="str">
        <f>REPLACE(INDEX(GroupVertices[Group],MATCH(Edges[[#This Row],[Vertex 1]],GroupVertices[Vertex],0)),1,1,"")</f>
        <v>2</v>
      </c>
      <c r="Q201" s="63" t="str">
        <f>REPLACE(INDEX(GroupVertices[Group],MATCH(Edges[[#This Row],[Vertex 2]],GroupVertices[Vertex],0)),1,1,"")</f>
        <v>2</v>
      </c>
      <c r="R201" s="66" t="s">
        <v>241</v>
      </c>
      <c r="S201" s="91">
        <v>44878.301099537035</v>
      </c>
      <c r="T201" s="66" t="s">
        <v>337</v>
      </c>
      <c r="U201" s="94" t="str">
        <f>HYPERLINK("https://www.youtube.com/c/AlianzaFuturista/streams")</f>
        <v>https://www.youtube.com/c/AlianzaFuturista/streams</v>
      </c>
      <c r="V201" s="66" t="s">
        <v>403</v>
      </c>
      <c r="W201" s="97" t="s">
        <v>429</v>
      </c>
      <c r="X201" s="94" t="str">
        <f>HYPERLINK("https://pbs.twimg.com/media/FhbRBMWWYAACddn.jpg")</f>
        <v>https://pbs.twimg.com/media/FhbRBMWWYAACddn.jpg</v>
      </c>
      <c r="Y201" s="94" t="str">
        <f>HYPERLINK("https://pbs.twimg.com/media/FhbRBMWWYAACddn.jpg")</f>
        <v>https://pbs.twimg.com/media/FhbRBMWWYAACddn.jpg</v>
      </c>
      <c r="Z201" s="91">
        <v>44878.301099537035</v>
      </c>
      <c r="AA201" s="100">
        <v>44878</v>
      </c>
      <c r="AB201" s="97" t="s">
        <v>527</v>
      </c>
      <c r="AC201" s="94" t="str">
        <f>HYPERLINK("https://twitter.com/transvisionmad1/status/1591690722214039552")</f>
        <v>https://twitter.com/transvisionmad1/status/1591690722214039552</v>
      </c>
      <c r="AD201" s="66"/>
      <c r="AE201" s="66"/>
      <c r="AF201" s="97" t="s">
        <v>661</v>
      </c>
      <c r="AG201" s="66"/>
      <c r="AH201" s="66" t="b">
        <v>0</v>
      </c>
      <c r="AI201" s="66">
        <v>2</v>
      </c>
      <c r="AJ201" s="97" t="s">
        <v>712</v>
      </c>
      <c r="AK201" s="66" t="b">
        <v>0</v>
      </c>
      <c r="AL201" s="66" t="s">
        <v>714</v>
      </c>
      <c r="AM201" s="66"/>
      <c r="AN201" s="97" t="s">
        <v>712</v>
      </c>
      <c r="AO201" s="66" t="b">
        <v>0</v>
      </c>
      <c r="AP201" s="66">
        <v>2</v>
      </c>
      <c r="AQ201" s="97" t="s">
        <v>712</v>
      </c>
      <c r="AR201" s="97" t="s">
        <v>717</v>
      </c>
      <c r="AS201" s="66" t="b">
        <v>0</v>
      </c>
      <c r="AT201" s="97" t="s">
        <v>661</v>
      </c>
      <c r="AU201" s="66" t="s">
        <v>241</v>
      </c>
      <c r="AV201" s="66">
        <v>0</v>
      </c>
      <c r="AW201" s="66">
        <v>0</v>
      </c>
      <c r="AX201" s="66"/>
      <c r="AY201" s="66"/>
      <c r="AZ201" s="66"/>
      <c r="BA201" s="66"/>
      <c r="BB201" s="66"/>
      <c r="BC201" s="66"/>
      <c r="BD201" s="66"/>
      <c r="BE201" s="66"/>
      <c r="BF201" s="45">
        <v>0</v>
      </c>
      <c r="BG201" s="46">
        <v>0</v>
      </c>
      <c r="BH201" s="45">
        <v>0</v>
      </c>
      <c r="BI201" s="46">
        <v>0</v>
      </c>
      <c r="BJ201" s="45">
        <v>0</v>
      </c>
      <c r="BK201" s="46">
        <v>0</v>
      </c>
      <c r="BL201" s="45">
        <v>19</v>
      </c>
      <c r="BM201" s="46">
        <v>59.375</v>
      </c>
      <c r="BN201" s="45">
        <v>32</v>
      </c>
    </row>
    <row r="202" spans="1:66" ht="15">
      <c r="A202" s="62" t="s">
        <v>298</v>
      </c>
      <c r="B202" s="62" t="s">
        <v>298</v>
      </c>
      <c r="C202" s="64" t="s">
        <v>1508</v>
      </c>
      <c r="D202" s="67">
        <v>10</v>
      </c>
      <c r="E202" s="68" t="s">
        <v>136</v>
      </c>
      <c r="F202" s="69">
        <v>15.941176470588236</v>
      </c>
      <c r="G202" s="64"/>
      <c r="H202" s="70"/>
      <c r="I202" s="71"/>
      <c r="J202" s="71"/>
      <c r="K202" s="31" t="s">
        <v>65</v>
      </c>
      <c r="L202" s="79">
        <v>202</v>
      </c>
      <c r="M202" s="79"/>
      <c r="N202" s="73"/>
      <c r="O202" s="66">
        <v>22</v>
      </c>
      <c r="P202" s="63" t="str">
        <f>REPLACE(INDEX(GroupVertices[Group],MATCH(Edges[[#This Row],[Vertex 1]],GroupVertices[Vertex],0)),1,1,"")</f>
        <v>2</v>
      </c>
      <c r="Q202" s="63" t="str">
        <f>REPLACE(INDEX(GroupVertices[Group],MATCH(Edges[[#This Row],[Vertex 2]],GroupVertices[Vertex],0)),1,1,"")</f>
        <v>2</v>
      </c>
      <c r="R202" s="66" t="s">
        <v>241</v>
      </c>
      <c r="S202" s="91">
        <v>44878.363020833334</v>
      </c>
      <c r="T202" s="66" t="s">
        <v>359</v>
      </c>
      <c r="U202" s="94" t="str">
        <f>HYPERLINK("https://www.youtube.com/c/AlianzaFuturista/streams")</f>
        <v>https://www.youtube.com/c/AlianzaFuturista/streams</v>
      </c>
      <c r="V202" s="66" t="s">
        <v>403</v>
      </c>
      <c r="W202" s="97" t="s">
        <v>429</v>
      </c>
      <c r="X202" s="94" t="str">
        <f>HYPERLINK("https://pbs.twimg.com/media/Fhbli2wXwAANOzT.jpg")</f>
        <v>https://pbs.twimg.com/media/Fhbli2wXwAANOzT.jpg</v>
      </c>
      <c r="Y202" s="94" t="str">
        <f>HYPERLINK("https://pbs.twimg.com/media/Fhbli2wXwAANOzT.jpg")</f>
        <v>https://pbs.twimg.com/media/Fhbli2wXwAANOzT.jpg</v>
      </c>
      <c r="Z202" s="91">
        <v>44878.363020833334</v>
      </c>
      <c r="AA202" s="100">
        <v>44878</v>
      </c>
      <c r="AB202" s="97" t="s">
        <v>528</v>
      </c>
      <c r="AC202" s="94" t="str">
        <f>HYPERLINK("https://twitter.com/transvisionmad1/status/1591713162973544449")</f>
        <v>https://twitter.com/transvisionmad1/status/1591713162973544449</v>
      </c>
      <c r="AD202" s="66"/>
      <c r="AE202" s="66"/>
      <c r="AF202" s="97" t="s">
        <v>662</v>
      </c>
      <c r="AG202" s="66"/>
      <c r="AH202" s="66" t="b">
        <v>0</v>
      </c>
      <c r="AI202" s="66">
        <v>4</v>
      </c>
      <c r="AJ202" s="97" t="s">
        <v>712</v>
      </c>
      <c r="AK202" s="66" t="b">
        <v>0</v>
      </c>
      <c r="AL202" s="66" t="s">
        <v>714</v>
      </c>
      <c r="AM202" s="66"/>
      <c r="AN202" s="97" t="s">
        <v>712</v>
      </c>
      <c r="AO202" s="66" t="b">
        <v>0</v>
      </c>
      <c r="AP202" s="66">
        <v>0</v>
      </c>
      <c r="AQ202" s="97" t="s">
        <v>712</v>
      </c>
      <c r="AR202" s="97" t="s">
        <v>717</v>
      </c>
      <c r="AS202" s="66" t="b">
        <v>0</v>
      </c>
      <c r="AT202" s="97" t="s">
        <v>662</v>
      </c>
      <c r="AU202" s="66" t="s">
        <v>241</v>
      </c>
      <c r="AV202" s="66">
        <v>0</v>
      </c>
      <c r="AW202" s="66">
        <v>0</v>
      </c>
      <c r="AX202" s="66"/>
      <c r="AY202" s="66"/>
      <c r="AZ202" s="66"/>
      <c r="BA202" s="66"/>
      <c r="BB202" s="66"/>
      <c r="BC202" s="66"/>
      <c r="BD202" s="66"/>
      <c r="BE202" s="66"/>
      <c r="BF202" s="45">
        <v>0</v>
      </c>
      <c r="BG202" s="46">
        <v>0</v>
      </c>
      <c r="BH202" s="45">
        <v>0</v>
      </c>
      <c r="BI202" s="46">
        <v>0</v>
      </c>
      <c r="BJ202" s="45">
        <v>0</v>
      </c>
      <c r="BK202" s="46">
        <v>0</v>
      </c>
      <c r="BL202" s="45">
        <v>22</v>
      </c>
      <c r="BM202" s="46">
        <v>68.75</v>
      </c>
      <c r="BN202" s="45">
        <v>32</v>
      </c>
    </row>
    <row r="203" spans="1:66" ht="15">
      <c r="A203" s="62" t="s">
        <v>298</v>
      </c>
      <c r="B203" s="62" t="s">
        <v>298</v>
      </c>
      <c r="C203" s="64" t="s">
        <v>1508</v>
      </c>
      <c r="D203" s="67">
        <v>10</v>
      </c>
      <c r="E203" s="68" t="s">
        <v>136</v>
      </c>
      <c r="F203" s="69">
        <v>15.941176470588236</v>
      </c>
      <c r="G203" s="64"/>
      <c r="H203" s="70"/>
      <c r="I203" s="71"/>
      <c r="J203" s="71"/>
      <c r="K203" s="31" t="s">
        <v>65</v>
      </c>
      <c r="L203" s="79">
        <v>203</v>
      </c>
      <c r="M203" s="79"/>
      <c r="N203" s="73"/>
      <c r="O203" s="66">
        <v>22</v>
      </c>
      <c r="P203" s="63" t="str">
        <f>REPLACE(INDEX(GroupVertices[Group],MATCH(Edges[[#This Row],[Vertex 1]],GroupVertices[Vertex],0)),1,1,"")</f>
        <v>2</v>
      </c>
      <c r="Q203" s="63" t="str">
        <f>REPLACE(INDEX(GroupVertices[Group],MATCH(Edges[[#This Row],[Vertex 2]],GroupVertices[Vertex],0)),1,1,"")</f>
        <v>2</v>
      </c>
      <c r="R203" s="66" t="s">
        <v>241</v>
      </c>
      <c r="S203" s="91">
        <v>44878.41409722222</v>
      </c>
      <c r="T203" s="66" t="s">
        <v>330</v>
      </c>
      <c r="U203" s="94" t="str">
        <f>HYPERLINK("http://transvisionmadrid.com")</f>
        <v>http://transvisionmadrid.com</v>
      </c>
      <c r="V203" s="66" t="s">
        <v>407</v>
      </c>
      <c r="W203" s="97" t="s">
        <v>428</v>
      </c>
      <c r="X203" s="94" t="str">
        <f>HYPERLINK("https://pbs.twimg.com/media/Fhb3hI6WAAIZ67S.jpg")</f>
        <v>https://pbs.twimg.com/media/Fhb3hI6WAAIZ67S.jpg</v>
      </c>
      <c r="Y203" s="94" t="str">
        <f>HYPERLINK("https://pbs.twimg.com/media/Fhb3hI6WAAIZ67S.jpg")</f>
        <v>https://pbs.twimg.com/media/Fhb3hI6WAAIZ67S.jpg</v>
      </c>
      <c r="Z203" s="91">
        <v>44878.41409722222</v>
      </c>
      <c r="AA203" s="100">
        <v>44878</v>
      </c>
      <c r="AB203" s="97" t="s">
        <v>529</v>
      </c>
      <c r="AC203" s="94" t="str">
        <f>HYPERLINK("https://twitter.com/transvisionmad1/status/1591731671656796160")</f>
        <v>https://twitter.com/transvisionmad1/status/1591731671656796160</v>
      </c>
      <c r="AD203" s="66"/>
      <c r="AE203" s="66"/>
      <c r="AF203" s="97" t="s">
        <v>663</v>
      </c>
      <c r="AG203" s="66"/>
      <c r="AH203" s="66" t="b">
        <v>0</v>
      </c>
      <c r="AI203" s="66">
        <v>5</v>
      </c>
      <c r="AJ203" s="97" t="s">
        <v>712</v>
      </c>
      <c r="AK203" s="66" t="b">
        <v>0</v>
      </c>
      <c r="AL203" s="66" t="s">
        <v>714</v>
      </c>
      <c r="AM203" s="66"/>
      <c r="AN203" s="97" t="s">
        <v>712</v>
      </c>
      <c r="AO203" s="66" t="b">
        <v>0</v>
      </c>
      <c r="AP203" s="66">
        <v>2</v>
      </c>
      <c r="AQ203" s="97" t="s">
        <v>712</v>
      </c>
      <c r="AR203" s="97" t="s">
        <v>724</v>
      </c>
      <c r="AS203" s="66" t="b">
        <v>0</v>
      </c>
      <c r="AT203" s="97" t="s">
        <v>663</v>
      </c>
      <c r="AU203" s="66" t="s">
        <v>241</v>
      </c>
      <c r="AV203" s="66">
        <v>0</v>
      </c>
      <c r="AW203" s="66">
        <v>0</v>
      </c>
      <c r="AX203" s="66"/>
      <c r="AY203" s="66"/>
      <c r="AZ203" s="66"/>
      <c r="BA203" s="66"/>
      <c r="BB203" s="66"/>
      <c r="BC203" s="66"/>
      <c r="BD203" s="66"/>
      <c r="BE203" s="66"/>
      <c r="BF203" s="45">
        <v>0</v>
      </c>
      <c r="BG203" s="46">
        <v>0</v>
      </c>
      <c r="BH203" s="45">
        <v>0</v>
      </c>
      <c r="BI203" s="46">
        <v>0</v>
      </c>
      <c r="BJ203" s="45">
        <v>0</v>
      </c>
      <c r="BK203" s="46">
        <v>0</v>
      </c>
      <c r="BL203" s="45">
        <v>16</v>
      </c>
      <c r="BM203" s="46">
        <v>84.21052631578948</v>
      </c>
      <c r="BN203" s="45">
        <v>19</v>
      </c>
    </row>
    <row r="204" spans="1:66" ht="15">
      <c r="A204" s="62" t="s">
        <v>298</v>
      </c>
      <c r="B204" s="62" t="s">
        <v>310</v>
      </c>
      <c r="C204" s="64" t="s">
        <v>1504</v>
      </c>
      <c r="D204" s="67">
        <v>3</v>
      </c>
      <c r="E204" s="68" t="s">
        <v>132</v>
      </c>
      <c r="F204" s="69">
        <v>32</v>
      </c>
      <c r="G204" s="64"/>
      <c r="H204" s="70"/>
      <c r="I204" s="71"/>
      <c r="J204" s="71"/>
      <c r="K204" s="31" t="s">
        <v>65</v>
      </c>
      <c r="L204" s="79">
        <v>204</v>
      </c>
      <c r="M204" s="79"/>
      <c r="N204" s="73"/>
      <c r="O204" s="66">
        <v>1</v>
      </c>
      <c r="P204" s="63" t="str">
        <f>REPLACE(INDEX(GroupVertices[Group],MATCH(Edges[[#This Row],[Vertex 1]],GroupVertices[Vertex],0)),1,1,"")</f>
        <v>2</v>
      </c>
      <c r="Q204" s="63" t="str">
        <f>REPLACE(INDEX(GroupVertices[Group],MATCH(Edges[[#This Row],[Vertex 2]],GroupVertices[Vertex],0)),1,1,"")</f>
        <v>2</v>
      </c>
      <c r="R204" s="66" t="s">
        <v>317</v>
      </c>
      <c r="S204" s="91">
        <v>44878.4191087963</v>
      </c>
      <c r="T204" s="66" t="s">
        <v>331</v>
      </c>
      <c r="U204" s="94" t="str">
        <f>HYPERLINK("https://www.youtube.com/watch?v=3JK84n-jsMU")</f>
        <v>https://www.youtube.com/watch?v=3JK84n-jsMU</v>
      </c>
      <c r="V204" s="66" t="s">
        <v>403</v>
      </c>
      <c r="W204" s="97" t="s">
        <v>430</v>
      </c>
      <c r="X204" s="94" t="str">
        <f>HYPERLINK("https://pbs.twimg.com/media/Fhb4i56WIAEBmHG.jpg")</f>
        <v>https://pbs.twimg.com/media/Fhb4i56WIAEBmHG.jpg</v>
      </c>
      <c r="Y204" s="94" t="str">
        <f>HYPERLINK("https://pbs.twimg.com/media/Fhb4i56WIAEBmHG.jpg")</f>
        <v>https://pbs.twimg.com/media/Fhb4i56WIAEBmHG.jpg</v>
      </c>
      <c r="Z204" s="91">
        <v>44878.4191087963</v>
      </c>
      <c r="AA204" s="100">
        <v>44878</v>
      </c>
      <c r="AB204" s="97" t="s">
        <v>530</v>
      </c>
      <c r="AC204" s="94" t="str">
        <f>HYPERLINK("https://twitter.com/transvisionmad1/status/1591733491460624384")</f>
        <v>https://twitter.com/transvisionmad1/status/1591733491460624384</v>
      </c>
      <c r="AD204" s="66"/>
      <c r="AE204" s="66"/>
      <c r="AF204" s="97" t="s">
        <v>664</v>
      </c>
      <c r="AG204" s="66"/>
      <c r="AH204" s="66" t="b">
        <v>0</v>
      </c>
      <c r="AI204" s="66">
        <v>2</v>
      </c>
      <c r="AJ204" s="97" t="s">
        <v>712</v>
      </c>
      <c r="AK204" s="66" t="b">
        <v>0</v>
      </c>
      <c r="AL204" s="66" t="s">
        <v>714</v>
      </c>
      <c r="AM204" s="66"/>
      <c r="AN204" s="97" t="s">
        <v>712</v>
      </c>
      <c r="AO204" s="66" t="b">
        <v>0</v>
      </c>
      <c r="AP204" s="66">
        <v>1</v>
      </c>
      <c r="AQ204" s="97" t="s">
        <v>712</v>
      </c>
      <c r="AR204" s="97" t="s">
        <v>717</v>
      </c>
      <c r="AS204" s="66" t="b">
        <v>0</v>
      </c>
      <c r="AT204" s="97" t="s">
        <v>664</v>
      </c>
      <c r="AU204" s="66" t="s">
        <v>241</v>
      </c>
      <c r="AV204" s="66">
        <v>0</v>
      </c>
      <c r="AW204" s="66">
        <v>0</v>
      </c>
      <c r="AX204" s="66"/>
      <c r="AY204" s="66"/>
      <c r="AZ204" s="66"/>
      <c r="BA204" s="66"/>
      <c r="BB204" s="66"/>
      <c r="BC204" s="66"/>
      <c r="BD204" s="66"/>
      <c r="BE204" s="66"/>
      <c r="BF204" s="45">
        <v>0</v>
      </c>
      <c r="BG204" s="46">
        <v>0</v>
      </c>
      <c r="BH204" s="45">
        <v>0</v>
      </c>
      <c r="BI204" s="46">
        <v>0</v>
      </c>
      <c r="BJ204" s="45">
        <v>0</v>
      </c>
      <c r="BK204" s="46">
        <v>0</v>
      </c>
      <c r="BL204" s="45">
        <v>9</v>
      </c>
      <c r="BM204" s="46">
        <v>64.28571428571429</v>
      </c>
      <c r="BN204" s="45">
        <v>14</v>
      </c>
    </row>
    <row r="205" spans="1:66" ht="15">
      <c r="A205" s="62" t="s">
        <v>298</v>
      </c>
      <c r="B205" s="62" t="s">
        <v>298</v>
      </c>
      <c r="C205" s="64" t="s">
        <v>1508</v>
      </c>
      <c r="D205" s="67">
        <v>10</v>
      </c>
      <c r="E205" s="68" t="s">
        <v>136</v>
      </c>
      <c r="F205" s="69">
        <v>15.941176470588236</v>
      </c>
      <c r="G205" s="64"/>
      <c r="H205" s="70"/>
      <c r="I205" s="71"/>
      <c r="J205" s="71"/>
      <c r="K205" s="31" t="s">
        <v>65</v>
      </c>
      <c r="L205" s="79">
        <v>205</v>
      </c>
      <c r="M205" s="79"/>
      <c r="N205" s="73"/>
      <c r="O205" s="66">
        <v>22</v>
      </c>
      <c r="P205" s="63" t="str">
        <f>REPLACE(INDEX(GroupVertices[Group],MATCH(Edges[[#This Row],[Vertex 1]],GroupVertices[Vertex],0)),1,1,"")</f>
        <v>2</v>
      </c>
      <c r="Q205" s="63" t="str">
        <f>REPLACE(INDEX(GroupVertices[Group],MATCH(Edges[[#This Row],[Vertex 2]],GroupVertices[Vertex],0)),1,1,"")</f>
        <v>2</v>
      </c>
      <c r="R205" s="66" t="s">
        <v>241</v>
      </c>
      <c r="S205" s="91">
        <v>44878.463784722226</v>
      </c>
      <c r="T205" s="66" t="s">
        <v>333</v>
      </c>
      <c r="U205" s="94" t="str">
        <f>HYPERLINK("https://www.youtube.com/watch?v=3JK84n-jsMU")</f>
        <v>https://www.youtube.com/watch?v=3JK84n-jsMU</v>
      </c>
      <c r="V205" s="66" t="s">
        <v>403</v>
      </c>
      <c r="W205" s="97" t="s">
        <v>430</v>
      </c>
      <c r="X205" s="94" t="str">
        <f>HYPERLINK("https://pbs.twimg.com/media/FhcHy7oXEAMenzQ.png")</f>
        <v>https://pbs.twimg.com/media/FhcHy7oXEAMenzQ.png</v>
      </c>
      <c r="Y205" s="94" t="str">
        <f>HYPERLINK("https://pbs.twimg.com/media/FhcHy7oXEAMenzQ.png")</f>
        <v>https://pbs.twimg.com/media/FhcHy7oXEAMenzQ.png</v>
      </c>
      <c r="Z205" s="91">
        <v>44878.463784722226</v>
      </c>
      <c r="AA205" s="100">
        <v>44878</v>
      </c>
      <c r="AB205" s="97" t="s">
        <v>531</v>
      </c>
      <c r="AC205" s="94" t="str">
        <f>HYPERLINK("https://twitter.com/transvisionmad1/status/1591749681398308865")</f>
        <v>https://twitter.com/transvisionmad1/status/1591749681398308865</v>
      </c>
      <c r="AD205" s="66"/>
      <c r="AE205" s="66"/>
      <c r="AF205" s="97" t="s">
        <v>665</v>
      </c>
      <c r="AG205" s="66"/>
      <c r="AH205" s="66" t="b">
        <v>0</v>
      </c>
      <c r="AI205" s="66">
        <v>7</v>
      </c>
      <c r="AJ205" s="97" t="s">
        <v>712</v>
      </c>
      <c r="AK205" s="66" t="b">
        <v>0</v>
      </c>
      <c r="AL205" s="66" t="s">
        <v>714</v>
      </c>
      <c r="AM205" s="66"/>
      <c r="AN205" s="97" t="s">
        <v>712</v>
      </c>
      <c r="AO205" s="66" t="b">
        <v>0</v>
      </c>
      <c r="AP205" s="66">
        <v>5</v>
      </c>
      <c r="AQ205" s="97" t="s">
        <v>712</v>
      </c>
      <c r="AR205" s="97" t="s">
        <v>717</v>
      </c>
      <c r="AS205" s="66" t="b">
        <v>0</v>
      </c>
      <c r="AT205" s="97" t="s">
        <v>665</v>
      </c>
      <c r="AU205" s="66" t="s">
        <v>241</v>
      </c>
      <c r="AV205" s="66">
        <v>0</v>
      </c>
      <c r="AW205" s="66">
        <v>0</v>
      </c>
      <c r="AX205" s="66"/>
      <c r="AY205" s="66"/>
      <c r="AZ205" s="66"/>
      <c r="BA205" s="66"/>
      <c r="BB205" s="66"/>
      <c r="BC205" s="66"/>
      <c r="BD205" s="66"/>
      <c r="BE205" s="66"/>
      <c r="BF205" s="45">
        <v>0</v>
      </c>
      <c r="BG205" s="46">
        <v>0</v>
      </c>
      <c r="BH205" s="45">
        <v>0</v>
      </c>
      <c r="BI205" s="46">
        <v>0</v>
      </c>
      <c r="BJ205" s="45">
        <v>0</v>
      </c>
      <c r="BK205" s="46">
        <v>0</v>
      </c>
      <c r="BL205" s="45">
        <v>5</v>
      </c>
      <c r="BM205" s="46">
        <v>62.5</v>
      </c>
      <c r="BN205" s="45">
        <v>8</v>
      </c>
    </row>
    <row r="206" spans="1:66" ht="15">
      <c r="A206" s="62" t="s">
        <v>298</v>
      </c>
      <c r="B206" s="62" t="s">
        <v>298</v>
      </c>
      <c r="C206" s="64" t="s">
        <v>1508</v>
      </c>
      <c r="D206" s="67">
        <v>10</v>
      </c>
      <c r="E206" s="68" t="s">
        <v>136</v>
      </c>
      <c r="F206" s="69">
        <v>15.941176470588236</v>
      </c>
      <c r="G206" s="64"/>
      <c r="H206" s="70"/>
      <c r="I206" s="71"/>
      <c r="J206" s="71"/>
      <c r="K206" s="31" t="s">
        <v>65</v>
      </c>
      <c r="L206" s="79">
        <v>206</v>
      </c>
      <c r="M206" s="79"/>
      <c r="N206" s="73"/>
      <c r="O206" s="66">
        <v>22</v>
      </c>
      <c r="P206" s="63" t="str">
        <f>REPLACE(INDEX(GroupVertices[Group],MATCH(Edges[[#This Row],[Vertex 1]],GroupVertices[Vertex],0)),1,1,"")</f>
        <v>2</v>
      </c>
      <c r="Q206" s="63" t="str">
        <f>REPLACE(INDEX(GroupVertices[Group],MATCH(Edges[[#This Row],[Vertex 2]],GroupVertices[Vertex],0)),1,1,"")</f>
        <v>2</v>
      </c>
      <c r="R206" s="66" t="s">
        <v>241</v>
      </c>
      <c r="S206" s="91">
        <v>44878.636296296296</v>
      </c>
      <c r="T206" s="66" t="s">
        <v>360</v>
      </c>
      <c r="U206" s="94" t="str">
        <f>HYPERLINK("http://transvisionmadrid.com")</f>
        <v>http://transvisionmadrid.com</v>
      </c>
      <c r="V206" s="66" t="s">
        <v>407</v>
      </c>
      <c r="W206" s="97" t="s">
        <v>428</v>
      </c>
      <c r="X206" s="94" t="str">
        <f>HYPERLINK("https://pbs.twimg.com/media/FhdAwUOX0AEpSM5.jpg")</f>
        <v>https://pbs.twimg.com/media/FhdAwUOX0AEpSM5.jpg</v>
      </c>
      <c r="Y206" s="94" t="str">
        <f>HYPERLINK("https://pbs.twimg.com/media/FhdAwUOX0AEpSM5.jpg")</f>
        <v>https://pbs.twimg.com/media/FhdAwUOX0AEpSM5.jpg</v>
      </c>
      <c r="Z206" s="91">
        <v>44878.636296296296</v>
      </c>
      <c r="AA206" s="100">
        <v>44878</v>
      </c>
      <c r="AB206" s="97" t="s">
        <v>532</v>
      </c>
      <c r="AC206" s="94" t="str">
        <f>HYPERLINK("https://twitter.com/transvisionmad1/status/1591812196526432268")</f>
        <v>https://twitter.com/transvisionmad1/status/1591812196526432268</v>
      </c>
      <c r="AD206" s="66"/>
      <c r="AE206" s="66"/>
      <c r="AF206" s="97" t="s">
        <v>666</v>
      </c>
      <c r="AG206" s="66"/>
      <c r="AH206" s="66" t="b">
        <v>0</v>
      </c>
      <c r="AI206" s="66">
        <v>2</v>
      </c>
      <c r="AJ206" s="97" t="s">
        <v>712</v>
      </c>
      <c r="AK206" s="66" t="b">
        <v>0</v>
      </c>
      <c r="AL206" s="66" t="s">
        <v>714</v>
      </c>
      <c r="AM206" s="66"/>
      <c r="AN206" s="97" t="s">
        <v>712</v>
      </c>
      <c r="AO206" s="66" t="b">
        <v>0</v>
      </c>
      <c r="AP206" s="66">
        <v>0</v>
      </c>
      <c r="AQ206" s="97" t="s">
        <v>712</v>
      </c>
      <c r="AR206" s="97" t="s">
        <v>724</v>
      </c>
      <c r="AS206" s="66" t="b">
        <v>0</v>
      </c>
      <c r="AT206" s="97" t="s">
        <v>666</v>
      </c>
      <c r="AU206" s="66" t="s">
        <v>241</v>
      </c>
      <c r="AV206" s="66">
        <v>0</v>
      </c>
      <c r="AW206" s="66">
        <v>0</v>
      </c>
      <c r="AX206" s="66"/>
      <c r="AY206" s="66"/>
      <c r="AZ206" s="66"/>
      <c r="BA206" s="66"/>
      <c r="BB206" s="66"/>
      <c r="BC206" s="66"/>
      <c r="BD206" s="66"/>
      <c r="BE206" s="66"/>
      <c r="BF206" s="45">
        <v>0</v>
      </c>
      <c r="BG206" s="46">
        <v>0</v>
      </c>
      <c r="BH206" s="45">
        <v>0</v>
      </c>
      <c r="BI206" s="46">
        <v>0</v>
      </c>
      <c r="BJ206" s="45">
        <v>0</v>
      </c>
      <c r="BK206" s="46">
        <v>0</v>
      </c>
      <c r="BL206" s="45">
        <v>16</v>
      </c>
      <c r="BM206" s="46">
        <v>80</v>
      </c>
      <c r="BN206" s="45">
        <v>20</v>
      </c>
    </row>
    <row r="207" spans="1:66" ht="15">
      <c r="A207" s="62" t="s">
        <v>298</v>
      </c>
      <c r="B207" s="62" t="s">
        <v>298</v>
      </c>
      <c r="C207" s="64" t="s">
        <v>1508</v>
      </c>
      <c r="D207" s="67">
        <v>10</v>
      </c>
      <c r="E207" s="68" t="s">
        <v>136</v>
      </c>
      <c r="F207" s="69">
        <v>15.941176470588236</v>
      </c>
      <c r="G207" s="64"/>
      <c r="H207" s="70"/>
      <c r="I207" s="71"/>
      <c r="J207" s="71"/>
      <c r="K207" s="31" t="s">
        <v>65</v>
      </c>
      <c r="L207" s="79">
        <v>207</v>
      </c>
      <c r="M207" s="79"/>
      <c r="N207" s="73"/>
      <c r="O207" s="66">
        <v>22</v>
      </c>
      <c r="P207" s="63" t="str">
        <f>REPLACE(INDEX(GroupVertices[Group],MATCH(Edges[[#This Row],[Vertex 1]],GroupVertices[Vertex],0)),1,1,"")</f>
        <v>2</v>
      </c>
      <c r="Q207" s="63" t="str">
        <f>REPLACE(INDEX(GroupVertices[Group],MATCH(Edges[[#This Row],[Vertex 2]],GroupVertices[Vertex],0)),1,1,"")</f>
        <v>2</v>
      </c>
      <c r="R207" s="66" t="s">
        <v>241</v>
      </c>
      <c r="S207" s="91">
        <v>44878.83628472222</v>
      </c>
      <c r="T207" s="66" t="s">
        <v>361</v>
      </c>
      <c r="U207" s="94" t="str">
        <f>HYPERLINK("http://transvisionmadrid.com")</f>
        <v>http://transvisionmadrid.com</v>
      </c>
      <c r="V207" s="66" t="s">
        <v>407</v>
      </c>
      <c r="W207" s="97" t="s">
        <v>428</v>
      </c>
      <c r="X207" s="94" t="str">
        <f>HYPERLINK("https://pbs.twimg.com/media/FheCqxHXoAUGZNw.jpg")</f>
        <v>https://pbs.twimg.com/media/FheCqxHXoAUGZNw.jpg</v>
      </c>
      <c r="Y207" s="94" t="str">
        <f>HYPERLINK("https://pbs.twimg.com/media/FheCqxHXoAUGZNw.jpg")</f>
        <v>https://pbs.twimg.com/media/FheCqxHXoAUGZNw.jpg</v>
      </c>
      <c r="Z207" s="91">
        <v>44878.83628472222</v>
      </c>
      <c r="AA207" s="100">
        <v>44878</v>
      </c>
      <c r="AB207" s="97" t="s">
        <v>533</v>
      </c>
      <c r="AC207" s="94" t="str">
        <f>HYPERLINK("https://twitter.com/transvisionmad1/status/1591884669074669569")</f>
        <v>https://twitter.com/transvisionmad1/status/1591884669074669569</v>
      </c>
      <c r="AD207" s="66"/>
      <c r="AE207" s="66"/>
      <c r="AF207" s="97" t="s">
        <v>667</v>
      </c>
      <c r="AG207" s="66"/>
      <c r="AH207" s="66" t="b">
        <v>0</v>
      </c>
      <c r="AI207" s="66">
        <v>1</v>
      </c>
      <c r="AJ207" s="97" t="s">
        <v>712</v>
      </c>
      <c r="AK207" s="66" t="b">
        <v>0</v>
      </c>
      <c r="AL207" s="66" t="s">
        <v>714</v>
      </c>
      <c r="AM207" s="66"/>
      <c r="AN207" s="97" t="s">
        <v>712</v>
      </c>
      <c r="AO207" s="66" t="b">
        <v>0</v>
      </c>
      <c r="AP207" s="66">
        <v>0</v>
      </c>
      <c r="AQ207" s="97" t="s">
        <v>712</v>
      </c>
      <c r="AR207" s="97" t="s">
        <v>724</v>
      </c>
      <c r="AS207" s="66" t="b">
        <v>0</v>
      </c>
      <c r="AT207" s="97" t="s">
        <v>667</v>
      </c>
      <c r="AU207" s="66" t="s">
        <v>241</v>
      </c>
      <c r="AV207" s="66">
        <v>0</v>
      </c>
      <c r="AW207" s="66">
        <v>0</v>
      </c>
      <c r="AX207" s="66"/>
      <c r="AY207" s="66"/>
      <c r="AZ207" s="66"/>
      <c r="BA207" s="66"/>
      <c r="BB207" s="66"/>
      <c r="BC207" s="66"/>
      <c r="BD207" s="66"/>
      <c r="BE207" s="66"/>
      <c r="BF207" s="45">
        <v>0</v>
      </c>
      <c r="BG207" s="46">
        <v>0</v>
      </c>
      <c r="BH207" s="45">
        <v>0</v>
      </c>
      <c r="BI207" s="46">
        <v>0</v>
      </c>
      <c r="BJ207" s="45">
        <v>0</v>
      </c>
      <c r="BK207" s="46">
        <v>0</v>
      </c>
      <c r="BL207" s="45">
        <v>16</v>
      </c>
      <c r="BM207" s="46">
        <v>84.21052631578948</v>
      </c>
      <c r="BN207" s="45">
        <v>19</v>
      </c>
    </row>
    <row r="208" spans="1:66" ht="15">
      <c r="A208" s="62" t="s">
        <v>298</v>
      </c>
      <c r="B208" s="62" t="s">
        <v>305</v>
      </c>
      <c r="C208" s="64" t="s">
        <v>1509</v>
      </c>
      <c r="D208" s="67">
        <v>10</v>
      </c>
      <c r="E208" s="68" t="s">
        <v>136</v>
      </c>
      <c r="F208" s="69">
        <v>28.941176470588236</v>
      </c>
      <c r="G208" s="64"/>
      <c r="H208" s="70"/>
      <c r="I208" s="71"/>
      <c r="J208" s="71"/>
      <c r="K208" s="31" t="s">
        <v>65</v>
      </c>
      <c r="L208" s="79">
        <v>208</v>
      </c>
      <c r="M208" s="79"/>
      <c r="N208" s="73"/>
      <c r="O208" s="66">
        <v>5</v>
      </c>
      <c r="P208" s="63" t="str">
        <f>REPLACE(INDEX(GroupVertices[Group],MATCH(Edges[[#This Row],[Vertex 1]],GroupVertices[Vertex],0)),1,1,"")</f>
        <v>2</v>
      </c>
      <c r="Q208" s="63" t="str">
        <f>REPLACE(INDEX(GroupVertices[Group],MATCH(Edges[[#This Row],[Vertex 2]],GroupVertices[Vertex],0)),1,1,"")</f>
        <v>4</v>
      </c>
      <c r="R208" s="66" t="s">
        <v>315</v>
      </c>
      <c r="S208" s="91">
        <v>44879.405023148145</v>
      </c>
      <c r="T208" s="66" t="s">
        <v>362</v>
      </c>
      <c r="U208" s="94" t="str">
        <f>HYPERLINK("https://okdiario.com/salud/madrid-acogera-cumbre-internacional-sobre-criopreservacion-pacientes-futura-reanimacion-9945365")</f>
        <v>https://okdiario.com/salud/madrid-acogera-cumbre-internacional-sobre-criopreservacion-pacientes-futura-reanimacion-9945365</v>
      </c>
      <c r="V208" s="66" t="s">
        <v>414</v>
      </c>
      <c r="W208" s="97" t="s">
        <v>435</v>
      </c>
      <c r="X208" s="66"/>
      <c r="Y208" s="94" t="str">
        <f>HYPERLINK("https://pbs.twimg.com/profile_images/1416462775400927235/DSrY8TK-_normal.jpg")</f>
        <v>https://pbs.twimg.com/profile_images/1416462775400927235/DSrY8TK-_normal.jpg</v>
      </c>
      <c r="Z208" s="91">
        <v>44879.405023148145</v>
      </c>
      <c r="AA208" s="100">
        <v>44879</v>
      </c>
      <c r="AB208" s="97" t="s">
        <v>515</v>
      </c>
      <c r="AC208" s="94" t="str">
        <f>HYPERLINK("https://twitter.com/transvisionmad1/status/1592090770785566720")</f>
        <v>https://twitter.com/transvisionmad1/status/1592090770785566720</v>
      </c>
      <c r="AD208" s="66"/>
      <c r="AE208" s="66"/>
      <c r="AF208" s="97" t="s">
        <v>668</v>
      </c>
      <c r="AG208" s="66"/>
      <c r="AH208" s="66" t="b">
        <v>0</v>
      </c>
      <c r="AI208" s="66">
        <v>0</v>
      </c>
      <c r="AJ208" s="97" t="s">
        <v>712</v>
      </c>
      <c r="AK208" s="66" t="b">
        <v>0</v>
      </c>
      <c r="AL208" s="66" t="s">
        <v>715</v>
      </c>
      <c r="AM208" s="66"/>
      <c r="AN208" s="97" t="s">
        <v>712</v>
      </c>
      <c r="AO208" s="66" t="b">
        <v>0</v>
      </c>
      <c r="AP208" s="66">
        <v>1</v>
      </c>
      <c r="AQ208" s="97" t="s">
        <v>704</v>
      </c>
      <c r="AR208" s="97" t="s">
        <v>717</v>
      </c>
      <c r="AS208" s="66" t="b">
        <v>0</v>
      </c>
      <c r="AT208" s="97" t="s">
        <v>704</v>
      </c>
      <c r="AU208" s="66" t="s">
        <v>241</v>
      </c>
      <c r="AV208" s="66">
        <v>0</v>
      </c>
      <c r="AW208" s="66">
        <v>0</v>
      </c>
      <c r="AX208" s="66"/>
      <c r="AY208" s="66"/>
      <c r="AZ208" s="66"/>
      <c r="BA208" s="66"/>
      <c r="BB208" s="66"/>
      <c r="BC208" s="66"/>
      <c r="BD208" s="66"/>
      <c r="BE208" s="66"/>
      <c r="BF208" s="45">
        <v>0</v>
      </c>
      <c r="BG208" s="46">
        <v>0</v>
      </c>
      <c r="BH208" s="45">
        <v>0</v>
      </c>
      <c r="BI208" s="46">
        <v>0</v>
      </c>
      <c r="BJ208" s="45">
        <v>0</v>
      </c>
      <c r="BK208" s="46">
        <v>0</v>
      </c>
      <c r="BL208" s="45">
        <v>15</v>
      </c>
      <c r="BM208" s="46">
        <v>71.42857142857143</v>
      </c>
      <c r="BN208" s="45">
        <v>21</v>
      </c>
    </row>
    <row r="209" spans="1:66" ht="15">
      <c r="A209" s="62" t="s">
        <v>298</v>
      </c>
      <c r="B209" s="62" t="s">
        <v>298</v>
      </c>
      <c r="C209" s="64" t="s">
        <v>1508</v>
      </c>
      <c r="D209" s="67">
        <v>10</v>
      </c>
      <c r="E209" s="68" t="s">
        <v>136</v>
      </c>
      <c r="F209" s="69">
        <v>15.941176470588236</v>
      </c>
      <c r="G209" s="64"/>
      <c r="H209" s="70"/>
      <c r="I209" s="71"/>
      <c r="J209" s="71"/>
      <c r="K209" s="31" t="s">
        <v>65</v>
      </c>
      <c r="L209" s="79">
        <v>209</v>
      </c>
      <c r="M209" s="79"/>
      <c r="N209" s="73"/>
      <c r="O209" s="66">
        <v>22</v>
      </c>
      <c r="P209" s="63" t="str">
        <f>REPLACE(INDEX(GroupVertices[Group],MATCH(Edges[[#This Row],[Vertex 1]],GroupVertices[Vertex],0)),1,1,"")</f>
        <v>2</v>
      </c>
      <c r="Q209" s="63" t="str">
        <f>REPLACE(INDEX(GroupVertices[Group],MATCH(Edges[[#This Row],[Vertex 2]],GroupVertices[Vertex],0)),1,1,"")</f>
        <v>2</v>
      </c>
      <c r="R209" s="66" t="s">
        <v>241</v>
      </c>
      <c r="S209" s="91">
        <v>44879.796006944445</v>
      </c>
      <c r="T209" s="66" t="s">
        <v>335</v>
      </c>
      <c r="U209" s="94" t="str">
        <f>HYPERLINK("https://www.levante-emv.com/tendencias21/2022/11/12/cumbre-cientifica-inmortalidad-madrid-78418464.html")</f>
        <v>https://www.levante-emv.com/tendencias21/2022/11/12/cumbre-cientifica-inmortalidad-madrid-78418464.html</v>
      </c>
      <c r="V209" s="66" t="s">
        <v>409</v>
      </c>
      <c r="W209" s="97" t="s">
        <v>431</v>
      </c>
      <c r="X209" s="66"/>
      <c r="Y209" s="94" t="str">
        <f>HYPERLINK("https://pbs.twimg.com/profile_images/1416462775400927235/DSrY8TK-_normal.jpg")</f>
        <v>https://pbs.twimg.com/profile_images/1416462775400927235/DSrY8TK-_normal.jpg</v>
      </c>
      <c r="Z209" s="91">
        <v>44879.796006944445</v>
      </c>
      <c r="AA209" s="100">
        <v>44879</v>
      </c>
      <c r="AB209" s="97" t="s">
        <v>534</v>
      </c>
      <c r="AC209" s="94" t="str">
        <f>HYPERLINK("https://twitter.com/transvisionmad1/status/1592232462209490944")</f>
        <v>https://twitter.com/transvisionmad1/status/1592232462209490944</v>
      </c>
      <c r="AD209" s="66"/>
      <c r="AE209" s="66"/>
      <c r="AF209" s="97" t="s">
        <v>669</v>
      </c>
      <c r="AG209" s="66"/>
      <c r="AH209" s="66" t="b">
        <v>0</v>
      </c>
      <c r="AI209" s="66">
        <v>3</v>
      </c>
      <c r="AJ209" s="97" t="s">
        <v>712</v>
      </c>
      <c r="AK209" s="66" t="b">
        <v>0</v>
      </c>
      <c r="AL209" s="66" t="s">
        <v>715</v>
      </c>
      <c r="AM209" s="66"/>
      <c r="AN209" s="97" t="s">
        <v>712</v>
      </c>
      <c r="AO209" s="66" t="b">
        <v>0</v>
      </c>
      <c r="AP209" s="66">
        <v>2</v>
      </c>
      <c r="AQ209" s="97" t="s">
        <v>712</v>
      </c>
      <c r="AR209" s="97" t="s">
        <v>724</v>
      </c>
      <c r="AS209" s="66" t="b">
        <v>0</v>
      </c>
      <c r="AT209" s="97" t="s">
        <v>669</v>
      </c>
      <c r="AU209" s="66" t="s">
        <v>241</v>
      </c>
      <c r="AV209" s="66">
        <v>0</v>
      </c>
      <c r="AW209" s="66">
        <v>0</v>
      </c>
      <c r="AX209" s="66"/>
      <c r="AY209" s="66"/>
      <c r="AZ209" s="66"/>
      <c r="BA209" s="66"/>
      <c r="BB209" s="66"/>
      <c r="BC209" s="66"/>
      <c r="BD209" s="66"/>
      <c r="BE209" s="66"/>
      <c r="BF209" s="45">
        <v>0</v>
      </c>
      <c r="BG209" s="46">
        <v>0</v>
      </c>
      <c r="BH209" s="45">
        <v>0</v>
      </c>
      <c r="BI209" s="46">
        <v>0</v>
      </c>
      <c r="BJ209" s="45">
        <v>0</v>
      </c>
      <c r="BK209" s="46">
        <v>0</v>
      </c>
      <c r="BL209" s="45">
        <v>18</v>
      </c>
      <c r="BM209" s="46">
        <v>66.66666666666667</v>
      </c>
      <c r="BN209" s="45">
        <v>27</v>
      </c>
    </row>
    <row r="210" spans="1:66" ht="15">
      <c r="A210" s="62" t="s">
        <v>298</v>
      </c>
      <c r="B210" s="62" t="s">
        <v>298</v>
      </c>
      <c r="C210" s="64" t="s">
        <v>1508</v>
      </c>
      <c r="D210" s="67">
        <v>10</v>
      </c>
      <c r="E210" s="68" t="s">
        <v>136</v>
      </c>
      <c r="F210" s="69">
        <v>15.941176470588236</v>
      </c>
      <c r="G210" s="64"/>
      <c r="H210" s="70"/>
      <c r="I210" s="71"/>
      <c r="J210" s="71"/>
      <c r="K210" s="31" t="s">
        <v>65</v>
      </c>
      <c r="L210" s="79">
        <v>210</v>
      </c>
      <c r="M210" s="79"/>
      <c r="N210" s="73"/>
      <c r="O210" s="66">
        <v>22</v>
      </c>
      <c r="P210" s="63" t="str">
        <f>REPLACE(INDEX(GroupVertices[Group],MATCH(Edges[[#This Row],[Vertex 1]],GroupVertices[Vertex],0)),1,1,"")</f>
        <v>2</v>
      </c>
      <c r="Q210" s="63" t="str">
        <f>REPLACE(INDEX(GroupVertices[Group],MATCH(Edges[[#This Row],[Vertex 2]],GroupVertices[Vertex],0)),1,1,"")</f>
        <v>2</v>
      </c>
      <c r="R210" s="66" t="s">
        <v>241</v>
      </c>
      <c r="S210" s="91">
        <v>44880.504375</v>
      </c>
      <c r="T210" s="66" t="s">
        <v>363</v>
      </c>
      <c r="U210" s="94" t="str">
        <f>HYPERLINK("https://www.eldebate.com/salud-y-bienestar/salud/20221114/ramon-risco-criopreservacion-viable-humanos_72431.html#utm_source=rrss-comp&amp;utm_medium=wh&amp;utm_campaign=fixed-btn")</f>
        <v>https://www.eldebate.com/salud-y-bienestar/salud/20221114/ramon-risco-criopreservacion-viable-humanos_72431.html#utm_source=rrss-comp&amp;utm_medium=wh&amp;utm_campaign=fixed-btn</v>
      </c>
      <c r="V210" s="66" t="s">
        <v>415</v>
      </c>
      <c r="W210" s="97" t="s">
        <v>436</v>
      </c>
      <c r="X210" s="66"/>
      <c r="Y210" s="94" t="str">
        <f>HYPERLINK("https://pbs.twimg.com/profile_images/1416462775400927235/DSrY8TK-_normal.jpg")</f>
        <v>https://pbs.twimg.com/profile_images/1416462775400927235/DSrY8TK-_normal.jpg</v>
      </c>
      <c r="Z210" s="91">
        <v>44880.504375</v>
      </c>
      <c r="AA210" s="100">
        <v>44880</v>
      </c>
      <c r="AB210" s="97" t="s">
        <v>535</v>
      </c>
      <c r="AC210" s="94" t="str">
        <f>HYPERLINK("https://twitter.com/transvisionmad1/status/1592489164695633920")</f>
        <v>https://twitter.com/transvisionmad1/status/1592489164695633920</v>
      </c>
      <c r="AD210" s="66"/>
      <c r="AE210" s="66"/>
      <c r="AF210" s="97" t="s">
        <v>670</v>
      </c>
      <c r="AG210" s="66"/>
      <c r="AH210" s="66" t="b">
        <v>0</v>
      </c>
      <c r="AI210" s="66">
        <v>0</v>
      </c>
      <c r="AJ210" s="97" t="s">
        <v>712</v>
      </c>
      <c r="AK210" s="66" t="b">
        <v>0</v>
      </c>
      <c r="AL210" s="66" t="s">
        <v>715</v>
      </c>
      <c r="AM210" s="66"/>
      <c r="AN210" s="97" t="s">
        <v>712</v>
      </c>
      <c r="AO210" s="66" t="b">
        <v>0</v>
      </c>
      <c r="AP210" s="66">
        <v>0</v>
      </c>
      <c r="AQ210" s="97" t="s">
        <v>712</v>
      </c>
      <c r="AR210" s="97" t="s">
        <v>724</v>
      </c>
      <c r="AS210" s="66" t="b">
        <v>0</v>
      </c>
      <c r="AT210" s="97" t="s">
        <v>670</v>
      </c>
      <c r="AU210" s="66" t="s">
        <v>241</v>
      </c>
      <c r="AV210" s="66">
        <v>0</v>
      </c>
      <c r="AW210" s="66">
        <v>0</v>
      </c>
      <c r="AX210" s="66"/>
      <c r="AY210" s="66"/>
      <c r="AZ210" s="66"/>
      <c r="BA210" s="66"/>
      <c r="BB210" s="66"/>
      <c r="BC210" s="66"/>
      <c r="BD210" s="66"/>
      <c r="BE210" s="66"/>
      <c r="BF210" s="45">
        <v>0</v>
      </c>
      <c r="BG210" s="46">
        <v>0</v>
      </c>
      <c r="BH210" s="45">
        <v>0</v>
      </c>
      <c r="BI210" s="46">
        <v>0</v>
      </c>
      <c r="BJ210" s="45">
        <v>0</v>
      </c>
      <c r="BK210" s="46">
        <v>0</v>
      </c>
      <c r="BL210" s="45">
        <v>13</v>
      </c>
      <c r="BM210" s="46">
        <v>68.42105263157895</v>
      </c>
      <c r="BN210" s="45">
        <v>19</v>
      </c>
    </row>
    <row r="211" spans="1:66" ht="15">
      <c r="A211" s="62" t="s">
        <v>298</v>
      </c>
      <c r="B211" s="62" t="s">
        <v>298</v>
      </c>
      <c r="C211" s="64" t="s">
        <v>1504</v>
      </c>
      <c r="D211" s="67">
        <v>3</v>
      </c>
      <c r="E211" s="68" t="s">
        <v>132</v>
      </c>
      <c r="F211" s="69">
        <v>32</v>
      </c>
      <c r="G211" s="64"/>
      <c r="H211" s="70"/>
      <c r="I211" s="71"/>
      <c r="J211" s="71"/>
      <c r="K211" s="31" t="s">
        <v>65</v>
      </c>
      <c r="L211" s="79">
        <v>211</v>
      </c>
      <c r="M211" s="79"/>
      <c r="N211" s="73"/>
      <c r="O211" s="66">
        <v>1</v>
      </c>
      <c r="P211" s="63" t="str">
        <f>REPLACE(INDEX(GroupVertices[Group],MATCH(Edges[[#This Row],[Vertex 1]],GroupVertices[Vertex],0)),1,1,"")</f>
        <v>2</v>
      </c>
      <c r="Q211" s="63" t="str">
        <f>REPLACE(INDEX(GroupVertices[Group],MATCH(Edges[[#This Row],[Vertex 2]],GroupVertices[Vertex],0)),1,1,"")</f>
        <v>2</v>
      </c>
      <c r="R211" s="66" t="s">
        <v>315</v>
      </c>
      <c r="S211" s="91">
        <v>44882.22119212963</v>
      </c>
      <c r="T211" s="66" t="s">
        <v>333</v>
      </c>
      <c r="U211" s="94" t="str">
        <f>HYPERLINK("https://www.youtube.com/watch?v=3JK84n-jsMU")</f>
        <v>https://www.youtube.com/watch?v=3JK84n-jsMU</v>
      </c>
      <c r="V211" s="66" t="s">
        <v>403</v>
      </c>
      <c r="W211" s="97" t="s">
        <v>430</v>
      </c>
      <c r="X211" s="94" t="str">
        <f>HYPERLINK("https://pbs.twimg.com/media/FhcHy7oXEAMenzQ.png")</f>
        <v>https://pbs.twimg.com/media/FhcHy7oXEAMenzQ.png</v>
      </c>
      <c r="Y211" s="94" t="str">
        <f>HYPERLINK("https://pbs.twimg.com/media/FhcHy7oXEAMenzQ.png")</f>
        <v>https://pbs.twimg.com/media/FhcHy7oXEAMenzQ.png</v>
      </c>
      <c r="Z211" s="91">
        <v>44882.22119212963</v>
      </c>
      <c r="AA211" s="100">
        <v>44882</v>
      </c>
      <c r="AB211" s="97" t="s">
        <v>536</v>
      </c>
      <c r="AC211" s="94" t="str">
        <f>HYPERLINK("https://twitter.com/transvisionmad1/status/1593111316155490305")</f>
        <v>https://twitter.com/transvisionmad1/status/1593111316155490305</v>
      </c>
      <c r="AD211" s="66"/>
      <c r="AE211" s="66"/>
      <c r="AF211" s="97" t="s">
        <v>671</v>
      </c>
      <c r="AG211" s="66"/>
      <c r="AH211" s="66" t="b">
        <v>0</v>
      </c>
      <c r="AI211" s="66">
        <v>0</v>
      </c>
      <c r="AJ211" s="97" t="s">
        <v>712</v>
      </c>
      <c r="AK211" s="66" t="b">
        <v>0</v>
      </c>
      <c r="AL211" s="66" t="s">
        <v>714</v>
      </c>
      <c r="AM211" s="66"/>
      <c r="AN211" s="97" t="s">
        <v>712</v>
      </c>
      <c r="AO211" s="66" t="b">
        <v>0</v>
      </c>
      <c r="AP211" s="66">
        <v>5</v>
      </c>
      <c r="AQ211" s="97" t="s">
        <v>665</v>
      </c>
      <c r="AR211" s="97" t="s">
        <v>717</v>
      </c>
      <c r="AS211" s="66" t="b">
        <v>0</v>
      </c>
      <c r="AT211" s="97" t="s">
        <v>665</v>
      </c>
      <c r="AU211" s="66" t="s">
        <v>241</v>
      </c>
      <c r="AV211" s="66">
        <v>0</v>
      </c>
      <c r="AW211" s="66">
        <v>0</v>
      </c>
      <c r="AX211" s="66"/>
      <c r="AY211" s="66"/>
      <c r="AZ211" s="66"/>
      <c r="BA211" s="66"/>
      <c r="BB211" s="66"/>
      <c r="BC211" s="66"/>
      <c r="BD211" s="66"/>
      <c r="BE211" s="66"/>
      <c r="BF211" s="45">
        <v>0</v>
      </c>
      <c r="BG211" s="46">
        <v>0</v>
      </c>
      <c r="BH211" s="45">
        <v>0</v>
      </c>
      <c r="BI211" s="46">
        <v>0</v>
      </c>
      <c r="BJ211" s="45">
        <v>0</v>
      </c>
      <c r="BK211" s="46">
        <v>0</v>
      </c>
      <c r="BL211" s="45">
        <v>5</v>
      </c>
      <c r="BM211" s="46">
        <v>62.5</v>
      </c>
      <c r="BN211" s="45">
        <v>8</v>
      </c>
    </row>
    <row r="212" spans="1:66" ht="15">
      <c r="A212" s="62" t="s">
        <v>298</v>
      </c>
      <c r="B212" s="62" t="s">
        <v>305</v>
      </c>
      <c r="C212" s="64" t="s">
        <v>1509</v>
      </c>
      <c r="D212" s="67">
        <v>10</v>
      </c>
      <c r="E212" s="68" t="s">
        <v>136</v>
      </c>
      <c r="F212" s="69">
        <v>28.941176470588236</v>
      </c>
      <c r="G212" s="64"/>
      <c r="H212" s="70"/>
      <c r="I212" s="71"/>
      <c r="J212" s="71"/>
      <c r="K212" s="31" t="s">
        <v>65</v>
      </c>
      <c r="L212" s="79">
        <v>212</v>
      </c>
      <c r="M212" s="79"/>
      <c r="N212" s="73"/>
      <c r="O212" s="66">
        <v>5</v>
      </c>
      <c r="P212" s="63" t="str">
        <f>REPLACE(INDEX(GroupVertices[Group],MATCH(Edges[[#This Row],[Vertex 1]],GroupVertices[Vertex],0)),1,1,"")</f>
        <v>2</v>
      </c>
      <c r="Q212" s="63" t="str">
        <f>REPLACE(INDEX(GroupVertices[Group],MATCH(Edges[[#This Row],[Vertex 2]],GroupVertices[Vertex],0)),1,1,"")</f>
        <v>4</v>
      </c>
      <c r="R212" s="66" t="s">
        <v>315</v>
      </c>
      <c r="S212" s="91">
        <v>44882.22125</v>
      </c>
      <c r="T212" s="66" t="s">
        <v>329</v>
      </c>
      <c r="U212" s="66" t="s">
        <v>394</v>
      </c>
      <c r="V212" s="66" t="s">
        <v>408</v>
      </c>
      <c r="W212" s="97" t="s">
        <v>429</v>
      </c>
      <c r="X212" s="66"/>
      <c r="Y212" s="94" t="str">
        <f>HYPERLINK("https://pbs.twimg.com/profile_images/1416462775400927235/DSrY8TK-_normal.jpg")</f>
        <v>https://pbs.twimg.com/profile_images/1416462775400927235/DSrY8TK-_normal.jpg</v>
      </c>
      <c r="Z212" s="91">
        <v>44882.22125</v>
      </c>
      <c r="AA212" s="100">
        <v>44882</v>
      </c>
      <c r="AB212" s="97" t="s">
        <v>537</v>
      </c>
      <c r="AC212" s="94" t="str">
        <f>HYPERLINK("https://twitter.com/transvisionmad1/status/1593111341119983618")</f>
        <v>https://twitter.com/transvisionmad1/status/1593111341119983618</v>
      </c>
      <c r="AD212" s="66"/>
      <c r="AE212" s="66"/>
      <c r="AF212" s="97" t="s">
        <v>672</v>
      </c>
      <c r="AG212" s="66"/>
      <c r="AH212" s="66" t="b">
        <v>0</v>
      </c>
      <c r="AI212" s="66">
        <v>0</v>
      </c>
      <c r="AJ212" s="97" t="s">
        <v>712</v>
      </c>
      <c r="AK212" s="66" t="b">
        <v>0</v>
      </c>
      <c r="AL212" s="66" t="s">
        <v>714</v>
      </c>
      <c r="AM212" s="66"/>
      <c r="AN212" s="97" t="s">
        <v>712</v>
      </c>
      <c r="AO212" s="66" t="b">
        <v>0</v>
      </c>
      <c r="AP212" s="66">
        <v>5</v>
      </c>
      <c r="AQ212" s="97" t="s">
        <v>699</v>
      </c>
      <c r="AR212" s="97" t="s">
        <v>717</v>
      </c>
      <c r="AS212" s="66" t="b">
        <v>0</v>
      </c>
      <c r="AT212" s="97" t="s">
        <v>699</v>
      </c>
      <c r="AU212" s="66" t="s">
        <v>241</v>
      </c>
      <c r="AV212" s="66">
        <v>0</v>
      </c>
      <c r="AW212" s="66">
        <v>0</v>
      </c>
      <c r="AX212" s="66"/>
      <c r="AY212" s="66"/>
      <c r="AZ212" s="66"/>
      <c r="BA212" s="66"/>
      <c r="BB212" s="66"/>
      <c r="BC212" s="66"/>
      <c r="BD212" s="66"/>
      <c r="BE212" s="66"/>
      <c r="BF212" s="45">
        <v>0</v>
      </c>
      <c r="BG212" s="46">
        <v>0</v>
      </c>
      <c r="BH212" s="45">
        <v>0</v>
      </c>
      <c r="BI212" s="46">
        <v>0</v>
      </c>
      <c r="BJ212" s="45">
        <v>0</v>
      </c>
      <c r="BK212" s="46">
        <v>0</v>
      </c>
      <c r="BL212" s="45">
        <v>16</v>
      </c>
      <c r="BM212" s="46">
        <v>51.61290322580645</v>
      </c>
      <c r="BN212" s="45">
        <v>31</v>
      </c>
    </row>
    <row r="213" spans="1:66" ht="15">
      <c r="A213" s="62" t="s">
        <v>298</v>
      </c>
      <c r="B213" s="62" t="s">
        <v>298</v>
      </c>
      <c r="C213" s="64" t="s">
        <v>1508</v>
      </c>
      <c r="D213" s="67">
        <v>10</v>
      </c>
      <c r="E213" s="68" t="s">
        <v>136</v>
      </c>
      <c r="F213" s="69">
        <v>15.941176470588236</v>
      </c>
      <c r="G213" s="64"/>
      <c r="H213" s="70"/>
      <c r="I213" s="71"/>
      <c r="J213" s="71"/>
      <c r="K213" s="31" t="s">
        <v>65</v>
      </c>
      <c r="L213" s="79">
        <v>213</v>
      </c>
      <c r="M213" s="79"/>
      <c r="N213" s="73"/>
      <c r="O213" s="66">
        <v>22</v>
      </c>
      <c r="P213" s="63" t="str">
        <f>REPLACE(INDEX(GroupVertices[Group],MATCH(Edges[[#This Row],[Vertex 1]],GroupVertices[Vertex],0)),1,1,"")</f>
        <v>2</v>
      </c>
      <c r="Q213" s="63" t="str">
        <f>REPLACE(INDEX(GroupVertices[Group],MATCH(Edges[[#This Row],[Vertex 2]],GroupVertices[Vertex],0)),1,1,"")</f>
        <v>2</v>
      </c>
      <c r="R213" s="66" t="s">
        <v>241</v>
      </c>
      <c r="S213" s="91">
        <v>44883.50445601852</v>
      </c>
      <c r="T213" s="66" t="s">
        <v>364</v>
      </c>
      <c r="U213" s="94" t="str">
        <f>HYPERLINK("https://www.eldebate.com/salud-y-bienestar/salud/20221114/ramon-risco-criopreservacion-viable-humanos_72431.html#utm_source=rrss-comp&amp;utm_medium=wh&amp;utm_campaign=fixed-btn")</f>
        <v>https://www.eldebate.com/salud-y-bienestar/salud/20221114/ramon-risco-criopreservacion-viable-humanos_72431.html#utm_source=rrss-comp&amp;utm_medium=wh&amp;utm_campaign=fixed-btn</v>
      </c>
      <c r="V213" s="66" t="s">
        <v>415</v>
      </c>
      <c r="W213" s="97" t="s">
        <v>436</v>
      </c>
      <c r="X213" s="66"/>
      <c r="Y213" s="94" t="str">
        <f>HYPERLINK("https://pbs.twimg.com/profile_images/1416462775400927235/DSrY8TK-_normal.jpg")</f>
        <v>https://pbs.twimg.com/profile_images/1416462775400927235/DSrY8TK-_normal.jpg</v>
      </c>
      <c r="Z213" s="91">
        <v>44883.50445601852</v>
      </c>
      <c r="AA213" s="100">
        <v>44883</v>
      </c>
      <c r="AB213" s="97" t="s">
        <v>538</v>
      </c>
      <c r="AC213" s="94" t="str">
        <f>HYPERLINK("https://twitter.com/transvisionmad1/status/1593576358004899840")</f>
        <v>https://twitter.com/transvisionmad1/status/1593576358004899840</v>
      </c>
      <c r="AD213" s="66"/>
      <c r="AE213" s="66"/>
      <c r="AF213" s="97" t="s">
        <v>673</v>
      </c>
      <c r="AG213" s="66"/>
      <c r="AH213" s="66" t="b">
        <v>0</v>
      </c>
      <c r="AI213" s="66">
        <v>2</v>
      </c>
      <c r="AJ213" s="97" t="s">
        <v>712</v>
      </c>
      <c r="AK213" s="66" t="b">
        <v>0</v>
      </c>
      <c r="AL213" s="66" t="s">
        <v>715</v>
      </c>
      <c r="AM213" s="66"/>
      <c r="AN213" s="97" t="s">
        <v>712</v>
      </c>
      <c r="AO213" s="66" t="b">
        <v>0</v>
      </c>
      <c r="AP213" s="66">
        <v>0</v>
      </c>
      <c r="AQ213" s="97" t="s">
        <v>712</v>
      </c>
      <c r="AR213" s="97" t="s">
        <v>724</v>
      </c>
      <c r="AS213" s="66" t="b">
        <v>0</v>
      </c>
      <c r="AT213" s="97" t="s">
        <v>673</v>
      </c>
      <c r="AU213" s="66" t="s">
        <v>241</v>
      </c>
      <c r="AV213" s="66">
        <v>0</v>
      </c>
      <c r="AW213" s="66">
        <v>0</v>
      </c>
      <c r="AX213" s="66"/>
      <c r="AY213" s="66"/>
      <c r="AZ213" s="66"/>
      <c r="BA213" s="66"/>
      <c r="BB213" s="66"/>
      <c r="BC213" s="66"/>
      <c r="BD213" s="66"/>
      <c r="BE213" s="66"/>
      <c r="BF213" s="45">
        <v>0</v>
      </c>
      <c r="BG213" s="46">
        <v>0</v>
      </c>
      <c r="BH213" s="45">
        <v>0</v>
      </c>
      <c r="BI213" s="46">
        <v>0</v>
      </c>
      <c r="BJ213" s="45">
        <v>0</v>
      </c>
      <c r="BK213" s="46">
        <v>0</v>
      </c>
      <c r="BL213" s="45">
        <v>13</v>
      </c>
      <c r="BM213" s="46">
        <v>68.42105263157895</v>
      </c>
      <c r="BN213" s="45">
        <v>19</v>
      </c>
    </row>
    <row r="214" spans="1:66" ht="15">
      <c r="A214" s="62" t="s">
        <v>300</v>
      </c>
      <c r="B214" s="62" t="s">
        <v>305</v>
      </c>
      <c r="C214" s="64" t="s">
        <v>1504</v>
      </c>
      <c r="D214" s="67">
        <v>3</v>
      </c>
      <c r="E214" s="68" t="s">
        <v>132</v>
      </c>
      <c r="F214" s="69">
        <v>32</v>
      </c>
      <c r="G214" s="64"/>
      <c r="H214" s="70"/>
      <c r="I214" s="71"/>
      <c r="J214" s="71"/>
      <c r="K214" s="31" t="s">
        <v>66</v>
      </c>
      <c r="L214" s="79">
        <v>214</v>
      </c>
      <c r="M214" s="79"/>
      <c r="N214" s="73"/>
      <c r="O214" s="66">
        <v>1</v>
      </c>
      <c r="P214" s="63" t="str">
        <f>REPLACE(INDEX(GroupVertices[Group],MATCH(Edges[[#This Row],[Vertex 1]],GroupVertices[Vertex],0)),1,1,"")</f>
        <v>3</v>
      </c>
      <c r="Q214" s="63" t="str">
        <f>REPLACE(INDEX(GroupVertices[Group],MATCH(Edges[[#This Row],[Vertex 2]],GroupVertices[Vertex],0)),1,1,"")</f>
        <v>4</v>
      </c>
      <c r="R214" s="66" t="s">
        <v>316</v>
      </c>
      <c r="S214" s="91">
        <v>44877.94027777778</v>
      </c>
      <c r="T214" s="66" t="s">
        <v>320</v>
      </c>
      <c r="U214" s="94" t="str">
        <f>HYPERLINK("https://www.youtube.com/watch?v=xb0JCOgMsXc&amp;feature=youtu.be")</f>
        <v>https://www.youtube.com/watch?v=xb0JCOgMsXc&amp;feature=youtu.be</v>
      </c>
      <c r="V214" s="66" t="s">
        <v>403</v>
      </c>
      <c r="W214" s="97" t="s">
        <v>423</v>
      </c>
      <c r="X214" s="94" t="str">
        <f>HYPERLINK("https://pbs.twimg.com/media/FhWu7YzX0AEJMfI.png")</f>
        <v>https://pbs.twimg.com/media/FhWu7YzX0AEJMfI.png</v>
      </c>
      <c r="Y214" s="94" t="str">
        <f>HYPERLINK("https://pbs.twimg.com/media/FhWu7YzX0AEJMfI.png")</f>
        <v>https://pbs.twimg.com/media/FhWu7YzX0AEJMfI.png</v>
      </c>
      <c r="Z214" s="91">
        <v>44877.94027777778</v>
      </c>
      <c r="AA214" s="100">
        <v>44877</v>
      </c>
      <c r="AB214" s="97" t="s">
        <v>471</v>
      </c>
      <c r="AC214" s="94" t="str">
        <f>HYPERLINK("https://twitter.com/javiercremades/status/1591559965898330113")</f>
        <v>https://twitter.com/javiercremades/status/1591559965898330113</v>
      </c>
      <c r="AD214" s="66"/>
      <c r="AE214" s="66"/>
      <c r="AF214" s="97" t="s">
        <v>604</v>
      </c>
      <c r="AG214" s="66"/>
      <c r="AH214" s="66" t="b">
        <v>0</v>
      </c>
      <c r="AI214" s="66">
        <v>0</v>
      </c>
      <c r="AJ214" s="97" t="s">
        <v>712</v>
      </c>
      <c r="AK214" s="66" t="b">
        <v>0</v>
      </c>
      <c r="AL214" s="66" t="s">
        <v>715</v>
      </c>
      <c r="AM214" s="66"/>
      <c r="AN214" s="97" t="s">
        <v>712</v>
      </c>
      <c r="AO214" s="66" t="b">
        <v>0</v>
      </c>
      <c r="AP214" s="66">
        <v>5</v>
      </c>
      <c r="AQ214" s="97" t="s">
        <v>613</v>
      </c>
      <c r="AR214" s="97" t="s">
        <v>718</v>
      </c>
      <c r="AS214" s="66" t="b">
        <v>0</v>
      </c>
      <c r="AT214" s="97" t="s">
        <v>613</v>
      </c>
      <c r="AU214" s="66" t="s">
        <v>241</v>
      </c>
      <c r="AV214" s="66">
        <v>0</v>
      </c>
      <c r="AW214" s="66">
        <v>0</v>
      </c>
      <c r="AX214" s="66"/>
      <c r="AY214" s="66"/>
      <c r="AZ214" s="66"/>
      <c r="BA214" s="66"/>
      <c r="BB214" s="66"/>
      <c r="BC214" s="66"/>
      <c r="BD214" s="66"/>
      <c r="BE214" s="66"/>
      <c r="BF214" s="45"/>
      <c r="BG214" s="46"/>
      <c r="BH214" s="45"/>
      <c r="BI214" s="46"/>
      <c r="BJ214" s="45"/>
      <c r="BK214" s="46"/>
      <c r="BL214" s="45"/>
      <c r="BM214" s="46"/>
      <c r="BN214" s="45"/>
    </row>
    <row r="215" spans="1:66" ht="15">
      <c r="A215" s="62" t="s">
        <v>300</v>
      </c>
      <c r="B215" s="62" t="s">
        <v>308</v>
      </c>
      <c r="C215" s="64" t="s">
        <v>1504</v>
      </c>
      <c r="D215" s="67">
        <v>3</v>
      </c>
      <c r="E215" s="68" t="s">
        <v>132</v>
      </c>
      <c r="F215" s="69">
        <v>32</v>
      </c>
      <c r="G215" s="64"/>
      <c r="H215" s="70"/>
      <c r="I215" s="71"/>
      <c r="J215" s="71"/>
      <c r="K215" s="31" t="s">
        <v>65</v>
      </c>
      <c r="L215" s="79">
        <v>215</v>
      </c>
      <c r="M215" s="79"/>
      <c r="N215" s="73"/>
      <c r="O215" s="66">
        <v>1</v>
      </c>
      <c r="P215" s="63" t="str">
        <f>REPLACE(INDEX(GroupVertices[Group],MATCH(Edges[[#This Row],[Vertex 1]],GroupVertices[Vertex],0)),1,1,"")</f>
        <v>3</v>
      </c>
      <c r="Q215" s="63" t="str">
        <f>REPLACE(INDEX(GroupVertices[Group],MATCH(Edges[[#This Row],[Vertex 2]],GroupVertices[Vertex],0)),1,1,"")</f>
        <v>3</v>
      </c>
      <c r="R215" s="66" t="s">
        <v>316</v>
      </c>
      <c r="S215" s="91">
        <v>44877.94027777778</v>
      </c>
      <c r="T215" s="66" t="s">
        <v>320</v>
      </c>
      <c r="U215" s="94" t="str">
        <f>HYPERLINK("https://www.youtube.com/watch?v=xb0JCOgMsXc&amp;feature=youtu.be")</f>
        <v>https://www.youtube.com/watch?v=xb0JCOgMsXc&amp;feature=youtu.be</v>
      </c>
      <c r="V215" s="66" t="s">
        <v>403</v>
      </c>
      <c r="W215" s="97" t="s">
        <v>423</v>
      </c>
      <c r="X215" s="94" t="str">
        <f>HYPERLINK("https://pbs.twimg.com/media/FhWu7YzX0AEJMfI.png")</f>
        <v>https://pbs.twimg.com/media/FhWu7YzX0AEJMfI.png</v>
      </c>
      <c r="Y215" s="94" t="str">
        <f>HYPERLINK("https://pbs.twimg.com/media/FhWu7YzX0AEJMfI.png")</f>
        <v>https://pbs.twimg.com/media/FhWu7YzX0AEJMfI.png</v>
      </c>
      <c r="Z215" s="91">
        <v>44877.94027777778</v>
      </c>
      <c r="AA215" s="100">
        <v>44877</v>
      </c>
      <c r="AB215" s="97" t="s">
        <v>471</v>
      </c>
      <c r="AC215" s="94" t="str">
        <f>HYPERLINK("https://twitter.com/javiercremades/status/1591559965898330113")</f>
        <v>https://twitter.com/javiercremades/status/1591559965898330113</v>
      </c>
      <c r="AD215" s="66"/>
      <c r="AE215" s="66"/>
      <c r="AF215" s="97" t="s">
        <v>604</v>
      </c>
      <c r="AG215" s="66"/>
      <c r="AH215" s="66" t="b">
        <v>0</v>
      </c>
      <c r="AI215" s="66">
        <v>0</v>
      </c>
      <c r="AJ215" s="97" t="s">
        <v>712</v>
      </c>
      <c r="AK215" s="66" t="b">
        <v>0</v>
      </c>
      <c r="AL215" s="66" t="s">
        <v>715</v>
      </c>
      <c r="AM215" s="66"/>
      <c r="AN215" s="97" t="s">
        <v>712</v>
      </c>
      <c r="AO215" s="66" t="b">
        <v>0</v>
      </c>
      <c r="AP215" s="66">
        <v>5</v>
      </c>
      <c r="AQ215" s="97" t="s">
        <v>613</v>
      </c>
      <c r="AR215" s="97" t="s">
        <v>718</v>
      </c>
      <c r="AS215" s="66" t="b">
        <v>0</v>
      </c>
      <c r="AT215" s="97" t="s">
        <v>613</v>
      </c>
      <c r="AU215" s="66" t="s">
        <v>241</v>
      </c>
      <c r="AV215" s="66">
        <v>0</v>
      </c>
      <c r="AW215" s="66">
        <v>0</v>
      </c>
      <c r="AX215" s="66"/>
      <c r="AY215" s="66"/>
      <c r="AZ215" s="66"/>
      <c r="BA215" s="66"/>
      <c r="BB215" s="66"/>
      <c r="BC215" s="66"/>
      <c r="BD215" s="66"/>
      <c r="BE215" s="66"/>
      <c r="BF215" s="45"/>
      <c r="BG215" s="46"/>
      <c r="BH215" s="45"/>
      <c r="BI215" s="46"/>
      <c r="BJ215" s="45"/>
      <c r="BK215" s="46"/>
      <c r="BL215" s="45"/>
      <c r="BM215" s="46"/>
      <c r="BN215" s="45"/>
    </row>
    <row r="216" spans="1:66" ht="15">
      <c r="A216" s="62" t="s">
        <v>305</v>
      </c>
      <c r="B216" s="62" t="s">
        <v>300</v>
      </c>
      <c r="C216" s="64" t="s">
        <v>1504</v>
      </c>
      <c r="D216" s="67">
        <v>3</v>
      </c>
      <c r="E216" s="68" t="s">
        <v>132</v>
      </c>
      <c r="F216" s="69">
        <v>32</v>
      </c>
      <c r="G216" s="64"/>
      <c r="H216" s="70"/>
      <c r="I216" s="71"/>
      <c r="J216" s="71"/>
      <c r="K216" s="31" t="s">
        <v>66</v>
      </c>
      <c r="L216" s="79">
        <v>216</v>
      </c>
      <c r="M216" s="79"/>
      <c r="N216" s="73"/>
      <c r="O216" s="66">
        <v>1</v>
      </c>
      <c r="P216" s="63" t="str">
        <f>REPLACE(INDEX(GroupVertices[Group],MATCH(Edges[[#This Row],[Vertex 1]],GroupVertices[Vertex],0)),1,1,"")</f>
        <v>4</v>
      </c>
      <c r="Q216" s="63" t="str">
        <f>REPLACE(INDEX(GroupVertices[Group],MATCH(Edges[[#This Row],[Vertex 2]],GroupVertices[Vertex],0)),1,1,"")</f>
        <v>3</v>
      </c>
      <c r="R216" s="66" t="s">
        <v>317</v>
      </c>
      <c r="S216" s="91">
        <v>44877.416817129626</v>
      </c>
      <c r="T216" s="66" t="s">
        <v>342</v>
      </c>
      <c r="U216" s="66" t="s">
        <v>395</v>
      </c>
      <c r="V216" s="66" t="s">
        <v>412</v>
      </c>
      <c r="W216" s="97" t="s">
        <v>423</v>
      </c>
      <c r="X216" s="66"/>
      <c r="Y216" s="94" t="str">
        <f>HYPERLINK("https://pbs.twimg.com/profile_images/1078408329045725184/ix0-gmNx_normal.jpg")</f>
        <v>https://pbs.twimg.com/profile_images/1078408329045725184/ix0-gmNx_normal.jpg</v>
      </c>
      <c r="Z216" s="91">
        <v>44877.416817129626</v>
      </c>
      <c r="AA216" s="100">
        <v>44877</v>
      </c>
      <c r="AB216" s="97" t="s">
        <v>539</v>
      </c>
      <c r="AC216" s="94" t="str">
        <f>HYPERLINK("https://twitter.com/cordeiro/status/1591370271352623105")</f>
        <v>https://twitter.com/cordeiro/status/1591370271352623105</v>
      </c>
      <c r="AD216" s="66"/>
      <c r="AE216" s="66"/>
      <c r="AF216" s="97" t="s">
        <v>674</v>
      </c>
      <c r="AG216" s="66"/>
      <c r="AH216" s="66" t="b">
        <v>0</v>
      </c>
      <c r="AI216" s="66">
        <v>3</v>
      </c>
      <c r="AJ216" s="97" t="s">
        <v>712</v>
      </c>
      <c r="AK216" s="66" t="b">
        <v>0</v>
      </c>
      <c r="AL216" s="66" t="s">
        <v>715</v>
      </c>
      <c r="AM216" s="66"/>
      <c r="AN216" s="97" t="s">
        <v>712</v>
      </c>
      <c r="AO216" s="66" t="b">
        <v>0</v>
      </c>
      <c r="AP216" s="66">
        <v>2</v>
      </c>
      <c r="AQ216" s="97" t="s">
        <v>712</v>
      </c>
      <c r="AR216" s="97" t="s">
        <v>723</v>
      </c>
      <c r="AS216" s="66" t="b">
        <v>0</v>
      </c>
      <c r="AT216" s="97" t="s">
        <v>674</v>
      </c>
      <c r="AU216" s="66" t="s">
        <v>241</v>
      </c>
      <c r="AV216" s="66">
        <v>0</v>
      </c>
      <c r="AW216" s="66">
        <v>0</v>
      </c>
      <c r="AX216" s="66"/>
      <c r="AY216" s="66"/>
      <c r="AZ216" s="66"/>
      <c r="BA216" s="66"/>
      <c r="BB216" s="66"/>
      <c r="BC216" s="66"/>
      <c r="BD216" s="66"/>
      <c r="BE216" s="66"/>
      <c r="BF216" s="45"/>
      <c r="BG216" s="46"/>
      <c r="BH216" s="45"/>
      <c r="BI216" s="46"/>
      <c r="BJ216" s="45"/>
      <c r="BK216" s="46"/>
      <c r="BL216" s="45"/>
      <c r="BM216" s="46"/>
      <c r="BN216" s="45"/>
    </row>
    <row r="217" spans="1:66" ht="15">
      <c r="A217" s="62" t="s">
        <v>305</v>
      </c>
      <c r="B217" s="62" t="s">
        <v>308</v>
      </c>
      <c r="C217" s="64" t="s">
        <v>1504</v>
      </c>
      <c r="D217" s="67">
        <v>3</v>
      </c>
      <c r="E217" s="68" t="s">
        <v>132</v>
      </c>
      <c r="F217" s="69">
        <v>32</v>
      </c>
      <c r="G217" s="64"/>
      <c r="H217" s="70"/>
      <c r="I217" s="71"/>
      <c r="J217" s="71"/>
      <c r="K217" s="31" t="s">
        <v>65</v>
      </c>
      <c r="L217" s="79">
        <v>217</v>
      </c>
      <c r="M217" s="79"/>
      <c r="N217" s="73"/>
      <c r="O217" s="66">
        <v>1</v>
      </c>
      <c r="P217" s="63" t="str">
        <f>REPLACE(INDEX(GroupVertices[Group],MATCH(Edges[[#This Row],[Vertex 1]],GroupVertices[Vertex],0)),1,1,"")</f>
        <v>4</v>
      </c>
      <c r="Q217" s="63" t="str">
        <f>REPLACE(INDEX(GroupVertices[Group],MATCH(Edges[[#This Row],[Vertex 2]],GroupVertices[Vertex],0)),1,1,"")</f>
        <v>3</v>
      </c>
      <c r="R217" s="66" t="s">
        <v>317</v>
      </c>
      <c r="S217" s="91">
        <v>44877.416817129626</v>
      </c>
      <c r="T217" s="66" t="s">
        <v>342</v>
      </c>
      <c r="U217" s="66" t="s">
        <v>395</v>
      </c>
      <c r="V217" s="66" t="s">
        <v>412</v>
      </c>
      <c r="W217" s="97" t="s">
        <v>423</v>
      </c>
      <c r="X217" s="66"/>
      <c r="Y217" s="94" t="str">
        <f>HYPERLINK("https://pbs.twimg.com/profile_images/1078408329045725184/ix0-gmNx_normal.jpg")</f>
        <v>https://pbs.twimg.com/profile_images/1078408329045725184/ix0-gmNx_normal.jpg</v>
      </c>
      <c r="Z217" s="91">
        <v>44877.416817129626</v>
      </c>
      <c r="AA217" s="100">
        <v>44877</v>
      </c>
      <c r="AB217" s="97" t="s">
        <v>539</v>
      </c>
      <c r="AC217" s="94" t="str">
        <f>HYPERLINK("https://twitter.com/cordeiro/status/1591370271352623105")</f>
        <v>https://twitter.com/cordeiro/status/1591370271352623105</v>
      </c>
      <c r="AD217" s="66"/>
      <c r="AE217" s="66"/>
      <c r="AF217" s="97" t="s">
        <v>674</v>
      </c>
      <c r="AG217" s="66"/>
      <c r="AH217" s="66" t="b">
        <v>0</v>
      </c>
      <c r="AI217" s="66">
        <v>3</v>
      </c>
      <c r="AJ217" s="97" t="s">
        <v>712</v>
      </c>
      <c r="AK217" s="66" t="b">
        <v>0</v>
      </c>
      <c r="AL217" s="66" t="s">
        <v>715</v>
      </c>
      <c r="AM217" s="66"/>
      <c r="AN217" s="97" t="s">
        <v>712</v>
      </c>
      <c r="AO217" s="66" t="b">
        <v>0</v>
      </c>
      <c r="AP217" s="66">
        <v>2</v>
      </c>
      <c r="AQ217" s="97" t="s">
        <v>712</v>
      </c>
      <c r="AR217" s="97" t="s">
        <v>723</v>
      </c>
      <c r="AS217" s="66" t="b">
        <v>0</v>
      </c>
      <c r="AT217" s="97" t="s">
        <v>674</v>
      </c>
      <c r="AU217" s="66" t="s">
        <v>241</v>
      </c>
      <c r="AV217" s="66">
        <v>0</v>
      </c>
      <c r="AW217" s="66">
        <v>0</v>
      </c>
      <c r="AX217" s="66"/>
      <c r="AY217" s="66"/>
      <c r="AZ217" s="66"/>
      <c r="BA217" s="66"/>
      <c r="BB217" s="66"/>
      <c r="BC217" s="66"/>
      <c r="BD217" s="66"/>
      <c r="BE217" s="66"/>
      <c r="BF217" s="45">
        <v>0</v>
      </c>
      <c r="BG217" s="46">
        <v>0</v>
      </c>
      <c r="BH217" s="45">
        <v>0</v>
      </c>
      <c r="BI217" s="46">
        <v>0</v>
      </c>
      <c r="BJ217" s="45">
        <v>0</v>
      </c>
      <c r="BK217" s="46">
        <v>0</v>
      </c>
      <c r="BL217" s="45">
        <v>18</v>
      </c>
      <c r="BM217" s="46">
        <v>85.71428571428571</v>
      </c>
      <c r="BN217" s="45">
        <v>21</v>
      </c>
    </row>
    <row r="218" spans="1:66" ht="15">
      <c r="A218" s="62" t="s">
        <v>305</v>
      </c>
      <c r="B218" s="62" t="s">
        <v>310</v>
      </c>
      <c r="C218" s="64" t="s">
        <v>1504</v>
      </c>
      <c r="D218" s="67">
        <v>3</v>
      </c>
      <c r="E218" s="68" t="s">
        <v>132</v>
      </c>
      <c r="F218" s="69">
        <v>32</v>
      </c>
      <c r="G218" s="64"/>
      <c r="H218" s="70"/>
      <c r="I218" s="71"/>
      <c r="J218" s="71"/>
      <c r="K218" s="31" t="s">
        <v>65</v>
      </c>
      <c r="L218" s="79">
        <v>218</v>
      </c>
      <c r="M218" s="79"/>
      <c r="N218" s="73"/>
      <c r="O218" s="66">
        <v>1</v>
      </c>
      <c r="P218" s="63" t="str">
        <f>REPLACE(INDEX(GroupVertices[Group],MATCH(Edges[[#This Row],[Vertex 1]],GroupVertices[Vertex],0)),1,1,"")</f>
        <v>4</v>
      </c>
      <c r="Q218" s="63" t="str">
        <f>REPLACE(INDEX(GroupVertices[Group],MATCH(Edges[[#This Row],[Vertex 2]],GroupVertices[Vertex],0)),1,1,"")</f>
        <v>2</v>
      </c>
      <c r="R218" s="66" t="s">
        <v>317</v>
      </c>
      <c r="S218" s="91">
        <v>44878.41709490741</v>
      </c>
      <c r="T218" s="66" t="s">
        <v>365</v>
      </c>
      <c r="U218" s="66" t="s">
        <v>397</v>
      </c>
      <c r="V218" s="66" t="s">
        <v>408</v>
      </c>
      <c r="W218" s="97" t="s">
        <v>430</v>
      </c>
      <c r="X218" s="66"/>
      <c r="Y218" s="94" t="str">
        <f>HYPERLINK("https://pbs.twimg.com/profile_images/1078408329045725184/ix0-gmNx_normal.jpg")</f>
        <v>https://pbs.twimg.com/profile_images/1078408329045725184/ix0-gmNx_normal.jpg</v>
      </c>
      <c r="Z218" s="91">
        <v>44878.41709490741</v>
      </c>
      <c r="AA218" s="100">
        <v>44878</v>
      </c>
      <c r="AB218" s="97" t="s">
        <v>540</v>
      </c>
      <c r="AC218" s="94" t="str">
        <f>HYPERLINK("https://twitter.com/cordeiro/status/1591732759793631233")</f>
        <v>https://twitter.com/cordeiro/status/1591732759793631233</v>
      </c>
      <c r="AD218" s="66"/>
      <c r="AE218" s="66"/>
      <c r="AF218" s="97" t="s">
        <v>675</v>
      </c>
      <c r="AG218" s="66"/>
      <c r="AH218" s="66" t="b">
        <v>0</v>
      </c>
      <c r="AI218" s="66">
        <v>0</v>
      </c>
      <c r="AJ218" s="97" t="s">
        <v>712</v>
      </c>
      <c r="AK218" s="66" t="b">
        <v>0</v>
      </c>
      <c r="AL218" s="66" t="s">
        <v>715</v>
      </c>
      <c r="AM218" s="66"/>
      <c r="AN218" s="97" t="s">
        <v>712</v>
      </c>
      <c r="AO218" s="66" t="b">
        <v>0</v>
      </c>
      <c r="AP218" s="66">
        <v>0</v>
      </c>
      <c r="AQ218" s="97" t="s">
        <v>712</v>
      </c>
      <c r="AR218" s="97" t="s">
        <v>723</v>
      </c>
      <c r="AS218" s="66" t="b">
        <v>0</v>
      </c>
      <c r="AT218" s="97" t="s">
        <v>675</v>
      </c>
      <c r="AU218" s="66" t="s">
        <v>241</v>
      </c>
      <c r="AV218" s="66">
        <v>0</v>
      </c>
      <c r="AW218" s="66">
        <v>0</v>
      </c>
      <c r="AX218" s="66"/>
      <c r="AY218" s="66"/>
      <c r="AZ218" s="66"/>
      <c r="BA218" s="66"/>
      <c r="BB218" s="66"/>
      <c r="BC218" s="66"/>
      <c r="BD218" s="66"/>
      <c r="BE218" s="66"/>
      <c r="BF218" s="45">
        <v>0</v>
      </c>
      <c r="BG218" s="46">
        <v>0</v>
      </c>
      <c r="BH218" s="45">
        <v>0</v>
      </c>
      <c r="BI218" s="46">
        <v>0</v>
      </c>
      <c r="BJ218" s="45">
        <v>0</v>
      </c>
      <c r="BK218" s="46">
        <v>0</v>
      </c>
      <c r="BL218" s="45">
        <v>9</v>
      </c>
      <c r="BM218" s="46">
        <v>75</v>
      </c>
      <c r="BN218" s="45">
        <v>12</v>
      </c>
    </row>
    <row r="219" spans="1:66" ht="15">
      <c r="A219" s="62" t="s">
        <v>305</v>
      </c>
      <c r="B219" s="62" t="s">
        <v>305</v>
      </c>
      <c r="C219" s="64" t="s">
        <v>1510</v>
      </c>
      <c r="D219" s="67">
        <v>10</v>
      </c>
      <c r="E219" s="68" t="s">
        <v>136</v>
      </c>
      <c r="F219" s="69">
        <v>6</v>
      </c>
      <c r="G219" s="64"/>
      <c r="H219" s="70"/>
      <c r="I219" s="71"/>
      <c r="J219" s="71"/>
      <c r="K219" s="31" t="s">
        <v>65</v>
      </c>
      <c r="L219" s="79">
        <v>219</v>
      </c>
      <c r="M219" s="79"/>
      <c r="N219" s="73"/>
      <c r="O219" s="66">
        <v>35</v>
      </c>
      <c r="P219" s="63" t="str">
        <f>REPLACE(INDEX(GroupVertices[Group],MATCH(Edges[[#This Row],[Vertex 1]],GroupVertices[Vertex],0)),1,1,"")</f>
        <v>4</v>
      </c>
      <c r="Q219" s="63" t="str">
        <f>REPLACE(INDEX(GroupVertices[Group],MATCH(Edges[[#This Row],[Vertex 2]],GroupVertices[Vertex],0)),1,1,"")</f>
        <v>4</v>
      </c>
      <c r="R219" s="66" t="s">
        <v>241</v>
      </c>
      <c r="S219" s="91">
        <v>44875.441203703704</v>
      </c>
      <c r="T219" s="66" t="s">
        <v>366</v>
      </c>
      <c r="U219" s="94" t="str">
        <f>HYPERLINK("http://transvisionmadrid.com")</f>
        <v>http://transvisionmadrid.com</v>
      </c>
      <c r="V219" s="66" t="s">
        <v>407</v>
      </c>
      <c r="W219" s="97" t="s">
        <v>428</v>
      </c>
      <c r="X219" s="94" t="str">
        <f>HYPERLINK("https://pbs.twimg.com/media/FhMjrwcX0AEPiab.jpg")</f>
        <v>https://pbs.twimg.com/media/FhMjrwcX0AEPiab.jpg</v>
      </c>
      <c r="Y219" s="94" t="str">
        <f>HYPERLINK("https://pbs.twimg.com/media/FhMjrwcX0AEPiab.jpg")</f>
        <v>https://pbs.twimg.com/media/FhMjrwcX0AEPiab.jpg</v>
      </c>
      <c r="Z219" s="91">
        <v>44875.441203703704</v>
      </c>
      <c r="AA219" s="100">
        <v>44875</v>
      </c>
      <c r="AB219" s="97" t="s">
        <v>541</v>
      </c>
      <c r="AC219" s="94" t="str">
        <f>HYPERLINK("https://twitter.com/cordeiro/status/1590654332374065153")</f>
        <v>https://twitter.com/cordeiro/status/1590654332374065153</v>
      </c>
      <c r="AD219" s="66"/>
      <c r="AE219" s="66"/>
      <c r="AF219" s="97" t="s">
        <v>676</v>
      </c>
      <c r="AG219" s="66"/>
      <c r="AH219" s="66" t="b">
        <v>0</v>
      </c>
      <c r="AI219" s="66">
        <v>1</v>
      </c>
      <c r="AJ219" s="97" t="s">
        <v>712</v>
      </c>
      <c r="AK219" s="66" t="b">
        <v>0</v>
      </c>
      <c r="AL219" s="66" t="s">
        <v>714</v>
      </c>
      <c r="AM219" s="66"/>
      <c r="AN219" s="97" t="s">
        <v>712</v>
      </c>
      <c r="AO219" s="66" t="b">
        <v>0</v>
      </c>
      <c r="AP219" s="66">
        <v>0</v>
      </c>
      <c r="AQ219" s="97" t="s">
        <v>712</v>
      </c>
      <c r="AR219" s="97" t="s">
        <v>724</v>
      </c>
      <c r="AS219" s="66" t="b">
        <v>0</v>
      </c>
      <c r="AT219" s="97" t="s">
        <v>676</v>
      </c>
      <c r="AU219" s="66" t="s">
        <v>241</v>
      </c>
      <c r="AV219" s="66">
        <v>0</v>
      </c>
      <c r="AW219" s="66">
        <v>0</v>
      </c>
      <c r="AX219" s="66"/>
      <c r="AY219" s="66"/>
      <c r="AZ219" s="66"/>
      <c r="BA219" s="66"/>
      <c r="BB219" s="66"/>
      <c r="BC219" s="66"/>
      <c r="BD219" s="66"/>
      <c r="BE219" s="66"/>
      <c r="BF219" s="45">
        <v>0</v>
      </c>
      <c r="BG219" s="46">
        <v>0</v>
      </c>
      <c r="BH219" s="45">
        <v>0</v>
      </c>
      <c r="BI219" s="46">
        <v>0</v>
      </c>
      <c r="BJ219" s="45">
        <v>0</v>
      </c>
      <c r="BK219" s="46">
        <v>0</v>
      </c>
      <c r="BL219" s="45">
        <v>16</v>
      </c>
      <c r="BM219" s="46">
        <v>84.21052631578948</v>
      </c>
      <c r="BN219" s="45">
        <v>19</v>
      </c>
    </row>
    <row r="220" spans="1:66" ht="15">
      <c r="A220" s="62" t="s">
        <v>305</v>
      </c>
      <c r="B220" s="62" t="s">
        <v>305</v>
      </c>
      <c r="C220" s="64" t="s">
        <v>1510</v>
      </c>
      <c r="D220" s="67">
        <v>10</v>
      </c>
      <c r="E220" s="68" t="s">
        <v>136</v>
      </c>
      <c r="F220" s="69">
        <v>6</v>
      </c>
      <c r="G220" s="64"/>
      <c r="H220" s="70"/>
      <c r="I220" s="71"/>
      <c r="J220" s="71"/>
      <c r="K220" s="31" t="s">
        <v>65</v>
      </c>
      <c r="L220" s="79">
        <v>220</v>
      </c>
      <c r="M220" s="79"/>
      <c r="N220" s="73"/>
      <c r="O220" s="66">
        <v>35</v>
      </c>
      <c r="P220" s="63" t="str">
        <f>REPLACE(INDEX(GroupVertices[Group],MATCH(Edges[[#This Row],[Vertex 1]],GroupVertices[Vertex],0)),1,1,"")</f>
        <v>4</v>
      </c>
      <c r="Q220" s="63" t="str">
        <f>REPLACE(INDEX(GroupVertices[Group],MATCH(Edges[[#This Row],[Vertex 2]],GroupVertices[Vertex],0)),1,1,"")</f>
        <v>4</v>
      </c>
      <c r="R220" s="66" t="s">
        <v>241</v>
      </c>
      <c r="S220" s="91">
        <v>44875.7065162037</v>
      </c>
      <c r="T220" s="66" t="s">
        <v>367</v>
      </c>
      <c r="U220" s="94" t="str">
        <f>HYPERLINK("http://transvisionmadrid.com")</f>
        <v>http://transvisionmadrid.com</v>
      </c>
      <c r="V220" s="66" t="s">
        <v>407</v>
      </c>
      <c r="W220" s="97" t="s">
        <v>428</v>
      </c>
      <c r="X220" s="94" t="str">
        <f>HYPERLINK("https://pbs.twimg.com/media/FhN7IEfWAAACRDI.jpg")</f>
        <v>https://pbs.twimg.com/media/FhN7IEfWAAACRDI.jpg</v>
      </c>
      <c r="Y220" s="94" t="str">
        <f>HYPERLINK("https://pbs.twimg.com/media/FhN7IEfWAAACRDI.jpg")</f>
        <v>https://pbs.twimg.com/media/FhN7IEfWAAACRDI.jpg</v>
      </c>
      <c r="Z220" s="91">
        <v>44875.7065162037</v>
      </c>
      <c r="AA220" s="100">
        <v>44875</v>
      </c>
      <c r="AB220" s="97" t="s">
        <v>542</v>
      </c>
      <c r="AC220" s="94" t="str">
        <f>HYPERLINK("https://twitter.com/cordeiro/status/1590750477020532738")</f>
        <v>https://twitter.com/cordeiro/status/1590750477020532738</v>
      </c>
      <c r="AD220" s="66"/>
      <c r="AE220" s="66"/>
      <c r="AF220" s="97" t="s">
        <v>677</v>
      </c>
      <c r="AG220" s="66"/>
      <c r="AH220" s="66" t="b">
        <v>0</v>
      </c>
      <c r="AI220" s="66">
        <v>0</v>
      </c>
      <c r="AJ220" s="97" t="s">
        <v>712</v>
      </c>
      <c r="AK220" s="66" t="b">
        <v>0</v>
      </c>
      <c r="AL220" s="66" t="s">
        <v>714</v>
      </c>
      <c r="AM220" s="66"/>
      <c r="AN220" s="97" t="s">
        <v>712</v>
      </c>
      <c r="AO220" s="66" t="b">
        <v>0</v>
      </c>
      <c r="AP220" s="66">
        <v>0</v>
      </c>
      <c r="AQ220" s="97" t="s">
        <v>712</v>
      </c>
      <c r="AR220" s="97" t="s">
        <v>724</v>
      </c>
      <c r="AS220" s="66" t="b">
        <v>0</v>
      </c>
      <c r="AT220" s="97" t="s">
        <v>677</v>
      </c>
      <c r="AU220" s="66" t="s">
        <v>241</v>
      </c>
      <c r="AV220" s="66">
        <v>0</v>
      </c>
      <c r="AW220" s="66">
        <v>0</v>
      </c>
      <c r="AX220" s="66"/>
      <c r="AY220" s="66"/>
      <c r="AZ220" s="66"/>
      <c r="BA220" s="66"/>
      <c r="BB220" s="66"/>
      <c r="BC220" s="66"/>
      <c r="BD220" s="66"/>
      <c r="BE220" s="66"/>
      <c r="BF220" s="45">
        <v>0</v>
      </c>
      <c r="BG220" s="46">
        <v>0</v>
      </c>
      <c r="BH220" s="45">
        <v>0</v>
      </c>
      <c r="BI220" s="46">
        <v>0</v>
      </c>
      <c r="BJ220" s="45">
        <v>0</v>
      </c>
      <c r="BK220" s="46">
        <v>0</v>
      </c>
      <c r="BL220" s="45">
        <v>16</v>
      </c>
      <c r="BM220" s="46">
        <v>84.21052631578948</v>
      </c>
      <c r="BN220" s="45">
        <v>19</v>
      </c>
    </row>
    <row r="221" spans="1:66" ht="15">
      <c r="A221" s="62" t="s">
        <v>305</v>
      </c>
      <c r="B221" s="62" t="s">
        <v>305</v>
      </c>
      <c r="C221" s="64" t="s">
        <v>1510</v>
      </c>
      <c r="D221" s="67">
        <v>10</v>
      </c>
      <c r="E221" s="68" t="s">
        <v>136</v>
      </c>
      <c r="F221" s="69">
        <v>6</v>
      </c>
      <c r="G221" s="64"/>
      <c r="H221" s="70"/>
      <c r="I221" s="71"/>
      <c r="J221" s="71"/>
      <c r="K221" s="31" t="s">
        <v>65</v>
      </c>
      <c r="L221" s="79">
        <v>221</v>
      </c>
      <c r="M221" s="79"/>
      <c r="N221" s="73"/>
      <c r="O221" s="66">
        <v>35</v>
      </c>
      <c r="P221" s="63" t="str">
        <f>REPLACE(INDEX(GroupVertices[Group],MATCH(Edges[[#This Row],[Vertex 1]],GroupVertices[Vertex],0)),1,1,"")</f>
        <v>4</v>
      </c>
      <c r="Q221" s="63" t="str">
        <f>REPLACE(INDEX(GroupVertices[Group],MATCH(Edges[[#This Row],[Vertex 2]],GroupVertices[Vertex],0)),1,1,"")</f>
        <v>4</v>
      </c>
      <c r="R221" s="66" t="s">
        <v>241</v>
      </c>
      <c r="S221" s="91">
        <v>44875.93494212963</v>
      </c>
      <c r="T221" s="66" t="s">
        <v>368</v>
      </c>
      <c r="U221" s="94" t="str">
        <f>HYPERLINK("http://transvisionmadrid.com")</f>
        <v>http://transvisionmadrid.com</v>
      </c>
      <c r="V221" s="66" t="s">
        <v>407</v>
      </c>
      <c r="W221" s="97" t="s">
        <v>428</v>
      </c>
      <c r="X221" s="94" t="str">
        <f>HYPERLINK("https://pbs.twimg.com/media/FhPGagrXoA4noUU.jpg")</f>
        <v>https://pbs.twimg.com/media/FhPGagrXoA4noUU.jpg</v>
      </c>
      <c r="Y221" s="94" t="str">
        <f>HYPERLINK("https://pbs.twimg.com/media/FhPGagrXoA4noUU.jpg")</f>
        <v>https://pbs.twimg.com/media/FhPGagrXoA4noUU.jpg</v>
      </c>
      <c r="Z221" s="91">
        <v>44875.93494212963</v>
      </c>
      <c r="AA221" s="100">
        <v>44875</v>
      </c>
      <c r="AB221" s="97" t="s">
        <v>543</v>
      </c>
      <c r="AC221" s="94" t="str">
        <f>HYPERLINK("https://twitter.com/cordeiro/status/1590833256651440128")</f>
        <v>https://twitter.com/cordeiro/status/1590833256651440128</v>
      </c>
      <c r="AD221" s="66"/>
      <c r="AE221" s="66"/>
      <c r="AF221" s="97" t="s">
        <v>678</v>
      </c>
      <c r="AG221" s="66"/>
      <c r="AH221" s="66" t="b">
        <v>0</v>
      </c>
      <c r="AI221" s="66">
        <v>0</v>
      </c>
      <c r="AJ221" s="97" t="s">
        <v>712</v>
      </c>
      <c r="AK221" s="66" t="b">
        <v>0</v>
      </c>
      <c r="AL221" s="66" t="s">
        <v>714</v>
      </c>
      <c r="AM221" s="66"/>
      <c r="AN221" s="97" t="s">
        <v>712</v>
      </c>
      <c r="AO221" s="66" t="b">
        <v>0</v>
      </c>
      <c r="AP221" s="66">
        <v>0</v>
      </c>
      <c r="AQ221" s="97" t="s">
        <v>712</v>
      </c>
      <c r="AR221" s="97" t="s">
        <v>724</v>
      </c>
      <c r="AS221" s="66" t="b">
        <v>0</v>
      </c>
      <c r="AT221" s="97" t="s">
        <v>678</v>
      </c>
      <c r="AU221" s="66" t="s">
        <v>241</v>
      </c>
      <c r="AV221" s="66">
        <v>0</v>
      </c>
      <c r="AW221" s="66">
        <v>0</v>
      </c>
      <c r="AX221" s="66"/>
      <c r="AY221" s="66"/>
      <c r="AZ221" s="66"/>
      <c r="BA221" s="66"/>
      <c r="BB221" s="66"/>
      <c r="BC221" s="66"/>
      <c r="BD221" s="66"/>
      <c r="BE221" s="66"/>
      <c r="BF221" s="45">
        <v>0</v>
      </c>
      <c r="BG221" s="46">
        <v>0</v>
      </c>
      <c r="BH221" s="45">
        <v>0</v>
      </c>
      <c r="BI221" s="46">
        <v>0</v>
      </c>
      <c r="BJ221" s="45">
        <v>0</v>
      </c>
      <c r="BK221" s="46">
        <v>0</v>
      </c>
      <c r="BL221" s="45">
        <v>17</v>
      </c>
      <c r="BM221" s="46">
        <v>85</v>
      </c>
      <c r="BN221" s="45">
        <v>20</v>
      </c>
    </row>
    <row r="222" spans="1:66" ht="15">
      <c r="A222" s="62" t="s">
        <v>305</v>
      </c>
      <c r="B222" s="62" t="s">
        <v>305</v>
      </c>
      <c r="C222" s="64" t="s">
        <v>1510</v>
      </c>
      <c r="D222" s="67">
        <v>10</v>
      </c>
      <c r="E222" s="68" t="s">
        <v>136</v>
      </c>
      <c r="F222" s="69">
        <v>6</v>
      </c>
      <c r="G222" s="64"/>
      <c r="H222" s="70"/>
      <c r="I222" s="71"/>
      <c r="J222" s="71"/>
      <c r="K222" s="31" t="s">
        <v>65</v>
      </c>
      <c r="L222" s="79">
        <v>222</v>
      </c>
      <c r="M222" s="79"/>
      <c r="N222" s="73"/>
      <c r="O222" s="66">
        <v>35</v>
      </c>
      <c r="P222" s="63" t="str">
        <f>REPLACE(INDEX(GroupVertices[Group],MATCH(Edges[[#This Row],[Vertex 1]],GroupVertices[Vertex],0)),1,1,"")</f>
        <v>4</v>
      </c>
      <c r="Q222" s="63" t="str">
        <f>REPLACE(INDEX(GroupVertices[Group],MATCH(Edges[[#This Row],[Vertex 2]],GroupVertices[Vertex],0)),1,1,"")</f>
        <v>4</v>
      </c>
      <c r="R222" s="66" t="s">
        <v>241</v>
      </c>
      <c r="S222" s="91">
        <v>44876.441469907404</v>
      </c>
      <c r="T222" s="66" t="s">
        <v>369</v>
      </c>
      <c r="U222" s="94" t="str">
        <f>HYPERLINK("http://transvisionmadrid.com")</f>
        <v>http://transvisionmadrid.com</v>
      </c>
      <c r="V222" s="66" t="s">
        <v>407</v>
      </c>
      <c r="W222" s="97" t="s">
        <v>428</v>
      </c>
      <c r="X222" s="94" t="str">
        <f>HYPERLINK("https://pbs.twimg.com/media/FhRtXBWWYAIDxQS.jpg")</f>
        <v>https://pbs.twimg.com/media/FhRtXBWWYAIDxQS.jpg</v>
      </c>
      <c r="Y222" s="94" t="str">
        <f>HYPERLINK("https://pbs.twimg.com/media/FhRtXBWWYAIDxQS.jpg")</f>
        <v>https://pbs.twimg.com/media/FhRtXBWWYAIDxQS.jpg</v>
      </c>
      <c r="Z222" s="91">
        <v>44876.441469907404</v>
      </c>
      <c r="AA222" s="100">
        <v>44876</v>
      </c>
      <c r="AB222" s="97" t="s">
        <v>544</v>
      </c>
      <c r="AC222" s="94" t="str">
        <f>HYPERLINK("https://twitter.com/cordeiro/status/1591016815290884096")</f>
        <v>https://twitter.com/cordeiro/status/1591016815290884096</v>
      </c>
      <c r="AD222" s="66"/>
      <c r="AE222" s="66"/>
      <c r="AF222" s="97" t="s">
        <v>679</v>
      </c>
      <c r="AG222" s="66"/>
      <c r="AH222" s="66" t="b">
        <v>0</v>
      </c>
      <c r="AI222" s="66">
        <v>0</v>
      </c>
      <c r="AJ222" s="97" t="s">
        <v>712</v>
      </c>
      <c r="AK222" s="66" t="b">
        <v>0</v>
      </c>
      <c r="AL222" s="66" t="s">
        <v>714</v>
      </c>
      <c r="AM222" s="66"/>
      <c r="AN222" s="97" t="s">
        <v>712</v>
      </c>
      <c r="AO222" s="66" t="b">
        <v>0</v>
      </c>
      <c r="AP222" s="66">
        <v>0</v>
      </c>
      <c r="AQ222" s="97" t="s">
        <v>712</v>
      </c>
      <c r="AR222" s="97" t="s">
        <v>724</v>
      </c>
      <c r="AS222" s="66" t="b">
        <v>0</v>
      </c>
      <c r="AT222" s="97" t="s">
        <v>679</v>
      </c>
      <c r="AU222" s="66" t="s">
        <v>241</v>
      </c>
      <c r="AV222" s="66">
        <v>0</v>
      </c>
      <c r="AW222" s="66">
        <v>0</v>
      </c>
      <c r="AX222" s="66"/>
      <c r="AY222" s="66"/>
      <c r="AZ222" s="66"/>
      <c r="BA222" s="66"/>
      <c r="BB222" s="66"/>
      <c r="BC222" s="66"/>
      <c r="BD222" s="66"/>
      <c r="BE222" s="66"/>
      <c r="BF222" s="45">
        <v>0</v>
      </c>
      <c r="BG222" s="46">
        <v>0</v>
      </c>
      <c r="BH222" s="45">
        <v>0</v>
      </c>
      <c r="BI222" s="46">
        <v>0</v>
      </c>
      <c r="BJ222" s="45">
        <v>0</v>
      </c>
      <c r="BK222" s="46">
        <v>0</v>
      </c>
      <c r="BL222" s="45">
        <v>17</v>
      </c>
      <c r="BM222" s="46">
        <v>85</v>
      </c>
      <c r="BN222" s="45">
        <v>20</v>
      </c>
    </row>
    <row r="223" spans="1:66" ht="15">
      <c r="A223" s="62" t="s">
        <v>305</v>
      </c>
      <c r="B223" s="62" t="s">
        <v>305</v>
      </c>
      <c r="C223" s="64" t="s">
        <v>1510</v>
      </c>
      <c r="D223" s="67">
        <v>10</v>
      </c>
      <c r="E223" s="68" t="s">
        <v>136</v>
      </c>
      <c r="F223" s="69">
        <v>6</v>
      </c>
      <c r="G223" s="64"/>
      <c r="H223" s="70"/>
      <c r="I223" s="71"/>
      <c r="J223" s="71"/>
      <c r="K223" s="31" t="s">
        <v>65</v>
      </c>
      <c r="L223" s="79">
        <v>223</v>
      </c>
      <c r="M223" s="79"/>
      <c r="N223" s="73"/>
      <c r="O223" s="66">
        <v>35</v>
      </c>
      <c r="P223" s="63" t="str">
        <f>REPLACE(INDEX(GroupVertices[Group],MATCH(Edges[[#This Row],[Vertex 1]],GroupVertices[Vertex],0)),1,1,"")</f>
        <v>4</v>
      </c>
      <c r="Q223" s="63" t="str">
        <f>REPLACE(INDEX(GroupVertices[Group],MATCH(Edges[[#This Row],[Vertex 2]],GroupVertices[Vertex],0)),1,1,"")</f>
        <v>4</v>
      </c>
      <c r="R223" s="66" t="s">
        <v>241</v>
      </c>
      <c r="S223" s="91">
        <v>44876.452361111114</v>
      </c>
      <c r="T223" s="66" t="s">
        <v>370</v>
      </c>
      <c r="U223" s="94" t="str">
        <f>HYPERLINK("https://okdiario.com/salud/madrid-acogera-cumbre-internacional-sobre-criopreservacion-pacientes-futura-reanimacion-9945365")</f>
        <v>https://okdiario.com/salud/madrid-acogera-cumbre-internacional-sobre-criopreservacion-pacientes-futura-reanimacion-9945365</v>
      </c>
      <c r="V223" s="66" t="s">
        <v>414</v>
      </c>
      <c r="W223" s="97" t="s">
        <v>435</v>
      </c>
      <c r="X223" s="66"/>
      <c r="Y223" s="94" t="str">
        <f>HYPERLINK("https://pbs.twimg.com/profile_images/1078408329045725184/ix0-gmNx_normal.jpg")</f>
        <v>https://pbs.twimg.com/profile_images/1078408329045725184/ix0-gmNx_normal.jpg</v>
      </c>
      <c r="Z223" s="91">
        <v>44876.452361111114</v>
      </c>
      <c r="AA223" s="100">
        <v>44876</v>
      </c>
      <c r="AB223" s="97" t="s">
        <v>545</v>
      </c>
      <c r="AC223" s="94" t="str">
        <f>HYPERLINK("https://twitter.com/cordeiro/status/1591020764798636032")</f>
        <v>https://twitter.com/cordeiro/status/1591020764798636032</v>
      </c>
      <c r="AD223" s="66"/>
      <c r="AE223" s="66"/>
      <c r="AF223" s="97" t="s">
        <v>680</v>
      </c>
      <c r="AG223" s="66"/>
      <c r="AH223" s="66" t="b">
        <v>0</v>
      </c>
      <c r="AI223" s="66">
        <v>0</v>
      </c>
      <c r="AJ223" s="97" t="s">
        <v>712</v>
      </c>
      <c r="AK223" s="66" t="b">
        <v>0</v>
      </c>
      <c r="AL223" s="66" t="s">
        <v>715</v>
      </c>
      <c r="AM223" s="66"/>
      <c r="AN223" s="97" t="s">
        <v>712</v>
      </c>
      <c r="AO223" s="66" t="b">
        <v>0</v>
      </c>
      <c r="AP223" s="66">
        <v>0</v>
      </c>
      <c r="AQ223" s="97" t="s">
        <v>712</v>
      </c>
      <c r="AR223" s="97" t="s">
        <v>724</v>
      </c>
      <c r="AS223" s="66" t="b">
        <v>0</v>
      </c>
      <c r="AT223" s="97" t="s">
        <v>680</v>
      </c>
      <c r="AU223" s="66" t="s">
        <v>241</v>
      </c>
      <c r="AV223" s="66">
        <v>0</v>
      </c>
      <c r="AW223" s="66">
        <v>0</v>
      </c>
      <c r="AX223" s="66"/>
      <c r="AY223" s="66"/>
      <c r="AZ223" s="66"/>
      <c r="BA223" s="66"/>
      <c r="BB223" s="66"/>
      <c r="BC223" s="66"/>
      <c r="BD223" s="66"/>
      <c r="BE223" s="66"/>
      <c r="BF223" s="45">
        <v>0</v>
      </c>
      <c r="BG223" s="46">
        <v>0</v>
      </c>
      <c r="BH223" s="45">
        <v>0</v>
      </c>
      <c r="BI223" s="46">
        <v>0</v>
      </c>
      <c r="BJ223" s="45">
        <v>0</v>
      </c>
      <c r="BK223" s="46">
        <v>0</v>
      </c>
      <c r="BL223" s="45">
        <v>15</v>
      </c>
      <c r="BM223" s="46">
        <v>71.42857142857143</v>
      </c>
      <c r="BN223" s="45">
        <v>21</v>
      </c>
    </row>
    <row r="224" spans="1:66" ht="15">
      <c r="A224" s="62" t="s">
        <v>305</v>
      </c>
      <c r="B224" s="62" t="s">
        <v>305</v>
      </c>
      <c r="C224" s="64" t="s">
        <v>1510</v>
      </c>
      <c r="D224" s="67">
        <v>10</v>
      </c>
      <c r="E224" s="68" t="s">
        <v>136</v>
      </c>
      <c r="F224" s="69">
        <v>6</v>
      </c>
      <c r="G224" s="64"/>
      <c r="H224" s="70"/>
      <c r="I224" s="71"/>
      <c r="J224" s="71"/>
      <c r="K224" s="31" t="s">
        <v>65</v>
      </c>
      <c r="L224" s="79">
        <v>224</v>
      </c>
      <c r="M224" s="79"/>
      <c r="N224" s="73"/>
      <c r="O224" s="66">
        <v>35</v>
      </c>
      <c r="P224" s="63" t="str">
        <f>REPLACE(INDEX(GroupVertices[Group],MATCH(Edges[[#This Row],[Vertex 1]],GroupVertices[Vertex],0)),1,1,"")</f>
        <v>4</v>
      </c>
      <c r="Q224" s="63" t="str">
        <f>REPLACE(INDEX(GroupVertices[Group],MATCH(Edges[[#This Row],[Vertex 2]],GroupVertices[Vertex],0)),1,1,"")</f>
        <v>4</v>
      </c>
      <c r="R224" s="66" t="s">
        <v>241</v>
      </c>
      <c r="S224" s="91">
        <v>44876.556666666664</v>
      </c>
      <c r="T224" s="66" t="s">
        <v>371</v>
      </c>
      <c r="U224" s="66" t="s">
        <v>398</v>
      </c>
      <c r="V224" s="66" t="s">
        <v>416</v>
      </c>
      <c r="W224" s="97" t="s">
        <v>425</v>
      </c>
      <c r="X224" s="66"/>
      <c r="Y224" s="94" t="str">
        <f>HYPERLINK("https://pbs.twimg.com/profile_images/1078408329045725184/ix0-gmNx_normal.jpg")</f>
        <v>https://pbs.twimg.com/profile_images/1078408329045725184/ix0-gmNx_normal.jpg</v>
      </c>
      <c r="Z224" s="91">
        <v>44876.556666666664</v>
      </c>
      <c r="AA224" s="100">
        <v>44876</v>
      </c>
      <c r="AB224" s="97" t="s">
        <v>546</v>
      </c>
      <c r="AC224" s="94" t="str">
        <f>HYPERLINK("https://twitter.com/cordeiro/status/1591058563073449984")</f>
        <v>https://twitter.com/cordeiro/status/1591058563073449984</v>
      </c>
      <c r="AD224" s="66"/>
      <c r="AE224" s="66"/>
      <c r="AF224" s="97" t="s">
        <v>681</v>
      </c>
      <c r="AG224" s="66"/>
      <c r="AH224" s="66" t="b">
        <v>0</v>
      </c>
      <c r="AI224" s="66">
        <v>0</v>
      </c>
      <c r="AJ224" s="97" t="s">
        <v>712</v>
      </c>
      <c r="AK224" s="66" t="b">
        <v>0</v>
      </c>
      <c r="AL224" s="66" t="s">
        <v>715</v>
      </c>
      <c r="AM224" s="66"/>
      <c r="AN224" s="97" t="s">
        <v>712</v>
      </c>
      <c r="AO224" s="66" t="b">
        <v>0</v>
      </c>
      <c r="AP224" s="66">
        <v>0</v>
      </c>
      <c r="AQ224" s="97" t="s">
        <v>712</v>
      </c>
      <c r="AR224" s="97" t="s">
        <v>723</v>
      </c>
      <c r="AS224" s="66" t="b">
        <v>0</v>
      </c>
      <c r="AT224" s="97" t="s">
        <v>681</v>
      </c>
      <c r="AU224" s="66" t="s">
        <v>241</v>
      </c>
      <c r="AV224" s="66">
        <v>0</v>
      </c>
      <c r="AW224" s="66">
        <v>0</v>
      </c>
      <c r="AX224" s="66"/>
      <c r="AY224" s="66"/>
      <c r="AZ224" s="66"/>
      <c r="BA224" s="66"/>
      <c r="BB224" s="66"/>
      <c r="BC224" s="66"/>
      <c r="BD224" s="66"/>
      <c r="BE224" s="66"/>
      <c r="BF224" s="45">
        <v>0</v>
      </c>
      <c r="BG224" s="46">
        <v>0</v>
      </c>
      <c r="BH224" s="45">
        <v>0</v>
      </c>
      <c r="BI224" s="46">
        <v>0</v>
      </c>
      <c r="BJ224" s="45">
        <v>0</v>
      </c>
      <c r="BK224" s="46">
        <v>0</v>
      </c>
      <c r="BL224" s="45">
        <v>14</v>
      </c>
      <c r="BM224" s="46">
        <v>73.6842105263158</v>
      </c>
      <c r="BN224" s="45">
        <v>19</v>
      </c>
    </row>
    <row r="225" spans="1:66" ht="15">
      <c r="A225" s="62" t="s">
        <v>305</v>
      </c>
      <c r="B225" s="62" t="s">
        <v>305</v>
      </c>
      <c r="C225" s="64" t="s">
        <v>1510</v>
      </c>
      <c r="D225" s="67">
        <v>10</v>
      </c>
      <c r="E225" s="68" t="s">
        <v>136</v>
      </c>
      <c r="F225" s="69">
        <v>6</v>
      </c>
      <c r="G225" s="64"/>
      <c r="H225" s="70"/>
      <c r="I225" s="71"/>
      <c r="J225" s="71"/>
      <c r="K225" s="31" t="s">
        <v>65</v>
      </c>
      <c r="L225" s="79">
        <v>225</v>
      </c>
      <c r="M225" s="79"/>
      <c r="N225" s="73"/>
      <c r="O225" s="66">
        <v>35</v>
      </c>
      <c r="P225" s="63" t="str">
        <f>REPLACE(INDEX(GroupVertices[Group],MATCH(Edges[[#This Row],[Vertex 1]],GroupVertices[Vertex],0)),1,1,"")</f>
        <v>4</v>
      </c>
      <c r="Q225" s="63" t="str">
        <f>REPLACE(INDEX(GroupVertices[Group],MATCH(Edges[[#This Row],[Vertex 2]],GroupVertices[Vertex],0)),1,1,"")</f>
        <v>4</v>
      </c>
      <c r="R225" s="66" t="s">
        <v>241</v>
      </c>
      <c r="S225" s="91">
        <v>44876.70658564815</v>
      </c>
      <c r="T225" s="66" t="s">
        <v>372</v>
      </c>
      <c r="U225" s="94" t="str">
        <f>HYPERLINK("http://transvisionmadrid.com")</f>
        <v>http://transvisionmadrid.com</v>
      </c>
      <c r="V225" s="66" t="s">
        <v>407</v>
      </c>
      <c r="W225" s="97" t="s">
        <v>428</v>
      </c>
      <c r="X225" s="94" t="str">
        <f>HYPERLINK("https://pbs.twimg.com/media/FhTEvaSWAAEhS3B.jpg")</f>
        <v>https://pbs.twimg.com/media/FhTEvaSWAAEhS3B.jpg</v>
      </c>
      <c r="Y225" s="94" t="str">
        <f>HYPERLINK("https://pbs.twimg.com/media/FhTEvaSWAAEhS3B.jpg")</f>
        <v>https://pbs.twimg.com/media/FhTEvaSWAAEhS3B.jpg</v>
      </c>
      <c r="Z225" s="91">
        <v>44876.70658564815</v>
      </c>
      <c r="AA225" s="100">
        <v>44876</v>
      </c>
      <c r="AB225" s="97" t="s">
        <v>547</v>
      </c>
      <c r="AC225" s="94" t="str">
        <f>HYPERLINK("https://twitter.com/cordeiro/status/1591112892908183552")</f>
        <v>https://twitter.com/cordeiro/status/1591112892908183552</v>
      </c>
      <c r="AD225" s="66"/>
      <c r="AE225" s="66"/>
      <c r="AF225" s="97" t="s">
        <v>682</v>
      </c>
      <c r="AG225" s="66"/>
      <c r="AH225" s="66" t="b">
        <v>0</v>
      </c>
      <c r="AI225" s="66">
        <v>0</v>
      </c>
      <c r="AJ225" s="97" t="s">
        <v>712</v>
      </c>
      <c r="AK225" s="66" t="b">
        <v>0</v>
      </c>
      <c r="AL225" s="66" t="s">
        <v>714</v>
      </c>
      <c r="AM225" s="66"/>
      <c r="AN225" s="97" t="s">
        <v>712</v>
      </c>
      <c r="AO225" s="66" t="b">
        <v>0</v>
      </c>
      <c r="AP225" s="66">
        <v>0</v>
      </c>
      <c r="AQ225" s="97" t="s">
        <v>712</v>
      </c>
      <c r="AR225" s="97" t="s">
        <v>724</v>
      </c>
      <c r="AS225" s="66" t="b">
        <v>0</v>
      </c>
      <c r="AT225" s="97" t="s">
        <v>682</v>
      </c>
      <c r="AU225" s="66" t="s">
        <v>241</v>
      </c>
      <c r="AV225" s="66">
        <v>0</v>
      </c>
      <c r="AW225" s="66">
        <v>0</v>
      </c>
      <c r="AX225" s="66"/>
      <c r="AY225" s="66"/>
      <c r="AZ225" s="66"/>
      <c r="BA225" s="66"/>
      <c r="BB225" s="66"/>
      <c r="BC225" s="66"/>
      <c r="BD225" s="66"/>
      <c r="BE225" s="66"/>
      <c r="BF225" s="45">
        <v>0</v>
      </c>
      <c r="BG225" s="46">
        <v>0</v>
      </c>
      <c r="BH225" s="45">
        <v>0</v>
      </c>
      <c r="BI225" s="46">
        <v>0</v>
      </c>
      <c r="BJ225" s="45">
        <v>0</v>
      </c>
      <c r="BK225" s="46">
        <v>0</v>
      </c>
      <c r="BL225" s="45">
        <v>16</v>
      </c>
      <c r="BM225" s="46">
        <v>80</v>
      </c>
      <c r="BN225" s="45">
        <v>20</v>
      </c>
    </row>
    <row r="226" spans="1:66" ht="15">
      <c r="A226" s="62" t="s">
        <v>305</v>
      </c>
      <c r="B226" s="62" t="s">
        <v>305</v>
      </c>
      <c r="C226" s="64" t="s">
        <v>1510</v>
      </c>
      <c r="D226" s="67">
        <v>10</v>
      </c>
      <c r="E226" s="68" t="s">
        <v>136</v>
      </c>
      <c r="F226" s="69">
        <v>6</v>
      </c>
      <c r="G226" s="64"/>
      <c r="H226" s="70"/>
      <c r="I226" s="71"/>
      <c r="J226" s="71"/>
      <c r="K226" s="31" t="s">
        <v>65</v>
      </c>
      <c r="L226" s="79">
        <v>226</v>
      </c>
      <c r="M226" s="79"/>
      <c r="N226" s="73"/>
      <c r="O226" s="66">
        <v>35</v>
      </c>
      <c r="P226" s="63" t="str">
        <f>REPLACE(INDEX(GroupVertices[Group],MATCH(Edges[[#This Row],[Vertex 1]],GroupVertices[Vertex],0)),1,1,"")</f>
        <v>4</v>
      </c>
      <c r="Q226" s="63" t="str">
        <f>REPLACE(INDEX(GroupVertices[Group],MATCH(Edges[[#This Row],[Vertex 2]],GroupVertices[Vertex],0)),1,1,"")</f>
        <v>4</v>
      </c>
      <c r="R226" s="66" t="s">
        <v>241</v>
      </c>
      <c r="S226" s="91">
        <v>44876.8828587963</v>
      </c>
      <c r="T226" s="66" t="s">
        <v>373</v>
      </c>
      <c r="U226" s="94" t="str">
        <f>HYPERLINK("http://transvisionmadrid.com")</f>
        <v>http://transvisionmadrid.com</v>
      </c>
      <c r="V226" s="66" t="s">
        <v>407</v>
      </c>
      <c r="W226" s="97" t="s">
        <v>428</v>
      </c>
      <c r="X226" s="94" t="str">
        <f>HYPERLINK("https://pbs.twimg.com/media/FhT-1yFXgBMv4gj.jpg")</f>
        <v>https://pbs.twimg.com/media/FhT-1yFXgBMv4gj.jpg</v>
      </c>
      <c r="Y226" s="94" t="str">
        <f>HYPERLINK("https://pbs.twimg.com/media/FhT-1yFXgBMv4gj.jpg")</f>
        <v>https://pbs.twimg.com/media/FhT-1yFXgBMv4gj.jpg</v>
      </c>
      <c r="Z226" s="91">
        <v>44876.8828587963</v>
      </c>
      <c r="AA226" s="100">
        <v>44876</v>
      </c>
      <c r="AB226" s="97" t="s">
        <v>548</v>
      </c>
      <c r="AC226" s="94" t="str">
        <f>HYPERLINK("https://twitter.com/cordeiro/status/1591176773085134848")</f>
        <v>https://twitter.com/cordeiro/status/1591176773085134848</v>
      </c>
      <c r="AD226" s="66"/>
      <c r="AE226" s="66"/>
      <c r="AF226" s="97" t="s">
        <v>683</v>
      </c>
      <c r="AG226" s="66"/>
      <c r="AH226" s="66" t="b">
        <v>0</v>
      </c>
      <c r="AI226" s="66">
        <v>0</v>
      </c>
      <c r="AJ226" s="97" t="s">
        <v>712</v>
      </c>
      <c r="AK226" s="66" t="b">
        <v>0</v>
      </c>
      <c r="AL226" s="66" t="s">
        <v>714</v>
      </c>
      <c r="AM226" s="66"/>
      <c r="AN226" s="97" t="s">
        <v>712</v>
      </c>
      <c r="AO226" s="66" t="b">
        <v>0</v>
      </c>
      <c r="AP226" s="66">
        <v>0</v>
      </c>
      <c r="AQ226" s="97" t="s">
        <v>712</v>
      </c>
      <c r="AR226" s="97" t="s">
        <v>724</v>
      </c>
      <c r="AS226" s="66" t="b">
        <v>0</v>
      </c>
      <c r="AT226" s="97" t="s">
        <v>683</v>
      </c>
      <c r="AU226" s="66" t="s">
        <v>241</v>
      </c>
      <c r="AV226" s="66">
        <v>0</v>
      </c>
      <c r="AW226" s="66">
        <v>0</v>
      </c>
      <c r="AX226" s="66"/>
      <c r="AY226" s="66"/>
      <c r="AZ226" s="66"/>
      <c r="BA226" s="66"/>
      <c r="BB226" s="66"/>
      <c r="BC226" s="66"/>
      <c r="BD226" s="66"/>
      <c r="BE226" s="66"/>
      <c r="BF226" s="45">
        <v>0</v>
      </c>
      <c r="BG226" s="46">
        <v>0</v>
      </c>
      <c r="BH226" s="45">
        <v>0</v>
      </c>
      <c r="BI226" s="46">
        <v>0</v>
      </c>
      <c r="BJ226" s="45">
        <v>0</v>
      </c>
      <c r="BK226" s="46">
        <v>0</v>
      </c>
      <c r="BL226" s="45">
        <v>16</v>
      </c>
      <c r="BM226" s="46">
        <v>84.21052631578948</v>
      </c>
      <c r="BN226" s="45">
        <v>19</v>
      </c>
    </row>
    <row r="227" spans="1:66" ht="15">
      <c r="A227" s="62" t="s">
        <v>305</v>
      </c>
      <c r="B227" s="62" t="s">
        <v>305</v>
      </c>
      <c r="C227" s="64" t="s">
        <v>1510</v>
      </c>
      <c r="D227" s="67">
        <v>10</v>
      </c>
      <c r="E227" s="68" t="s">
        <v>136</v>
      </c>
      <c r="F227" s="69">
        <v>6</v>
      </c>
      <c r="G227" s="64"/>
      <c r="H227" s="70"/>
      <c r="I227" s="71"/>
      <c r="J227" s="71"/>
      <c r="K227" s="31" t="s">
        <v>65</v>
      </c>
      <c r="L227" s="79">
        <v>227</v>
      </c>
      <c r="M227" s="79"/>
      <c r="N227" s="73"/>
      <c r="O227" s="66">
        <v>35</v>
      </c>
      <c r="P227" s="63" t="str">
        <f>REPLACE(INDEX(GroupVertices[Group],MATCH(Edges[[#This Row],[Vertex 1]],GroupVertices[Vertex],0)),1,1,"")</f>
        <v>4</v>
      </c>
      <c r="Q227" s="63" t="str">
        <f>REPLACE(INDEX(GroupVertices[Group],MATCH(Edges[[#This Row],[Vertex 2]],GroupVertices[Vertex],0)),1,1,"")</f>
        <v>4</v>
      </c>
      <c r="R227" s="66" t="s">
        <v>241</v>
      </c>
      <c r="S227" s="91">
        <v>44876.93494212963</v>
      </c>
      <c r="T227" s="66" t="s">
        <v>374</v>
      </c>
      <c r="U227" s="94" t="str">
        <f>HYPERLINK("http://transvisionmadrid.com")</f>
        <v>http://transvisionmadrid.com</v>
      </c>
      <c r="V227" s="66" t="s">
        <v>407</v>
      </c>
      <c r="W227" s="97" t="s">
        <v>428</v>
      </c>
      <c r="X227" s="94" t="str">
        <f>HYPERLINK("https://pbs.twimg.com/media/FhUQALaXoB0WN80.jpg")</f>
        <v>https://pbs.twimg.com/media/FhUQALaXoB0WN80.jpg</v>
      </c>
      <c r="Y227" s="94" t="str">
        <f>HYPERLINK("https://pbs.twimg.com/media/FhUQALaXoB0WN80.jpg")</f>
        <v>https://pbs.twimg.com/media/FhUQALaXoB0WN80.jpg</v>
      </c>
      <c r="Z227" s="91">
        <v>44876.93494212963</v>
      </c>
      <c r="AA227" s="100">
        <v>44876</v>
      </c>
      <c r="AB227" s="97" t="s">
        <v>543</v>
      </c>
      <c r="AC227" s="94" t="str">
        <f>HYPERLINK("https://twitter.com/cordeiro/status/1591195643380473871")</f>
        <v>https://twitter.com/cordeiro/status/1591195643380473871</v>
      </c>
      <c r="AD227" s="66"/>
      <c r="AE227" s="66"/>
      <c r="AF227" s="97" t="s">
        <v>684</v>
      </c>
      <c r="AG227" s="66"/>
      <c r="AH227" s="66" t="b">
        <v>0</v>
      </c>
      <c r="AI227" s="66">
        <v>1</v>
      </c>
      <c r="AJ227" s="97" t="s">
        <v>712</v>
      </c>
      <c r="AK227" s="66" t="b">
        <v>0</v>
      </c>
      <c r="AL227" s="66" t="s">
        <v>714</v>
      </c>
      <c r="AM227" s="66"/>
      <c r="AN227" s="97" t="s">
        <v>712</v>
      </c>
      <c r="AO227" s="66" t="b">
        <v>0</v>
      </c>
      <c r="AP227" s="66">
        <v>0</v>
      </c>
      <c r="AQ227" s="97" t="s">
        <v>712</v>
      </c>
      <c r="AR227" s="97" t="s">
        <v>724</v>
      </c>
      <c r="AS227" s="66" t="b">
        <v>0</v>
      </c>
      <c r="AT227" s="97" t="s">
        <v>684</v>
      </c>
      <c r="AU227" s="66" t="s">
        <v>241</v>
      </c>
      <c r="AV227" s="66">
        <v>0</v>
      </c>
      <c r="AW227" s="66">
        <v>0</v>
      </c>
      <c r="AX227" s="66"/>
      <c r="AY227" s="66"/>
      <c r="AZ227" s="66"/>
      <c r="BA227" s="66"/>
      <c r="BB227" s="66"/>
      <c r="BC227" s="66"/>
      <c r="BD227" s="66"/>
      <c r="BE227" s="66"/>
      <c r="BF227" s="45">
        <v>0</v>
      </c>
      <c r="BG227" s="46">
        <v>0</v>
      </c>
      <c r="BH227" s="45">
        <v>0</v>
      </c>
      <c r="BI227" s="46">
        <v>0</v>
      </c>
      <c r="BJ227" s="45">
        <v>0</v>
      </c>
      <c r="BK227" s="46">
        <v>0</v>
      </c>
      <c r="BL227" s="45">
        <v>16</v>
      </c>
      <c r="BM227" s="46">
        <v>84.21052631578948</v>
      </c>
      <c r="BN227" s="45">
        <v>19</v>
      </c>
    </row>
    <row r="228" spans="1:66" ht="15">
      <c r="A228" s="62" t="s">
        <v>305</v>
      </c>
      <c r="B228" s="62" t="s">
        <v>305</v>
      </c>
      <c r="C228" s="64" t="s">
        <v>1510</v>
      </c>
      <c r="D228" s="67">
        <v>10</v>
      </c>
      <c r="E228" s="68" t="s">
        <v>136</v>
      </c>
      <c r="F228" s="69">
        <v>6</v>
      </c>
      <c r="G228" s="64"/>
      <c r="H228" s="70"/>
      <c r="I228" s="71"/>
      <c r="J228" s="71"/>
      <c r="K228" s="31" t="s">
        <v>65</v>
      </c>
      <c r="L228" s="79">
        <v>228</v>
      </c>
      <c r="M228" s="79"/>
      <c r="N228" s="73"/>
      <c r="O228" s="66">
        <v>35</v>
      </c>
      <c r="P228" s="63" t="str">
        <f>REPLACE(INDEX(GroupVertices[Group],MATCH(Edges[[#This Row],[Vertex 1]],GroupVertices[Vertex],0)),1,1,"")</f>
        <v>4</v>
      </c>
      <c r="Q228" s="63" t="str">
        <f>REPLACE(INDEX(GroupVertices[Group],MATCH(Edges[[#This Row],[Vertex 2]],GroupVertices[Vertex],0)),1,1,"")</f>
        <v>4</v>
      </c>
      <c r="R228" s="66" t="s">
        <v>241</v>
      </c>
      <c r="S228" s="91">
        <v>44877.18920138889</v>
      </c>
      <c r="T228" s="66" t="s">
        <v>375</v>
      </c>
      <c r="U228" s="94" t="str">
        <f>HYPERLINK("http://transvisionmadrid.com")</f>
        <v>http://transvisionmadrid.com</v>
      </c>
      <c r="V228" s="66" t="s">
        <v>407</v>
      </c>
      <c r="W228" s="97" t="s">
        <v>428</v>
      </c>
      <c r="X228" s="94" t="str">
        <f>HYPERLINK("https://pbs.twimg.com/media/FhVjzjbWYAA0H2O.jpg")</f>
        <v>https://pbs.twimg.com/media/FhVjzjbWYAA0H2O.jpg</v>
      </c>
      <c r="Y228" s="94" t="str">
        <f>HYPERLINK("https://pbs.twimg.com/media/FhVjzjbWYAA0H2O.jpg")</f>
        <v>https://pbs.twimg.com/media/FhVjzjbWYAA0H2O.jpg</v>
      </c>
      <c r="Z228" s="91">
        <v>44877.18920138889</v>
      </c>
      <c r="AA228" s="100">
        <v>44877</v>
      </c>
      <c r="AB228" s="97" t="s">
        <v>549</v>
      </c>
      <c r="AC228" s="94" t="str">
        <f>HYPERLINK("https://twitter.com/cordeiro/status/1591287785121632256")</f>
        <v>https://twitter.com/cordeiro/status/1591287785121632256</v>
      </c>
      <c r="AD228" s="66"/>
      <c r="AE228" s="66"/>
      <c r="AF228" s="97" t="s">
        <v>685</v>
      </c>
      <c r="AG228" s="66"/>
      <c r="AH228" s="66" t="b">
        <v>0</v>
      </c>
      <c r="AI228" s="66">
        <v>1</v>
      </c>
      <c r="AJ228" s="97" t="s">
        <v>712</v>
      </c>
      <c r="AK228" s="66" t="b">
        <v>0</v>
      </c>
      <c r="AL228" s="66" t="s">
        <v>714</v>
      </c>
      <c r="AM228" s="66"/>
      <c r="AN228" s="97" t="s">
        <v>712</v>
      </c>
      <c r="AO228" s="66" t="b">
        <v>0</v>
      </c>
      <c r="AP228" s="66">
        <v>0</v>
      </c>
      <c r="AQ228" s="97" t="s">
        <v>712</v>
      </c>
      <c r="AR228" s="97" t="s">
        <v>724</v>
      </c>
      <c r="AS228" s="66" t="b">
        <v>0</v>
      </c>
      <c r="AT228" s="97" t="s">
        <v>685</v>
      </c>
      <c r="AU228" s="66" t="s">
        <v>241</v>
      </c>
      <c r="AV228" s="66">
        <v>0</v>
      </c>
      <c r="AW228" s="66">
        <v>0</v>
      </c>
      <c r="AX228" s="66"/>
      <c r="AY228" s="66"/>
      <c r="AZ228" s="66"/>
      <c r="BA228" s="66"/>
      <c r="BB228" s="66"/>
      <c r="BC228" s="66"/>
      <c r="BD228" s="66"/>
      <c r="BE228" s="66"/>
      <c r="BF228" s="45">
        <v>0</v>
      </c>
      <c r="BG228" s="46">
        <v>0</v>
      </c>
      <c r="BH228" s="45">
        <v>0</v>
      </c>
      <c r="BI228" s="46">
        <v>0</v>
      </c>
      <c r="BJ228" s="45">
        <v>0</v>
      </c>
      <c r="BK228" s="46">
        <v>0</v>
      </c>
      <c r="BL228" s="45">
        <v>16</v>
      </c>
      <c r="BM228" s="46">
        <v>84.21052631578948</v>
      </c>
      <c r="BN228" s="45">
        <v>19</v>
      </c>
    </row>
    <row r="229" spans="1:66" ht="15">
      <c r="A229" s="62" t="s">
        <v>305</v>
      </c>
      <c r="B229" s="62" t="s">
        <v>305</v>
      </c>
      <c r="C229" s="64" t="s">
        <v>1510</v>
      </c>
      <c r="D229" s="67">
        <v>10</v>
      </c>
      <c r="E229" s="68" t="s">
        <v>136</v>
      </c>
      <c r="F229" s="69">
        <v>6</v>
      </c>
      <c r="G229" s="64"/>
      <c r="H229" s="70"/>
      <c r="I229" s="71"/>
      <c r="J229" s="71"/>
      <c r="K229" s="31" t="s">
        <v>65</v>
      </c>
      <c r="L229" s="79">
        <v>229</v>
      </c>
      <c r="M229" s="79"/>
      <c r="N229" s="73"/>
      <c r="O229" s="66">
        <v>35</v>
      </c>
      <c r="P229" s="63" t="str">
        <f>REPLACE(INDEX(GroupVertices[Group],MATCH(Edges[[#This Row],[Vertex 1]],GroupVertices[Vertex],0)),1,1,"")</f>
        <v>4</v>
      </c>
      <c r="Q229" s="63" t="str">
        <f>REPLACE(INDEX(GroupVertices[Group],MATCH(Edges[[#This Row],[Vertex 2]],GroupVertices[Vertex],0)),1,1,"")</f>
        <v>4</v>
      </c>
      <c r="R229" s="66" t="s">
        <v>241</v>
      </c>
      <c r="S229" s="91">
        <v>44877.38145833334</v>
      </c>
      <c r="T229" s="66" t="s">
        <v>376</v>
      </c>
      <c r="U229" s="94" t="str">
        <f>HYPERLINK("https://www.europapress.es/sociedad/noticia-madrid-acoge-fin-semana-cumbre-internacional-criopreservacion-humana-20221111121558.html")</f>
        <v>https://www.europapress.es/sociedad/noticia-madrid-acoge-fin-semana-cumbre-internacional-criopreservacion-humana-20221111121558.html</v>
      </c>
      <c r="V229" s="66" t="s">
        <v>404</v>
      </c>
      <c r="W229" s="97" t="s">
        <v>425</v>
      </c>
      <c r="X229" s="94" t="str">
        <f>HYPERLINK("https://pbs.twimg.com/media/FhWjLDyWQAAHiUO.jpg")</f>
        <v>https://pbs.twimg.com/media/FhWjLDyWQAAHiUO.jpg</v>
      </c>
      <c r="Y229" s="94" t="str">
        <f>HYPERLINK("https://pbs.twimg.com/media/FhWjLDyWQAAHiUO.jpg")</f>
        <v>https://pbs.twimg.com/media/FhWjLDyWQAAHiUO.jpg</v>
      </c>
      <c r="Z229" s="91">
        <v>44877.38145833334</v>
      </c>
      <c r="AA229" s="100">
        <v>44877</v>
      </c>
      <c r="AB229" s="97" t="s">
        <v>550</v>
      </c>
      <c r="AC229" s="94" t="str">
        <f>HYPERLINK("https://twitter.com/cordeiro/status/1591357458936745985")</f>
        <v>https://twitter.com/cordeiro/status/1591357458936745985</v>
      </c>
      <c r="AD229" s="66"/>
      <c r="AE229" s="66"/>
      <c r="AF229" s="97" t="s">
        <v>686</v>
      </c>
      <c r="AG229" s="66"/>
      <c r="AH229" s="66" t="b">
        <v>0</v>
      </c>
      <c r="AI229" s="66">
        <v>0</v>
      </c>
      <c r="AJ229" s="97" t="s">
        <v>712</v>
      </c>
      <c r="AK229" s="66" t="b">
        <v>0</v>
      </c>
      <c r="AL229" s="66" t="s">
        <v>715</v>
      </c>
      <c r="AM229" s="66"/>
      <c r="AN229" s="97" t="s">
        <v>712</v>
      </c>
      <c r="AO229" s="66" t="b">
        <v>0</v>
      </c>
      <c r="AP229" s="66">
        <v>1</v>
      </c>
      <c r="AQ229" s="97" t="s">
        <v>712</v>
      </c>
      <c r="AR229" s="97" t="s">
        <v>724</v>
      </c>
      <c r="AS229" s="66" t="b">
        <v>0</v>
      </c>
      <c r="AT229" s="97" t="s">
        <v>686</v>
      </c>
      <c r="AU229" s="66" t="s">
        <v>241</v>
      </c>
      <c r="AV229" s="66">
        <v>0</v>
      </c>
      <c r="AW229" s="66">
        <v>0</v>
      </c>
      <c r="AX229" s="66"/>
      <c r="AY229" s="66"/>
      <c r="AZ229" s="66"/>
      <c r="BA229" s="66"/>
      <c r="BB229" s="66"/>
      <c r="BC229" s="66"/>
      <c r="BD229" s="66"/>
      <c r="BE229" s="66"/>
      <c r="BF229" s="45">
        <v>0</v>
      </c>
      <c r="BG229" s="46">
        <v>0</v>
      </c>
      <c r="BH229" s="45">
        <v>0</v>
      </c>
      <c r="BI229" s="46">
        <v>0</v>
      </c>
      <c r="BJ229" s="45">
        <v>0</v>
      </c>
      <c r="BK229" s="46">
        <v>0</v>
      </c>
      <c r="BL229" s="45">
        <v>10</v>
      </c>
      <c r="BM229" s="46">
        <v>76.92307692307692</v>
      </c>
      <c r="BN229" s="45">
        <v>13</v>
      </c>
    </row>
    <row r="230" spans="1:66" ht="15">
      <c r="A230" s="62" t="s">
        <v>305</v>
      </c>
      <c r="B230" s="62" t="s">
        <v>305</v>
      </c>
      <c r="C230" s="64" t="s">
        <v>1510</v>
      </c>
      <c r="D230" s="67">
        <v>10</v>
      </c>
      <c r="E230" s="68" t="s">
        <v>136</v>
      </c>
      <c r="F230" s="69">
        <v>6</v>
      </c>
      <c r="G230" s="64"/>
      <c r="H230" s="70"/>
      <c r="I230" s="71"/>
      <c r="J230" s="71"/>
      <c r="K230" s="31" t="s">
        <v>65</v>
      </c>
      <c r="L230" s="79">
        <v>230</v>
      </c>
      <c r="M230" s="79"/>
      <c r="N230" s="73"/>
      <c r="O230" s="66">
        <v>35</v>
      </c>
      <c r="P230" s="63" t="str">
        <f>REPLACE(INDEX(GroupVertices[Group],MATCH(Edges[[#This Row],[Vertex 1]],GroupVertices[Vertex],0)),1,1,"")</f>
        <v>4</v>
      </c>
      <c r="Q230" s="63" t="str">
        <f>REPLACE(INDEX(GroupVertices[Group],MATCH(Edges[[#This Row],[Vertex 2]],GroupVertices[Vertex],0)),1,1,"")</f>
        <v>4</v>
      </c>
      <c r="R230" s="66" t="s">
        <v>241</v>
      </c>
      <c r="S230" s="91">
        <v>44877.3912037037</v>
      </c>
      <c r="T230" s="66" t="s">
        <v>319</v>
      </c>
      <c r="U230" s="94" t="str">
        <f>HYPERLINK("https://www.abc.es/sociedad/cuatro-espanoles-reposan-congelados-espera-resucitados-20221109220843-nt.html")</f>
        <v>https://www.abc.es/sociedad/cuatro-espanoles-reposan-congelados-espera-resucitados-20221109220843-nt.html</v>
      </c>
      <c r="V230" s="66" t="s">
        <v>402</v>
      </c>
      <c r="W230" s="97" t="s">
        <v>422</v>
      </c>
      <c r="X230" s="66"/>
      <c r="Y230" s="94" t="str">
        <f>HYPERLINK("https://pbs.twimg.com/profile_images/1078408329045725184/ix0-gmNx_normal.jpg")</f>
        <v>https://pbs.twimg.com/profile_images/1078408329045725184/ix0-gmNx_normal.jpg</v>
      </c>
      <c r="Z230" s="91">
        <v>44877.3912037037</v>
      </c>
      <c r="AA230" s="100">
        <v>44877</v>
      </c>
      <c r="AB230" s="97" t="s">
        <v>551</v>
      </c>
      <c r="AC230" s="94" t="str">
        <f>HYPERLINK("https://twitter.com/cordeiro/status/1591360990305828864")</f>
        <v>https://twitter.com/cordeiro/status/1591360990305828864</v>
      </c>
      <c r="AD230" s="66"/>
      <c r="AE230" s="66"/>
      <c r="AF230" s="97" t="s">
        <v>687</v>
      </c>
      <c r="AG230" s="66"/>
      <c r="AH230" s="66" t="b">
        <v>0</v>
      </c>
      <c r="AI230" s="66">
        <v>2</v>
      </c>
      <c r="AJ230" s="97" t="s">
        <v>712</v>
      </c>
      <c r="AK230" s="66" t="b">
        <v>0</v>
      </c>
      <c r="AL230" s="66" t="s">
        <v>715</v>
      </c>
      <c r="AM230" s="66"/>
      <c r="AN230" s="97" t="s">
        <v>712</v>
      </c>
      <c r="AO230" s="66" t="b">
        <v>0</v>
      </c>
      <c r="AP230" s="66">
        <v>2</v>
      </c>
      <c r="AQ230" s="97" t="s">
        <v>712</v>
      </c>
      <c r="AR230" s="97" t="s">
        <v>724</v>
      </c>
      <c r="AS230" s="66" t="b">
        <v>0</v>
      </c>
      <c r="AT230" s="97" t="s">
        <v>687</v>
      </c>
      <c r="AU230" s="66" t="s">
        <v>241</v>
      </c>
      <c r="AV230" s="66">
        <v>0</v>
      </c>
      <c r="AW230" s="66">
        <v>0</v>
      </c>
      <c r="AX230" s="66"/>
      <c r="AY230" s="66"/>
      <c r="AZ230" s="66"/>
      <c r="BA230" s="66"/>
      <c r="BB230" s="66"/>
      <c r="BC230" s="66"/>
      <c r="BD230" s="66"/>
      <c r="BE230" s="66"/>
      <c r="BF230" s="45">
        <v>0</v>
      </c>
      <c r="BG230" s="46">
        <v>0</v>
      </c>
      <c r="BH230" s="45">
        <v>0</v>
      </c>
      <c r="BI230" s="46">
        <v>0</v>
      </c>
      <c r="BJ230" s="45">
        <v>0</v>
      </c>
      <c r="BK230" s="46">
        <v>0</v>
      </c>
      <c r="BL230" s="45">
        <v>23</v>
      </c>
      <c r="BM230" s="46">
        <v>67.6470588235294</v>
      </c>
      <c r="BN230" s="45">
        <v>34</v>
      </c>
    </row>
    <row r="231" spans="1:66" ht="15">
      <c r="A231" s="62" t="s">
        <v>305</v>
      </c>
      <c r="B231" s="62" t="s">
        <v>305</v>
      </c>
      <c r="C231" s="64" t="s">
        <v>1510</v>
      </c>
      <c r="D231" s="67">
        <v>10</v>
      </c>
      <c r="E231" s="68" t="s">
        <v>136</v>
      </c>
      <c r="F231" s="69">
        <v>6</v>
      </c>
      <c r="G231" s="64"/>
      <c r="H231" s="70"/>
      <c r="I231" s="71"/>
      <c r="J231" s="71"/>
      <c r="K231" s="31" t="s">
        <v>65</v>
      </c>
      <c r="L231" s="79">
        <v>231</v>
      </c>
      <c r="M231" s="79"/>
      <c r="N231" s="73"/>
      <c r="O231" s="66">
        <v>35</v>
      </c>
      <c r="P231" s="63" t="str">
        <f>REPLACE(INDEX(GroupVertices[Group],MATCH(Edges[[#This Row],[Vertex 1]],GroupVertices[Vertex],0)),1,1,"")</f>
        <v>4</v>
      </c>
      <c r="Q231" s="63" t="str">
        <f>REPLACE(INDEX(GroupVertices[Group],MATCH(Edges[[#This Row],[Vertex 2]],GroupVertices[Vertex],0)),1,1,"")</f>
        <v>4</v>
      </c>
      <c r="R231" s="66" t="s">
        <v>241</v>
      </c>
      <c r="S231" s="91">
        <v>44877.4083912037</v>
      </c>
      <c r="T231" s="66" t="s">
        <v>377</v>
      </c>
      <c r="U231" s="94" t="str">
        <f>HYPERLINK("https://www.youtube.com/watch?v=xb0JCOgMsXc")</f>
        <v>https://www.youtube.com/watch?v=xb0JCOgMsXc</v>
      </c>
      <c r="V231" s="66" t="s">
        <v>403</v>
      </c>
      <c r="W231" s="97" t="s">
        <v>421</v>
      </c>
      <c r="X231" s="66"/>
      <c r="Y231" s="94" t="str">
        <f>HYPERLINK("https://pbs.twimg.com/profile_images/1078408329045725184/ix0-gmNx_normal.jpg")</f>
        <v>https://pbs.twimg.com/profile_images/1078408329045725184/ix0-gmNx_normal.jpg</v>
      </c>
      <c r="Z231" s="91">
        <v>44877.4083912037</v>
      </c>
      <c r="AA231" s="100">
        <v>44877</v>
      </c>
      <c r="AB231" s="97" t="s">
        <v>552</v>
      </c>
      <c r="AC231" s="94" t="str">
        <f>HYPERLINK("https://twitter.com/cordeiro/status/1591367218343837696")</f>
        <v>https://twitter.com/cordeiro/status/1591367218343837696</v>
      </c>
      <c r="AD231" s="66"/>
      <c r="AE231" s="66"/>
      <c r="AF231" s="97" t="s">
        <v>688</v>
      </c>
      <c r="AG231" s="66"/>
      <c r="AH231" s="66" t="b">
        <v>0</v>
      </c>
      <c r="AI231" s="66">
        <v>1</v>
      </c>
      <c r="AJ231" s="97" t="s">
        <v>712</v>
      </c>
      <c r="AK231" s="66" t="b">
        <v>0</v>
      </c>
      <c r="AL231" s="66" t="s">
        <v>715</v>
      </c>
      <c r="AM231" s="66"/>
      <c r="AN231" s="97" t="s">
        <v>712</v>
      </c>
      <c r="AO231" s="66" t="b">
        <v>0</v>
      </c>
      <c r="AP231" s="66">
        <v>0</v>
      </c>
      <c r="AQ231" s="97" t="s">
        <v>712</v>
      </c>
      <c r="AR231" s="97" t="s">
        <v>723</v>
      </c>
      <c r="AS231" s="66" t="b">
        <v>0</v>
      </c>
      <c r="AT231" s="97" t="s">
        <v>688</v>
      </c>
      <c r="AU231" s="66" t="s">
        <v>241</v>
      </c>
      <c r="AV231" s="66">
        <v>0</v>
      </c>
      <c r="AW231" s="66">
        <v>0</v>
      </c>
      <c r="AX231" s="66"/>
      <c r="AY231" s="66"/>
      <c r="AZ231" s="66"/>
      <c r="BA231" s="66"/>
      <c r="BB231" s="66"/>
      <c r="BC231" s="66"/>
      <c r="BD231" s="66"/>
      <c r="BE231" s="66"/>
      <c r="BF231" s="45">
        <v>0</v>
      </c>
      <c r="BG231" s="46">
        <v>0</v>
      </c>
      <c r="BH231" s="45">
        <v>0</v>
      </c>
      <c r="BI231" s="46">
        <v>0</v>
      </c>
      <c r="BJ231" s="45">
        <v>0</v>
      </c>
      <c r="BK231" s="46">
        <v>0</v>
      </c>
      <c r="BL231" s="45">
        <v>12</v>
      </c>
      <c r="BM231" s="46">
        <v>66.66666666666667</v>
      </c>
      <c r="BN231" s="45">
        <v>18</v>
      </c>
    </row>
    <row r="232" spans="1:66" ht="15">
      <c r="A232" s="62" t="s">
        <v>305</v>
      </c>
      <c r="B232" s="62" t="s">
        <v>305</v>
      </c>
      <c r="C232" s="64" t="s">
        <v>1510</v>
      </c>
      <c r="D232" s="67">
        <v>10</v>
      </c>
      <c r="E232" s="68" t="s">
        <v>136</v>
      </c>
      <c r="F232" s="69">
        <v>6</v>
      </c>
      <c r="G232" s="64"/>
      <c r="H232" s="70"/>
      <c r="I232" s="71"/>
      <c r="J232" s="71"/>
      <c r="K232" s="31" t="s">
        <v>65</v>
      </c>
      <c r="L232" s="79">
        <v>232</v>
      </c>
      <c r="M232" s="79"/>
      <c r="N232" s="73"/>
      <c r="O232" s="66">
        <v>35</v>
      </c>
      <c r="P232" s="63" t="str">
        <f>REPLACE(INDEX(GroupVertices[Group],MATCH(Edges[[#This Row],[Vertex 1]],GroupVertices[Vertex],0)),1,1,"")</f>
        <v>4</v>
      </c>
      <c r="Q232" s="63" t="str">
        <f>REPLACE(INDEX(GroupVertices[Group],MATCH(Edges[[#This Row],[Vertex 2]],GroupVertices[Vertex],0)),1,1,"")</f>
        <v>4</v>
      </c>
      <c r="R232" s="66" t="s">
        <v>241</v>
      </c>
      <c r="S232" s="91">
        <v>44877.4353587963</v>
      </c>
      <c r="T232" s="66" t="s">
        <v>353</v>
      </c>
      <c r="U232" s="94" t="str">
        <f>HYPERLINK("https://www.levante-emv.com/tendencias21/2022/11/12/cumbre-cientifica-inmortalidad-madrid-78418464.html")</f>
        <v>https://www.levante-emv.com/tendencias21/2022/11/12/cumbre-cientifica-inmortalidad-madrid-78418464.html</v>
      </c>
      <c r="V232" s="66" t="s">
        <v>409</v>
      </c>
      <c r="W232" s="97" t="s">
        <v>426</v>
      </c>
      <c r="X232" s="66"/>
      <c r="Y232" s="94" t="str">
        <f>HYPERLINK("https://pbs.twimg.com/profile_images/1078408329045725184/ix0-gmNx_normal.jpg")</f>
        <v>https://pbs.twimg.com/profile_images/1078408329045725184/ix0-gmNx_normal.jpg</v>
      </c>
      <c r="Z232" s="91">
        <v>44877.4353587963</v>
      </c>
      <c r="AA232" s="100">
        <v>44877</v>
      </c>
      <c r="AB232" s="97" t="s">
        <v>553</v>
      </c>
      <c r="AC232" s="94" t="str">
        <f>HYPERLINK("https://twitter.com/cordeiro/status/1591376992108150785")</f>
        <v>https://twitter.com/cordeiro/status/1591376992108150785</v>
      </c>
      <c r="AD232" s="66"/>
      <c r="AE232" s="66"/>
      <c r="AF232" s="97" t="s">
        <v>689</v>
      </c>
      <c r="AG232" s="66"/>
      <c r="AH232" s="66" t="b">
        <v>0</v>
      </c>
      <c r="AI232" s="66">
        <v>1</v>
      </c>
      <c r="AJ232" s="97" t="s">
        <v>712</v>
      </c>
      <c r="AK232" s="66" t="b">
        <v>0</v>
      </c>
      <c r="AL232" s="66" t="s">
        <v>715</v>
      </c>
      <c r="AM232" s="66"/>
      <c r="AN232" s="97" t="s">
        <v>712</v>
      </c>
      <c r="AO232" s="66" t="b">
        <v>0</v>
      </c>
      <c r="AP232" s="66">
        <v>1</v>
      </c>
      <c r="AQ232" s="97" t="s">
        <v>712</v>
      </c>
      <c r="AR232" s="97" t="s">
        <v>723</v>
      </c>
      <c r="AS232" s="66" t="b">
        <v>0</v>
      </c>
      <c r="AT232" s="97" t="s">
        <v>689</v>
      </c>
      <c r="AU232" s="66" t="s">
        <v>241</v>
      </c>
      <c r="AV232" s="66">
        <v>0</v>
      </c>
      <c r="AW232" s="66">
        <v>0</v>
      </c>
      <c r="AX232" s="66"/>
      <c r="AY232" s="66"/>
      <c r="AZ232" s="66"/>
      <c r="BA232" s="66"/>
      <c r="BB232" s="66"/>
      <c r="BC232" s="66"/>
      <c r="BD232" s="66"/>
      <c r="BE232" s="66"/>
      <c r="BF232" s="45">
        <v>0</v>
      </c>
      <c r="BG232" s="46">
        <v>0</v>
      </c>
      <c r="BH232" s="45">
        <v>0</v>
      </c>
      <c r="BI232" s="46">
        <v>0</v>
      </c>
      <c r="BJ232" s="45">
        <v>0</v>
      </c>
      <c r="BK232" s="46">
        <v>0</v>
      </c>
      <c r="BL232" s="45">
        <v>22</v>
      </c>
      <c r="BM232" s="46">
        <v>66.66666666666667</v>
      </c>
      <c r="BN232" s="45">
        <v>33</v>
      </c>
    </row>
    <row r="233" spans="1:66" ht="15">
      <c r="A233" s="62" t="s">
        <v>305</v>
      </c>
      <c r="B233" s="62" t="s">
        <v>305</v>
      </c>
      <c r="C233" s="64" t="s">
        <v>1510</v>
      </c>
      <c r="D233" s="67">
        <v>10</v>
      </c>
      <c r="E233" s="68" t="s">
        <v>136</v>
      </c>
      <c r="F233" s="69">
        <v>6</v>
      </c>
      <c r="G233" s="64"/>
      <c r="H233" s="70"/>
      <c r="I233" s="71"/>
      <c r="J233" s="71"/>
      <c r="K233" s="31" t="s">
        <v>65</v>
      </c>
      <c r="L233" s="79">
        <v>233</v>
      </c>
      <c r="M233" s="79"/>
      <c r="N233" s="73"/>
      <c r="O233" s="66">
        <v>35</v>
      </c>
      <c r="P233" s="63" t="str">
        <f>REPLACE(INDEX(GroupVertices[Group],MATCH(Edges[[#This Row],[Vertex 1]],GroupVertices[Vertex],0)),1,1,"")</f>
        <v>4</v>
      </c>
      <c r="Q233" s="63" t="str">
        <f>REPLACE(INDEX(GroupVertices[Group],MATCH(Edges[[#This Row],[Vertex 2]],GroupVertices[Vertex],0)),1,1,"")</f>
        <v>4</v>
      </c>
      <c r="R233" s="66" t="s">
        <v>241</v>
      </c>
      <c r="S233" s="91">
        <v>44877.44278935185</v>
      </c>
      <c r="T233" s="66" t="s">
        <v>323</v>
      </c>
      <c r="U233" s="66" t="s">
        <v>393</v>
      </c>
      <c r="V233" s="66" t="s">
        <v>405</v>
      </c>
      <c r="W233" s="97" t="s">
        <v>426</v>
      </c>
      <c r="X233" s="66"/>
      <c r="Y233" s="94" t="str">
        <f>HYPERLINK("https://pbs.twimg.com/profile_images/1078408329045725184/ix0-gmNx_normal.jpg")</f>
        <v>https://pbs.twimg.com/profile_images/1078408329045725184/ix0-gmNx_normal.jpg</v>
      </c>
      <c r="Z233" s="91">
        <v>44877.44278935185</v>
      </c>
      <c r="AA233" s="100">
        <v>44877</v>
      </c>
      <c r="AB233" s="97" t="s">
        <v>554</v>
      </c>
      <c r="AC233" s="94" t="str">
        <f>HYPERLINK("https://twitter.com/cordeiro/status/1591379681969725441")</f>
        <v>https://twitter.com/cordeiro/status/1591379681969725441</v>
      </c>
      <c r="AD233" s="66"/>
      <c r="AE233" s="66"/>
      <c r="AF233" s="97" t="s">
        <v>690</v>
      </c>
      <c r="AG233" s="66"/>
      <c r="AH233" s="66" t="b">
        <v>0</v>
      </c>
      <c r="AI233" s="66">
        <v>1</v>
      </c>
      <c r="AJ233" s="97" t="s">
        <v>712</v>
      </c>
      <c r="AK233" s="66" t="b">
        <v>0</v>
      </c>
      <c r="AL233" s="66" t="s">
        <v>715</v>
      </c>
      <c r="AM233" s="66"/>
      <c r="AN233" s="97" t="s">
        <v>712</v>
      </c>
      <c r="AO233" s="66" t="b">
        <v>0</v>
      </c>
      <c r="AP233" s="66">
        <v>1</v>
      </c>
      <c r="AQ233" s="97" t="s">
        <v>712</v>
      </c>
      <c r="AR233" s="97" t="s">
        <v>723</v>
      </c>
      <c r="AS233" s="66" t="b">
        <v>0</v>
      </c>
      <c r="AT233" s="97" t="s">
        <v>690</v>
      </c>
      <c r="AU233" s="66" t="s">
        <v>241</v>
      </c>
      <c r="AV233" s="66">
        <v>0</v>
      </c>
      <c r="AW233" s="66">
        <v>0</v>
      </c>
      <c r="AX233" s="66"/>
      <c r="AY233" s="66"/>
      <c r="AZ233" s="66"/>
      <c r="BA233" s="66"/>
      <c r="BB233" s="66"/>
      <c r="BC233" s="66"/>
      <c r="BD233" s="66"/>
      <c r="BE233" s="66"/>
      <c r="BF233" s="45">
        <v>0</v>
      </c>
      <c r="BG233" s="46">
        <v>0</v>
      </c>
      <c r="BH233" s="45">
        <v>0</v>
      </c>
      <c r="BI233" s="46">
        <v>0</v>
      </c>
      <c r="BJ233" s="45">
        <v>0</v>
      </c>
      <c r="BK233" s="46">
        <v>0</v>
      </c>
      <c r="BL233" s="45">
        <v>24</v>
      </c>
      <c r="BM233" s="46">
        <v>68.57142857142857</v>
      </c>
      <c r="BN233" s="45">
        <v>35</v>
      </c>
    </row>
    <row r="234" spans="1:66" ht="15">
      <c r="A234" s="62" t="s">
        <v>305</v>
      </c>
      <c r="B234" s="62" t="s">
        <v>305</v>
      </c>
      <c r="C234" s="64" t="s">
        <v>1510</v>
      </c>
      <c r="D234" s="67">
        <v>10</v>
      </c>
      <c r="E234" s="68" t="s">
        <v>136</v>
      </c>
      <c r="F234" s="69">
        <v>6</v>
      </c>
      <c r="G234" s="64"/>
      <c r="H234" s="70"/>
      <c r="I234" s="71"/>
      <c r="J234" s="71"/>
      <c r="K234" s="31" t="s">
        <v>65</v>
      </c>
      <c r="L234" s="79">
        <v>234</v>
      </c>
      <c r="M234" s="79"/>
      <c r="N234" s="73"/>
      <c r="O234" s="66">
        <v>35</v>
      </c>
      <c r="P234" s="63" t="str">
        <f>REPLACE(INDEX(GroupVertices[Group],MATCH(Edges[[#This Row],[Vertex 1]],GroupVertices[Vertex],0)),1,1,"")</f>
        <v>4</v>
      </c>
      <c r="Q234" s="63" t="str">
        <f>REPLACE(INDEX(GroupVertices[Group],MATCH(Edges[[#This Row],[Vertex 2]],GroupVertices[Vertex],0)),1,1,"")</f>
        <v>4</v>
      </c>
      <c r="R234" s="66" t="s">
        <v>241</v>
      </c>
      <c r="S234" s="91">
        <v>44877.58076388889</v>
      </c>
      <c r="T234" s="66" t="s">
        <v>378</v>
      </c>
      <c r="U234" s="94" t="str">
        <f>HYPERLINK("https://youtu.be/erkbGlWtX3Q")</f>
        <v>https://youtu.be/erkbGlWtX3Q</v>
      </c>
      <c r="V234" s="66" t="s">
        <v>406</v>
      </c>
      <c r="W234" s="97" t="s">
        <v>423</v>
      </c>
      <c r="X234" s="66"/>
      <c r="Y234" s="94" t="str">
        <f>HYPERLINK("https://pbs.twimg.com/profile_images/1078408329045725184/ix0-gmNx_normal.jpg")</f>
        <v>https://pbs.twimg.com/profile_images/1078408329045725184/ix0-gmNx_normal.jpg</v>
      </c>
      <c r="Z234" s="91">
        <v>44877.58076388889</v>
      </c>
      <c r="AA234" s="100">
        <v>44877</v>
      </c>
      <c r="AB234" s="97" t="s">
        <v>555</v>
      </c>
      <c r="AC234" s="94" t="str">
        <f>HYPERLINK("https://twitter.com/cordeiro/status/1591429682032844800")</f>
        <v>https://twitter.com/cordeiro/status/1591429682032844800</v>
      </c>
      <c r="AD234" s="66"/>
      <c r="AE234" s="66"/>
      <c r="AF234" s="97" t="s">
        <v>691</v>
      </c>
      <c r="AG234" s="66"/>
      <c r="AH234" s="66" t="b">
        <v>0</v>
      </c>
      <c r="AI234" s="66">
        <v>0</v>
      </c>
      <c r="AJ234" s="97" t="s">
        <v>712</v>
      </c>
      <c r="AK234" s="66" t="b">
        <v>0</v>
      </c>
      <c r="AL234" s="66" t="s">
        <v>715</v>
      </c>
      <c r="AM234" s="66"/>
      <c r="AN234" s="97" t="s">
        <v>712</v>
      </c>
      <c r="AO234" s="66" t="b">
        <v>0</v>
      </c>
      <c r="AP234" s="66">
        <v>0</v>
      </c>
      <c r="AQ234" s="97" t="s">
        <v>712</v>
      </c>
      <c r="AR234" s="97" t="s">
        <v>723</v>
      </c>
      <c r="AS234" s="66" t="b">
        <v>0</v>
      </c>
      <c r="AT234" s="97" t="s">
        <v>691</v>
      </c>
      <c r="AU234" s="66" t="s">
        <v>241</v>
      </c>
      <c r="AV234" s="66">
        <v>0</v>
      </c>
      <c r="AW234" s="66">
        <v>0</v>
      </c>
      <c r="AX234" s="66"/>
      <c r="AY234" s="66"/>
      <c r="AZ234" s="66"/>
      <c r="BA234" s="66"/>
      <c r="BB234" s="66"/>
      <c r="BC234" s="66"/>
      <c r="BD234" s="66"/>
      <c r="BE234" s="66"/>
      <c r="BF234" s="45">
        <v>0</v>
      </c>
      <c r="BG234" s="46">
        <v>0</v>
      </c>
      <c r="BH234" s="45">
        <v>0</v>
      </c>
      <c r="BI234" s="46">
        <v>0</v>
      </c>
      <c r="BJ234" s="45">
        <v>0</v>
      </c>
      <c r="BK234" s="46">
        <v>0</v>
      </c>
      <c r="BL234" s="45">
        <v>7</v>
      </c>
      <c r="BM234" s="46">
        <v>70</v>
      </c>
      <c r="BN234" s="45">
        <v>10</v>
      </c>
    </row>
    <row r="235" spans="1:66" ht="15">
      <c r="A235" s="62" t="s">
        <v>305</v>
      </c>
      <c r="B235" s="62" t="s">
        <v>305</v>
      </c>
      <c r="C235" s="64" t="s">
        <v>1510</v>
      </c>
      <c r="D235" s="67">
        <v>10</v>
      </c>
      <c r="E235" s="68" t="s">
        <v>136</v>
      </c>
      <c r="F235" s="69">
        <v>6</v>
      </c>
      <c r="G235" s="64"/>
      <c r="H235" s="70"/>
      <c r="I235" s="71"/>
      <c r="J235" s="71"/>
      <c r="K235" s="31" t="s">
        <v>65</v>
      </c>
      <c r="L235" s="79">
        <v>235</v>
      </c>
      <c r="M235" s="79"/>
      <c r="N235" s="73"/>
      <c r="O235" s="66">
        <v>35</v>
      </c>
      <c r="P235" s="63" t="str">
        <f>REPLACE(INDEX(GroupVertices[Group],MATCH(Edges[[#This Row],[Vertex 1]],GroupVertices[Vertex],0)),1,1,"")</f>
        <v>4</v>
      </c>
      <c r="Q235" s="63" t="str">
        <f>REPLACE(INDEX(GroupVertices[Group],MATCH(Edges[[#This Row],[Vertex 2]],GroupVertices[Vertex],0)),1,1,"")</f>
        <v>4</v>
      </c>
      <c r="R235" s="66" t="s">
        <v>241</v>
      </c>
      <c r="S235" s="91">
        <v>44877.594560185185</v>
      </c>
      <c r="T235" s="66" t="s">
        <v>379</v>
      </c>
      <c r="U235" s="94" t="str">
        <f>HYPERLINK("https://www.linkedin.com/feed/update/urn:li:ugcPost:6997200272817041408")</f>
        <v>https://www.linkedin.com/feed/update/urn:li:ugcPost:6997200272817041408</v>
      </c>
      <c r="V235" s="66" t="s">
        <v>417</v>
      </c>
      <c r="W235" s="97" t="s">
        <v>421</v>
      </c>
      <c r="X235" s="66"/>
      <c r="Y235" s="94" t="str">
        <f>HYPERLINK("https://pbs.twimg.com/profile_images/1078408329045725184/ix0-gmNx_normal.jpg")</f>
        <v>https://pbs.twimg.com/profile_images/1078408329045725184/ix0-gmNx_normal.jpg</v>
      </c>
      <c r="Z235" s="91">
        <v>44877.594560185185</v>
      </c>
      <c r="AA235" s="100">
        <v>44877</v>
      </c>
      <c r="AB235" s="97" t="s">
        <v>556</v>
      </c>
      <c r="AC235" s="94" t="str">
        <f>HYPERLINK("https://twitter.com/cordeiro/status/1591434683262418946")</f>
        <v>https://twitter.com/cordeiro/status/1591434683262418946</v>
      </c>
      <c r="AD235" s="66"/>
      <c r="AE235" s="66"/>
      <c r="AF235" s="97" t="s">
        <v>692</v>
      </c>
      <c r="AG235" s="66"/>
      <c r="AH235" s="66" t="b">
        <v>0</v>
      </c>
      <c r="AI235" s="66">
        <v>1</v>
      </c>
      <c r="AJ235" s="97" t="s">
        <v>712</v>
      </c>
      <c r="AK235" s="66" t="b">
        <v>0</v>
      </c>
      <c r="AL235" s="66" t="s">
        <v>714</v>
      </c>
      <c r="AM235" s="66"/>
      <c r="AN235" s="97" t="s">
        <v>712</v>
      </c>
      <c r="AO235" s="66" t="b">
        <v>0</v>
      </c>
      <c r="AP235" s="66">
        <v>0</v>
      </c>
      <c r="AQ235" s="97" t="s">
        <v>712</v>
      </c>
      <c r="AR235" s="97" t="s">
        <v>723</v>
      </c>
      <c r="AS235" s="66" t="b">
        <v>0</v>
      </c>
      <c r="AT235" s="97" t="s">
        <v>692</v>
      </c>
      <c r="AU235" s="66" t="s">
        <v>241</v>
      </c>
      <c r="AV235" s="66">
        <v>0</v>
      </c>
      <c r="AW235" s="66">
        <v>0</v>
      </c>
      <c r="AX235" s="66"/>
      <c r="AY235" s="66"/>
      <c r="AZ235" s="66"/>
      <c r="BA235" s="66"/>
      <c r="BB235" s="66"/>
      <c r="BC235" s="66"/>
      <c r="BD235" s="66"/>
      <c r="BE235" s="66"/>
      <c r="BF235" s="45">
        <v>0</v>
      </c>
      <c r="BG235" s="46">
        <v>0</v>
      </c>
      <c r="BH235" s="45">
        <v>0</v>
      </c>
      <c r="BI235" s="46">
        <v>0</v>
      </c>
      <c r="BJ235" s="45">
        <v>0</v>
      </c>
      <c r="BK235" s="46">
        <v>0</v>
      </c>
      <c r="BL235" s="45">
        <v>20</v>
      </c>
      <c r="BM235" s="46">
        <v>60.60606060606061</v>
      </c>
      <c r="BN235" s="45">
        <v>33</v>
      </c>
    </row>
    <row r="236" spans="1:66" ht="15">
      <c r="A236" s="62" t="s">
        <v>305</v>
      </c>
      <c r="B236" s="62" t="s">
        <v>305</v>
      </c>
      <c r="C236" s="64" t="s">
        <v>1510</v>
      </c>
      <c r="D236" s="67">
        <v>10</v>
      </c>
      <c r="E236" s="68" t="s">
        <v>136</v>
      </c>
      <c r="F236" s="69">
        <v>6</v>
      </c>
      <c r="G236" s="64"/>
      <c r="H236" s="70"/>
      <c r="I236" s="71"/>
      <c r="J236" s="71"/>
      <c r="K236" s="31" t="s">
        <v>65</v>
      </c>
      <c r="L236" s="79">
        <v>236</v>
      </c>
      <c r="M236" s="79"/>
      <c r="N236" s="73"/>
      <c r="O236" s="66">
        <v>35</v>
      </c>
      <c r="P236" s="63" t="str">
        <f>REPLACE(INDEX(GroupVertices[Group],MATCH(Edges[[#This Row],[Vertex 1]],GroupVertices[Vertex],0)),1,1,"")</f>
        <v>4</v>
      </c>
      <c r="Q236" s="63" t="str">
        <f>REPLACE(INDEX(GroupVertices[Group],MATCH(Edges[[#This Row],[Vertex 2]],GroupVertices[Vertex],0)),1,1,"")</f>
        <v>4</v>
      </c>
      <c r="R236" s="66" t="s">
        <v>241</v>
      </c>
      <c r="S236" s="91">
        <v>44877.60165509259</v>
      </c>
      <c r="T236" s="66" t="s">
        <v>343</v>
      </c>
      <c r="U236" s="66" t="s">
        <v>399</v>
      </c>
      <c r="V236" s="66" t="s">
        <v>412</v>
      </c>
      <c r="W236" s="97" t="s">
        <v>427</v>
      </c>
      <c r="X236" s="66"/>
      <c r="Y236" s="94" t="str">
        <f>HYPERLINK("https://pbs.twimg.com/profile_images/1078408329045725184/ix0-gmNx_normal.jpg")</f>
        <v>https://pbs.twimg.com/profile_images/1078408329045725184/ix0-gmNx_normal.jpg</v>
      </c>
      <c r="Z236" s="91">
        <v>44877.60165509259</v>
      </c>
      <c r="AA236" s="100">
        <v>44877</v>
      </c>
      <c r="AB236" s="97" t="s">
        <v>557</v>
      </c>
      <c r="AC236" s="94" t="str">
        <f>HYPERLINK("https://twitter.com/cordeiro/status/1591437256136466433")</f>
        <v>https://twitter.com/cordeiro/status/1591437256136466433</v>
      </c>
      <c r="AD236" s="66"/>
      <c r="AE236" s="66"/>
      <c r="AF236" s="97" t="s">
        <v>693</v>
      </c>
      <c r="AG236" s="66"/>
      <c r="AH236" s="66" t="b">
        <v>0</v>
      </c>
      <c r="AI236" s="66">
        <v>1</v>
      </c>
      <c r="AJ236" s="97" t="s">
        <v>712</v>
      </c>
      <c r="AK236" s="66" t="b">
        <v>0</v>
      </c>
      <c r="AL236" s="66" t="s">
        <v>714</v>
      </c>
      <c r="AM236" s="66"/>
      <c r="AN236" s="97" t="s">
        <v>712</v>
      </c>
      <c r="AO236" s="66" t="b">
        <v>0</v>
      </c>
      <c r="AP236" s="66">
        <v>1</v>
      </c>
      <c r="AQ236" s="97" t="s">
        <v>712</v>
      </c>
      <c r="AR236" s="97" t="s">
        <v>723</v>
      </c>
      <c r="AS236" s="66" t="b">
        <v>0</v>
      </c>
      <c r="AT236" s="97" t="s">
        <v>693</v>
      </c>
      <c r="AU236" s="66" t="s">
        <v>241</v>
      </c>
      <c r="AV236" s="66">
        <v>0</v>
      </c>
      <c r="AW236" s="66">
        <v>0</v>
      </c>
      <c r="AX236" s="66"/>
      <c r="AY236" s="66"/>
      <c r="AZ236" s="66"/>
      <c r="BA236" s="66"/>
      <c r="BB236" s="66"/>
      <c r="BC236" s="66"/>
      <c r="BD236" s="66"/>
      <c r="BE236" s="66"/>
      <c r="BF236" s="45">
        <v>0</v>
      </c>
      <c r="BG236" s="46">
        <v>0</v>
      </c>
      <c r="BH236" s="45">
        <v>0</v>
      </c>
      <c r="BI236" s="46">
        <v>0</v>
      </c>
      <c r="BJ236" s="45">
        <v>0</v>
      </c>
      <c r="BK236" s="46">
        <v>0</v>
      </c>
      <c r="BL236" s="45">
        <v>8</v>
      </c>
      <c r="BM236" s="46">
        <v>80</v>
      </c>
      <c r="BN236" s="45">
        <v>10</v>
      </c>
    </row>
    <row r="237" spans="1:66" ht="15">
      <c r="A237" s="62" t="s">
        <v>305</v>
      </c>
      <c r="B237" s="62" t="s">
        <v>305</v>
      </c>
      <c r="C237" s="64" t="s">
        <v>1510</v>
      </c>
      <c r="D237" s="67">
        <v>10</v>
      </c>
      <c r="E237" s="68" t="s">
        <v>136</v>
      </c>
      <c r="F237" s="69">
        <v>6</v>
      </c>
      <c r="G237" s="64"/>
      <c r="H237" s="70"/>
      <c r="I237" s="71"/>
      <c r="J237" s="71"/>
      <c r="K237" s="31" t="s">
        <v>65</v>
      </c>
      <c r="L237" s="79">
        <v>237</v>
      </c>
      <c r="M237" s="79"/>
      <c r="N237" s="73"/>
      <c r="O237" s="66">
        <v>35</v>
      </c>
      <c r="P237" s="63" t="str">
        <f>REPLACE(INDEX(GroupVertices[Group],MATCH(Edges[[#This Row],[Vertex 1]],GroupVertices[Vertex],0)),1,1,"")</f>
        <v>4</v>
      </c>
      <c r="Q237" s="63" t="str">
        <f>REPLACE(INDEX(GroupVertices[Group],MATCH(Edges[[#This Row],[Vertex 2]],GroupVertices[Vertex],0)),1,1,"")</f>
        <v>4</v>
      </c>
      <c r="R237" s="66" t="s">
        <v>241</v>
      </c>
      <c r="S237" s="91">
        <v>44877.70642361111</v>
      </c>
      <c r="T237" s="66" t="s">
        <v>380</v>
      </c>
      <c r="U237" s="94" t="str">
        <f>HYPERLINK("http://transvisionmadrid.com")</f>
        <v>http://transvisionmadrid.com</v>
      </c>
      <c r="V237" s="66" t="s">
        <v>407</v>
      </c>
      <c r="W237" s="97" t="s">
        <v>428</v>
      </c>
      <c r="X237" s="94" t="str">
        <f>HYPERLINK("https://pbs.twimg.com/media/FhYOR1_XoAEojoe.jpg")</f>
        <v>https://pbs.twimg.com/media/FhYOR1_XoAEojoe.jpg</v>
      </c>
      <c r="Y237" s="94" t="str">
        <f>HYPERLINK("https://pbs.twimg.com/media/FhYOR1_XoAEojoe.jpg")</f>
        <v>https://pbs.twimg.com/media/FhYOR1_XoAEojoe.jpg</v>
      </c>
      <c r="Z237" s="91">
        <v>44877.70642361111</v>
      </c>
      <c r="AA237" s="100">
        <v>44877</v>
      </c>
      <c r="AB237" s="97" t="s">
        <v>558</v>
      </c>
      <c r="AC237" s="94" t="str">
        <f>HYPERLINK("https://twitter.com/cordeiro/status/1591475222775054336")</f>
        <v>https://twitter.com/cordeiro/status/1591475222775054336</v>
      </c>
      <c r="AD237" s="66"/>
      <c r="AE237" s="66"/>
      <c r="AF237" s="97" t="s">
        <v>694</v>
      </c>
      <c r="AG237" s="66"/>
      <c r="AH237" s="66" t="b">
        <v>0</v>
      </c>
      <c r="AI237" s="66">
        <v>0</v>
      </c>
      <c r="AJ237" s="97" t="s">
        <v>712</v>
      </c>
      <c r="AK237" s="66" t="b">
        <v>0</v>
      </c>
      <c r="AL237" s="66" t="s">
        <v>714</v>
      </c>
      <c r="AM237" s="66"/>
      <c r="AN237" s="97" t="s">
        <v>712</v>
      </c>
      <c r="AO237" s="66" t="b">
        <v>0</v>
      </c>
      <c r="AP237" s="66">
        <v>0</v>
      </c>
      <c r="AQ237" s="97" t="s">
        <v>712</v>
      </c>
      <c r="AR237" s="97" t="s">
        <v>724</v>
      </c>
      <c r="AS237" s="66" t="b">
        <v>0</v>
      </c>
      <c r="AT237" s="97" t="s">
        <v>694</v>
      </c>
      <c r="AU237" s="66" t="s">
        <v>241</v>
      </c>
      <c r="AV237" s="66">
        <v>0</v>
      </c>
      <c r="AW237" s="66">
        <v>0</v>
      </c>
      <c r="AX237" s="66"/>
      <c r="AY237" s="66"/>
      <c r="AZ237" s="66"/>
      <c r="BA237" s="66"/>
      <c r="BB237" s="66"/>
      <c r="BC237" s="66"/>
      <c r="BD237" s="66"/>
      <c r="BE237" s="66"/>
      <c r="BF237" s="45">
        <v>0</v>
      </c>
      <c r="BG237" s="46">
        <v>0</v>
      </c>
      <c r="BH237" s="45">
        <v>0</v>
      </c>
      <c r="BI237" s="46">
        <v>0</v>
      </c>
      <c r="BJ237" s="45">
        <v>0</v>
      </c>
      <c r="BK237" s="46">
        <v>0</v>
      </c>
      <c r="BL237" s="45">
        <v>16</v>
      </c>
      <c r="BM237" s="46">
        <v>84.21052631578948</v>
      </c>
      <c r="BN237" s="45">
        <v>19</v>
      </c>
    </row>
    <row r="238" spans="1:66" ht="15">
      <c r="A238" s="62" t="s">
        <v>305</v>
      </c>
      <c r="B238" s="62" t="s">
        <v>305</v>
      </c>
      <c r="C238" s="64" t="s">
        <v>1510</v>
      </c>
      <c r="D238" s="67">
        <v>10</v>
      </c>
      <c r="E238" s="68" t="s">
        <v>136</v>
      </c>
      <c r="F238" s="69">
        <v>6</v>
      </c>
      <c r="G238" s="64"/>
      <c r="H238" s="70"/>
      <c r="I238" s="71"/>
      <c r="J238" s="71"/>
      <c r="K238" s="31" t="s">
        <v>65</v>
      </c>
      <c r="L238" s="79">
        <v>238</v>
      </c>
      <c r="M238" s="79"/>
      <c r="N238" s="73"/>
      <c r="O238" s="66">
        <v>35</v>
      </c>
      <c r="P238" s="63" t="str">
        <f>REPLACE(INDEX(GroupVertices[Group],MATCH(Edges[[#This Row],[Vertex 1]],GroupVertices[Vertex],0)),1,1,"")</f>
        <v>4</v>
      </c>
      <c r="Q238" s="63" t="str">
        <f>REPLACE(INDEX(GroupVertices[Group],MATCH(Edges[[#This Row],[Vertex 2]],GroupVertices[Vertex],0)),1,1,"")</f>
        <v>4</v>
      </c>
      <c r="R238" s="66" t="s">
        <v>241</v>
      </c>
      <c r="S238" s="91">
        <v>44877.88282407408</v>
      </c>
      <c r="T238" s="66" t="s">
        <v>381</v>
      </c>
      <c r="U238" s="94" t="str">
        <f>HYPERLINK("http://transvisionmadrid.com")</f>
        <v>http://transvisionmadrid.com</v>
      </c>
      <c r="V238" s="66" t="s">
        <v>407</v>
      </c>
      <c r="W238" s="97" t="s">
        <v>428</v>
      </c>
      <c r="X238" s="94" t="str">
        <f>HYPERLINK("https://pbs.twimg.com/media/FhZIamdWQAE6U1B.jpg")</f>
        <v>https://pbs.twimg.com/media/FhZIamdWQAE6U1B.jpg</v>
      </c>
      <c r="Y238" s="94" t="str">
        <f>HYPERLINK("https://pbs.twimg.com/media/FhZIamdWQAE6U1B.jpg")</f>
        <v>https://pbs.twimg.com/media/FhZIamdWQAE6U1B.jpg</v>
      </c>
      <c r="Z238" s="91">
        <v>44877.88282407408</v>
      </c>
      <c r="AA238" s="100">
        <v>44877</v>
      </c>
      <c r="AB238" s="97" t="s">
        <v>559</v>
      </c>
      <c r="AC238" s="94" t="str">
        <f>HYPERLINK("https://twitter.com/cordeiro/status/1591539144416698368")</f>
        <v>https://twitter.com/cordeiro/status/1591539144416698368</v>
      </c>
      <c r="AD238" s="66"/>
      <c r="AE238" s="66"/>
      <c r="AF238" s="97" t="s">
        <v>695</v>
      </c>
      <c r="AG238" s="66"/>
      <c r="AH238" s="66" t="b">
        <v>0</v>
      </c>
      <c r="AI238" s="66">
        <v>0</v>
      </c>
      <c r="AJ238" s="97" t="s">
        <v>712</v>
      </c>
      <c r="AK238" s="66" t="b">
        <v>0</v>
      </c>
      <c r="AL238" s="66" t="s">
        <v>714</v>
      </c>
      <c r="AM238" s="66"/>
      <c r="AN238" s="97" t="s">
        <v>712</v>
      </c>
      <c r="AO238" s="66" t="b">
        <v>0</v>
      </c>
      <c r="AP238" s="66">
        <v>0</v>
      </c>
      <c r="AQ238" s="97" t="s">
        <v>712</v>
      </c>
      <c r="AR238" s="97" t="s">
        <v>724</v>
      </c>
      <c r="AS238" s="66" t="b">
        <v>0</v>
      </c>
      <c r="AT238" s="97" t="s">
        <v>695</v>
      </c>
      <c r="AU238" s="66" t="s">
        <v>241</v>
      </c>
      <c r="AV238" s="66">
        <v>0</v>
      </c>
      <c r="AW238" s="66">
        <v>0</v>
      </c>
      <c r="AX238" s="66"/>
      <c r="AY238" s="66"/>
      <c r="AZ238" s="66"/>
      <c r="BA238" s="66"/>
      <c r="BB238" s="66"/>
      <c r="BC238" s="66"/>
      <c r="BD238" s="66"/>
      <c r="BE238" s="66"/>
      <c r="BF238" s="45">
        <v>0</v>
      </c>
      <c r="BG238" s="46">
        <v>0</v>
      </c>
      <c r="BH238" s="45">
        <v>0</v>
      </c>
      <c r="BI238" s="46">
        <v>0</v>
      </c>
      <c r="BJ238" s="45">
        <v>0</v>
      </c>
      <c r="BK238" s="46">
        <v>0</v>
      </c>
      <c r="BL238" s="45">
        <v>16</v>
      </c>
      <c r="BM238" s="46">
        <v>84.21052631578948</v>
      </c>
      <c r="BN238" s="45">
        <v>19</v>
      </c>
    </row>
    <row r="239" spans="1:66" ht="15">
      <c r="A239" s="62" t="s">
        <v>305</v>
      </c>
      <c r="B239" s="62" t="s">
        <v>305</v>
      </c>
      <c r="C239" s="64" t="s">
        <v>1510</v>
      </c>
      <c r="D239" s="67">
        <v>10</v>
      </c>
      <c r="E239" s="68" t="s">
        <v>136</v>
      </c>
      <c r="F239" s="69">
        <v>6</v>
      </c>
      <c r="G239" s="64"/>
      <c r="H239" s="70"/>
      <c r="I239" s="71"/>
      <c r="J239" s="71"/>
      <c r="K239" s="31" t="s">
        <v>65</v>
      </c>
      <c r="L239" s="79">
        <v>239</v>
      </c>
      <c r="M239" s="79"/>
      <c r="N239" s="73"/>
      <c r="O239" s="66">
        <v>35</v>
      </c>
      <c r="P239" s="63" t="str">
        <f>REPLACE(INDEX(GroupVertices[Group],MATCH(Edges[[#This Row],[Vertex 1]],GroupVertices[Vertex],0)),1,1,"")</f>
        <v>4</v>
      </c>
      <c r="Q239" s="63" t="str">
        <f>REPLACE(INDEX(GroupVertices[Group],MATCH(Edges[[#This Row],[Vertex 2]],GroupVertices[Vertex],0)),1,1,"")</f>
        <v>4</v>
      </c>
      <c r="R239" s="66" t="s">
        <v>241</v>
      </c>
      <c r="S239" s="91">
        <v>44878.1890625</v>
      </c>
      <c r="T239" s="66" t="s">
        <v>332</v>
      </c>
      <c r="U239" s="94" t="str">
        <f>HYPERLINK("http://transvisionmadrid.com")</f>
        <v>http://transvisionmadrid.com</v>
      </c>
      <c r="V239" s="66" t="s">
        <v>407</v>
      </c>
      <c r="W239" s="97" t="s">
        <v>428</v>
      </c>
      <c r="X239" s="94" t="str">
        <f>HYPERLINK("https://pbs.twimg.com/media/FhatWb1WAAEOUxn.jpg")</f>
        <v>https://pbs.twimg.com/media/FhatWb1WAAEOUxn.jpg</v>
      </c>
      <c r="Y239" s="94" t="str">
        <f>HYPERLINK("https://pbs.twimg.com/media/FhatWb1WAAEOUxn.jpg")</f>
        <v>https://pbs.twimg.com/media/FhatWb1WAAEOUxn.jpg</v>
      </c>
      <c r="Z239" s="91">
        <v>44878.1890625</v>
      </c>
      <c r="AA239" s="100">
        <v>44878</v>
      </c>
      <c r="AB239" s="97" t="s">
        <v>560</v>
      </c>
      <c r="AC239" s="94" t="str">
        <f>HYPERLINK("https://twitter.com/cordeiro/status/1591650123431419905")</f>
        <v>https://twitter.com/cordeiro/status/1591650123431419905</v>
      </c>
      <c r="AD239" s="66"/>
      <c r="AE239" s="66"/>
      <c r="AF239" s="97" t="s">
        <v>696</v>
      </c>
      <c r="AG239" s="66"/>
      <c r="AH239" s="66" t="b">
        <v>0</v>
      </c>
      <c r="AI239" s="66">
        <v>1</v>
      </c>
      <c r="AJ239" s="97" t="s">
        <v>712</v>
      </c>
      <c r="AK239" s="66" t="b">
        <v>0</v>
      </c>
      <c r="AL239" s="66" t="s">
        <v>714</v>
      </c>
      <c r="AM239" s="66"/>
      <c r="AN239" s="97" t="s">
        <v>712</v>
      </c>
      <c r="AO239" s="66" t="b">
        <v>0</v>
      </c>
      <c r="AP239" s="66">
        <v>1</v>
      </c>
      <c r="AQ239" s="97" t="s">
        <v>712</v>
      </c>
      <c r="AR239" s="97" t="s">
        <v>724</v>
      </c>
      <c r="AS239" s="66" t="b">
        <v>0</v>
      </c>
      <c r="AT239" s="97" t="s">
        <v>696</v>
      </c>
      <c r="AU239" s="66" t="s">
        <v>241</v>
      </c>
      <c r="AV239" s="66">
        <v>0</v>
      </c>
      <c r="AW239" s="66">
        <v>0</v>
      </c>
      <c r="AX239" s="66"/>
      <c r="AY239" s="66"/>
      <c r="AZ239" s="66"/>
      <c r="BA239" s="66"/>
      <c r="BB239" s="66"/>
      <c r="BC239" s="66"/>
      <c r="BD239" s="66"/>
      <c r="BE239" s="66"/>
      <c r="BF239" s="45">
        <v>0</v>
      </c>
      <c r="BG239" s="46">
        <v>0</v>
      </c>
      <c r="BH239" s="45">
        <v>0</v>
      </c>
      <c r="BI239" s="46">
        <v>0</v>
      </c>
      <c r="BJ239" s="45">
        <v>0</v>
      </c>
      <c r="BK239" s="46">
        <v>0</v>
      </c>
      <c r="BL239" s="45">
        <v>16</v>
      </c>
      <c r="BM239" s="46">
        <v>84.21052631578948</v>
      </c>
      <c r="BN239" s="45">
        <v>19</v>
      </c>
    </row>
    <row r="240" spans="1:66" ht="15">
      <c r="A240" s="62" t="s">
        <v>305</v>
      </c>
      <c r="B240" s="62" t="s">
        <v>305</v>
      </c>
      <c r="C240" s="64" t="s">
        <v>1510</v>
      </c>
      <c r="D240" s="67">
        <v>10</v>
      </c>
      <c r="E240" s="68" t="s">
        <v>136</v>
      </c>
      <c r="F240" s="69">
        <v>6</v>
      </c>
      <c r="G240" s="64"/>
      <c r="H240" s="70"/>
      <c r="I240" s="71"/>
      <c r="J240" s="71"/>
      <c r="K240" s="31" t="s">
        <v>65</v>
      </c>
      <c r="L240" s="79">
        <v>240</v>
      </c>
      <c r="M240" s="79"/>
      <c r="N240" s="73"/>
      <c r="O240" s="66">
        <v>35</v>
      </c>
      <c r="P240" s="63" t="str">
        <f>REPLACE(INDEX(GroupVertices[Group],MATCH(Edges[[#This Row],[Vertex 1]],GroupVertices[Vertex],0)),1,1,"")</f>
        <v>4</v>
      </c>
      <c r="Q240" s="63" t="str">
        <f>REPLACE(INDEX(GroupVertices[Group],MATCH(Edges[[#This Row],[Vertex 2]],GroupVertices[Vertex],0)),1,1,"")</f>
        <v>4</v>
      </c>
      <c r="R240" s="66" t="s">
        <v>241</v>
      </c>
      <c r="S240" s="91">
        <v>44878.253900462965</v>
      </c>
      <c r="T240" s="66" t="s">
        <v>382</v>
      </c>
      <c r="U240" s="94" t="str">
        <f>HYPERLINK("https://www.linkedin.com/feed/update/urn:li:ugcPost:6997439154716307456")</f>
        <v>https://www.linkedin.com/feed/update/urn:li:ugcPost:6997439154716307456</v>
      </c>
      <c r="V240" s="66" t="s">
        <v>417</v>
      </c>
      <c r="W240" s="97" t="s">
        <v>421</v>
      </c>
      <c r="X240" s="66"/>
      <c r="Y240" s="94" t="str">
        <f>HYPERLINK("https://pbs.twimg.com/profile_images/1078408329045725184/ix0-gmNx_normal.jpg")</f>
        <v>https://pbs.twimg.com/profile_images/1078408329045725184/ix0-gmNx_normal.jpg</v>
      </c>
      <c r="Z240" s="91">
        <v>44878.253900462965</v>
      </c>
      <c r="AA240" s="100">
        <v>44878</v>
      </c>
      <c r="AB240" s="97" t="s">
        <v>561</v>
      </c>
      <c r="AC240" s="94" t="str">
        <f>HYPERLINK("https://twitter.com/cordeiro/status/1591673618651840512")</f>
        <v>https://twitter.com/cordeiro/status/1591673618651840512</v>
      </c>
      <c r="AD240" s="66"/>
      <c r="AE240" s="66"/>
      <c r="AF240" s="97" t="s">
        <v>697</v>
      </c>
      <c r="AG240" s="66"/>
      <c r="AH240" s="66" t="b">
        <v>0</v>
      </c>
      <c r="AI240" s="66">
        <v>0</v>
      </c>
      <c r="AJ240" s="97" t="s">
        <v>712</v>
      </c>
      <c r="AK240" s="66" t="b">
        <v>0</v>
      </c>
      <c r="AL240" s="66" t="s">
        <v>715</v>
      </c>
      <c r="AM240" s="66"/>
      <c r="AN240" s="97" t="s">
        <v>712</v>
      </c>
      <c r="AO240" s="66" t="b">
        <v>0</v>
      </c>
      <c r="AP240" s="66">
        <v>0</v>
      </c>
      <c r="AQ240" s="97" t="s">
        <v>712</v>
      </c>
      <c r="AR240" s="97" t="s">
        <v>723</v>
      </c>
      <c r="AS240" s="66" t="b">
        <v>0</v>
      </c>
      <c r="AT240" s="97" t="s">
        <v>697</v>
      </c>
      <c r="AU240" s="66" t="s">
        <v>241</v>
      </c>
      <c r="AV240" s="66">
        <v>0</v>
      </c>
      <c r="AW240" s="66">
        <v>0</v>
      </c>
      <c r="AX240" s="66"/>
      <c r="AY240" s="66"/>
      <c r="AZ240" s="66"/>
      <c r="BA240" s="66"/>
      <c r="BB240" s="66"/>
      <c r="BC240" s="66"/>
      <c r="BD240" s="66"/>
      <c r="BE240" s="66"/>
      <c r="BF240" s="45">
        <v>0</v>
      </c>
      <c r="BG240" s="46">
        <v>0</v>
      </c>
      <c r="BH240" s="45">
        <v>0</v>
      </c>
      <c r="BI240" s="46">
        <v>0</v>
      </c>
      <c r="BJ240" s="45">
        <v>0</v>
      </c>
      <c r="BK240" s="46">
        <v>0</v>
      </c>
      <c r="BL240" s="45">
        <v>29</v>
      </c>
      <c r="BM240" s="46">
        <v>65.9090909090909</v>
      </c>
      <c r="BN240" s="45">
        <v>44</v>
      </c>
    </row>
    <row r="241" spans="1:66" ht="15">
      <c r="A241" s="62" t="s">
        <v>305</v>
      </c>
      <c r="B241" s="62" t="s">
        <v>305</v>
      </c>
      <c r="C241" s="64" t="s">
        <v>1510</v>
      </c>
      <c r="D241" s="67">
        <v>10</v>
      </c>
      <c r="E241" s="68" t="s">
        <v>136</v>
      </c>
      <c r="F241" s="69">
        <v>6</v>
      </c>
      <c r="G241" s="64"/>
      <c r="H241" s="70"/>
      <c r="I241" s="71"/>
      <c r="J241" s="71"/>
      <c r="K241" s="31" t="s">
        <v>65</v>
      </c>
      <c r="L241" s="79">
        <v>241</v>
      </c>
      <c r="M241" s="79"/>
      <c r="N241" s="73"/>
      <c r="O241" s="66">
        <v>35</v>
      </c>
      <c r="P241" s="63" t="str">
        <f>REPLACE(INDEX(GroupVertices[Group],MATCH(Edges[[#This Row],[Vertex 1]],GroupVertices[Vertex],0)),1,1,"")</f>
        <v>4</v>
      </c>
      <c r="Q241" s="63" t="str">
        <f>REPLACE(INDEX(GroupVertices[Group],MATCH(Edges[[#This Row],[Vertex 2]],GroupVertices[Vertex],0)),1,1,"")</f>
        <v>4</v>
      </c>
      <c r="R241" s="66" t="s">
        <v>241</v>
      </c>
      <c r="S241" s="91">
        <v>44878.322905092595</v>
      </c>
      <c r="T241" s="66" t="s">
        <v>383</v>
      </c>
      <c r="U241" s="94" t="str">
        <f>HYPERLINK("https://www.niusdiario.es/ciencia-y-tecnologia/ciencia/20221111/precio-criogenizarse-5000-euros-20-anos_18_07953883.html")</f>
        <v>https://www.niusdiario.es/ciencia-y-tecnologia/ciencia/20221111/precio-criogenizarse-5000-euros-20-anos_18_07953883.html</v>
      </c>
      <c r="V241" s="66" t="s">
        <v>413</v>
      </c>
      <c r="W241" s="97" t="s">
        <v>434</v>
      </c>
      <c r="X241" s="66"/>
      <c r="Y241" s="94" t="str">
        <f>HYPERLINK("https://pbs.twimg.com/profile_images/1078408329045725184/ix0-gmNx_normal.jpg")</f>
        <v>https://pbs.twimg.com/profile_images/1078408329045725184/ix0-gmNx_normal.jpg</v>
      </c>
      <c r="Z241" s="91">
        <v>44878.322905092595</v>
      </c>
      <c r="AA241" s="100">
        <v>44878</v>
      </c>
      <c r="AB241" s="97" t="s">
        <v>562</v>
      </c>
      <c r="AC241" s="94" t="str">
        <f>HYPERLINK("https://twitter.com/cordeiro/status/1591698625616564226")</f>
        <v>https://twitter.com/cordeiro/status/1591698625616564226</v>
      </c>
      <c r="AD241" s="66"/>
      <c r="AE241" s="66"/>
      <c r="AF241" s="97" t="s">
        <v>698</v>
      </c>
      <c r="AG241" s="66"/>
      <c r="AH241" s="66" t="b">
        <v>0</v>
      </c>
      <c r="AI241" s="66">
        <v>0</v>
      </c>
      <c r="AJ241" s="97" t="s">
        <v>712</v>
      </c>
      <c r="AK241" s="66" t="b">
        <v>0</v>
      </c>
      <c r="AL241" s="66" t="s">
        <v>715</v>
      </c>
      <c r="AM241" s="66"/>
      <c r="AN241" s="97" t="s">
        <v>712</v>
      </c>
      <c r="AO241" s="66" t="b">
        <v>0</v>
      </c>
      <c r="AP241" s="66">
        <v>0</v>
      </c>
      <c r="AQ241" s="97" t="s">
        <v>712</v>
      </c>
      <c r="AR241" s="97" t="s">
        <v>723</v>
      </c>
      <c r="AS241" s="66" t="b">
        <v>0</v>
      </c>
      <c r="AT241" s="97" t="s">
        <v>698</v>
      </c>
      <c r="AU241" s="66" t="s">
        <v>241</v>
      </c>
      <c r="AV241" s="66">
        <v>0</v>
      </c>
      <c r="AW241" s="66">
        <v>0</v>
      </c>
      <c r="AX241" s="66"/>
      <c r="AY241" s="66"/>
      <c r="AZ241" s="66"/>
      <c r="BA241" s="66"/>
      <c r="BB241" s="66"/>
      <c r="BC241" s="66"/>
      <c r="BD241" s="66"/>
      <c r="BE241" s="66"/>
      <c r="BF241" s="45">
        <v>0</v>
      </c>
      <c r="BG241" s="46">
        <v>0</v>
      </c>
      <c r="BH241" s="45">
        <v>0</v>
      </c>
      <c r="BI241" s="46">
        <v>0</v>
      </c>
      <c r="BJ241" s="45">
        <v>0</v>
      </c>
      <c r="BK241" s="46">
        <v>0</v>
      </c>
      <c r="BL241" s="45">
        <v>12</v>
      </c>
      <c r="BM241" s="46">
        <v>66.66666666666667</v>
      </c>
      <c r="BN241" s="45">
        <v>18</v>
      </c>
    </row>
    <row r="242" spans="1:66" ht="15">
      <c r="A242" s="62" t="s">
        <v>305</v>
      </c>
      <c r="B242" s="62" t="s">
        <v>305</v>
      </c>
      <c r="C242" s="64" t="s">
        <v>1510</v>
      </c>
      <c r="D242" s="67">
        <v>10</v>
      </c>
      <c r="E242" s="68" t="s">
        <v>136</v>
      </c>
      <c r="F242" s="69">
        <v>6</v>
      </c>
      <c r="G242" s="64"/>
      <c r="H242" s="70"/>
      <c r="I242" s="71"/>
      <c r="J242" s="71"/>
      <c r="K242" s="31" t="s">
        <v>65</v>
      </c>
      <c r="L242" s="79">
        <v>242</v>
      </c>
      <c r="M242" s="79"/>
      <c r="N242" s="73"/>
      <c r="O242" s="66">
        <v>35</v>
      </c>
      <c r="P242" s="63" t="str">
        <f>REPLACE(INDEX(GroupVertices[Group],MATCH(Edges[[#This Row],[Vertex 1]],GroupVertices[Vertex],0)),1,1,"")</f>
        <v>4</v>
      </c>
      <c r="Q242" s="63" t="str">
        <f>REPLACE(INDEX(GroupVertices[Group],MATCH(Edges[[#This Row],[Vertex 2]],GroupVertices[Vertex],0)),1,1,"")</f>
        <v>4</v>
      </c>
      <c r="R242" s="66" t="s">
        <v>241</v>
      </c>
      <c r="S242" s="91">
        <v>44878.35931712963</v>
      </c>
      <c r="T242" s="66" t="s">
        <v>329</v>
      </c>
      <c r="U242" s="66" t="s">
        <v>394</v>
      </c>
      <c r="V242" s="66" t="s">
        <v>408</v>
      </c>
      <c r="W242" s="97" t="s">
        <v>429</v>
      </c>
      <c r="X242" s="66"/>
      <c r="Y242" s="94" t="str">
        <f>HYPERLINK("https://pbs.twimg.com/profile_images/1078408329045725184/ix0-gmNx_normal.jpg")</f>
        <v>https://pbs.twimg.com/profile_images/1078408329045725184/ix0-gmNx_normal.jpg</v>
      </c>
      <c r="Z242" s="91">
        <v>44878.35931712963</v>
      </c>
      <c r="AA242" s="100">
        <v>44878</v>
      </c>
      <c r="AB242" s="97" t="s">
        <v>563</v>
      </c>
      <c r="AC242" s="94" t="str">
        <f>HYPERLINK("https://twitter.com/cordeiro/status/1591711822561828864")</f>
        <v>https://twitter.com/cordeiro/status/1591711822561828864</v>
      </c>
      <c r="AD242" s="66"/>
      <c r="AE242" s="66"/>
      <c r="AF242" s="97" t="s">
        <v>699</v>
      </c>
      <c r="AG242" s="66"/>
      <c r="AH242" s="66" t="b">
        <v>0</v>
      </c>
      <c r="AI242" s="66">
        <v>7</v>
      </c>
      <c r="AJ242" s="97" t="s">
        <v>712</v>
      </c>
      <c r="AK242" s="66" t="b">
        <v>0</v>
      </c>
      <c r="AL242" s="66" t="s">
        <v>714</v>
      </c>
      <c r="AM242" s="66"/>
      <c r="AN242" s="97" t="s">
        <v>712</v>
      </c>
      <c r="AO242" s="66" t="b">
        <v>0</v>
      </c>
      <c r="AP242" s="66">
        <v>5</v>
      </c>
      <c r="AQ242" s="97" t="s">
        <v>712</v>
      </c>
      <c r="AR242" s="97" t="s">
        <v>723</v>
      </c>
      <c r="AS242" s="66" t="b">
        <v>0</v>
      </c>
      <c r="AT242" s="97" t="s">
        <v>699</v>
      </c>
      <c r="AU242" s="66" t="s">
        <v>241</v>
      </c>
      <c r="AV242" s="66">
        <v>0</v>
      </c>
      <c r="AW242" s="66">
        <v>0</v>
      </c>
      <c r="AX242" s="66"/>
      <c r="AY242" s="66"/>
      <c r="AZ242" s="66"/>
      <c r="BA242" s="66"/>
      <c r="BB242" s="66"/>
      <c r="BC242" s="66"/>
      <c r="BD242" s="66"/>
      <c r="BE242" s="66"/>
      <c r="BF242" s="45">
        <v>0</v>
      </c>
      <c r="BG242" s="46">
        <v>0</v>
      </c>
      <c r="BH242" s="45">
        <v>0</v>
      </c>
      <c r="BI242" s="46">
        <v>0</v>
      </c>
      <c r="BJ242" s="45">
        <v>0</v>
      </c>
      <c r="BK242" s="46">
        <v>0</v>
      </c>
      <c r="BL242" s="45">
        <v>16</v>
      </c>
      <c r="BM242" s="46">
        <v>51.61290322580645</v>
      </c>
      <c r="BN242" s="45">
        <v>31</v>
      </c>
    </row>
    <row r="243" spans="1:66" ht="15">
      <c r="A243" s="62" t="s">
        <v>305</v>
      </c>
      <c r="B243" s="62" t="s">
        <v>305</v>
      </c>
      <c r="C243" s="64" t="s">
        <v>1510</v>
      </c>
      <c r="D243" s="67">
        <v>10</v>
      </c>
      <c r="E243" s="68" t="s">
        <v>136</v>
      </c>
      <c r="F243" s="69">
        <v>6</v>
      </c>
      <c r="G243" s="64"/>
      <c r="H243" s="70"/>
      <c r="I243" s="71"/>
      <c r="J243" s="71"/>
      <c r="K243" s="31" t="s">
        <v>65</v>
      </c>
      <c r="L243" s="79">
        <v>243</v>
      </c>
      <c r="M243" s="79"/>
      <c r="N243" s="73"/>
      <c r="O243" s="66">
        <v>35</v>
      </c>
      <c r="P243" s="63" t="str">
        <f>REPLACE(INDEX(GroupVertices[Group],MATCH(Edges[[#This Row],[Vertex 1]],GroupVertices[Vertex],0)),1,1,"")</f>
        <v>4</v>
      </c>
      <c r="Q243" s="63" t="str">
        <f>REPLACE(INDEX(GroupVertices[Group],MATCH(Edges[[#This Row],[Vertex 2]],GroupVertices[Vertex],0)),1,1,"")</f>
        <v>4</v>
      </c>
      <c r="R243" s="66" t="s">
        <v>241</v>
      </c>
      <c r="S243" s="91">
        <v>44878.441203703704</v>
      </c>
      <c r="T243" s="66" t="s">
        <v>384</v>
      </c>
      <c r="U243" s="94" t="str">
        <f>HYPERLINK("http://transvisionmadrid.com")</f>
        <v>http://transvisionmadrid.com</v>
      </c>
      <c r="V243" s="66" t="s">
        <v>407</v>
      </c>
      <c r="W243" s="97" t="s">
        <v>437</v>
      </c>
      <c r="X243" s="94" t="str">
        <f>HYPERLINK("https://pbs.twimg.com/media/FhcAc6PWQAAxUkC.jpg")</f>
        <v>https://pbs.twimg.com/media/FhcAc6PWQAAxUkC.jpg</v>
      </c>
      <c r="Y243" s="94" t="str">
        <f>HYPERLINK("https://pbs.twimg.com/media/FhcAc6PWQAAxUkC.jpg")</f>
        <v>https://pbs.twimg.com/media/FhcAc6PWQAAxUkC.jpg</v>
      </c>
      <c r="Z243" s="91">
        <v>44878.441203703704</v>
      </c>
      <c r="AA243" s="100">
        <v>44878</v>
      </c>
      <c r="AB243" s="97" t="s">
        <v>541</v>
      </c>
      <c r="AC243" s="94" t="str">
        <f>HYPERLINK("https://twitter.com/cordeiro/status/1591741494620307459")</f>
        <v>https://twitter.com/cordeiro/status/1591741494620307459</v>
      </c>
      <c r="AD243" s="66"/>
      <c r="AE243" s="66"/>
      <c r="AF243" s="97" t="s">
        <v>700</v>
      </c>
      <c r="AG243" s="66"/>
      <c r="AH243" s="66" t="b">
        <v>0</v>
      </c>
      <c r="AI243" s="66">
        <v>0</v>
      </c>
      <c r="AJ243" s="97" t="s">
        <v>712</v>
      </c>
      <c r="AK243" s="66" t="b">
        <v>0</v>
      </c>
      <c r="AL243" s="66" t="s">
        <v>714</v>
      </c>
      <c r="AM243" s="66"/>
      <c r="AN243" s="97" t="s">
        <v>712</v>
      </c>
      <c r="AO243" s="66" t="b">
        <v>0</v>
      </c>
      <c r="AP243" s="66">
        <v>0</v>
      </c>
      <c r="AQ243" s="97" t="s">
        <v>712</v>
      </c>
      <c r="AR243" s="97" t="s">
        <v>724</v>
      </c>
      <c r="AS243" s="66" t="b">
        <v>0</v>
      </c>
      <c r="AT243" s="97" t="s">
        <v>700</v>
      </c>
      <c r="AU243" s="66" t="s">
        <v>241</v>
      </c>
      <c r="AV243" s="66">
        <v>0</v>
      </c>
      <c r="AW243" s="66">
        <v>0</v>
      </c>
      <c r="AX243" s="66"/>
      <c r="AY243" s="66"/>
      <c r="AZ243" s="66"/>
      <c r="BA243" s="66"/>
      <c r="BB243" s="66"/>
      <c r="BC243" s="66"/>
      <c r="BD243" s="66"/>
      <c r="BE243" s="66"/>
      <c r="BF243" s="45">
        <v>0</v>
      </c>
      <c r="BG243" s="46">
        <v>0</v>
      </c>
      <c r="BH243" s="45">
        <v>0</v>
      </c>
      <c r="BI243" s="46">
        <v>0</v>
      </c>
      <c r="BJ243" s="45">
        <v>0</v>
      </c>
      <c r="BK243" s="46">
        <v>0</v>
      </c>
      <c r="BL243" s="45">
        <v>28</v>
      </c>
      <c r="BM243" s="46">
        <v>75.67567567567568</v>
      </c>
      <c r="BN243" s="45">
        <v>37</v>
      </c>
    </row>
    <row r="244" spans="1:66" ht="15">
      <c r="A244" s="62" t="s">
        <v>305</v>
      </c>
      <c r="B244" s="62" t="s">
        <v>305</v>
      </c>
      <c r="C244" s="64" t="s">
        <v>1510</v>
      </c>
      <c r="D244" s="67">
        <v>10</v>
      </c>
      <c r="E244" s="68" t="s">
        <v>136</v>
      </c>
      <c r="F244" s="69">
        <v>6</v>
      </c>
      <c r="G244" s="64"/>
      <c r="H244" s="70"/>
      <c r="I244" s="71"/>
      <c r="J244" s="71"/>
      <c r="K244" s="31" t="s">
        <v>65</v>
      </c>
      <c r="L244" s="79">
        <v>244</v>
      </c>
      <c r="M244" s="79"/>
      <c r="N244" s="73"/>
      <c r="O244" s="66">
        <v>35</v>
      </c>
      <c r="P244" s="63" t="str">
        <f>REPLACE(INDEX(GroupVertices[Group],MATCH(Edges[[#This Row],[Vertex 1]],GroupVertices[Vertex],0)),1,1,"")</f>
        <v>4</v>
      </c>
      <c r="Q244" s="63" t="str">
        <f>REPLACE(INDEX(GroupVertices[Group],MATCH(Edges[[#This Row],[Vertex 2]],GroupVertices[Vertex],0)),1,1,"")</f>
        <v>4</v>
      </c>
      <c r="R244" s="66" t="s">
        <v>241</v>
      </c>
      <c r="S244" s="91">
        <v>44878.45210648148</v>
      </c>
      <c r="T244" s="66" t="s">
        <v>385</v>
      </c>
      <c r="U244" s="66" t="s">
        <v>400</v>
      </c>
      <c r="V244" s="66" t="s">
        <v>408</v>
      </c>
      <c r="W244" s="97" t="s">
        <v>438</v>
      </c>
      <c r="X244" s="66"/>
      <c r="Y244" s="94" t="str">
        <f>HYPERLINK("https://pbs.twimg.com/profile_images/1078408329045725184/ix0-gmNx_normal.jpg")</f>
        <v>https://pbs.twimg.com/profile_images/1078408329045725184/ix0-gmNx_normal.jpg</v>
      </c>
      <c r="Z244" s="91">
        <v>44878.45210648148</v>
      </c>
      <c r="AA244" s="100">
        <v>44878</v>
      </c>
      <c r="AB244" s="97" t="s">
        <v>564</v>
      </c>
      <c r="AC244" s="94" t="str">
        <f>HYPERLINK("https://twitter.com/cordeiro/status/1591745447479349249")</f>
        <v>https://twitter.com/cordeiro/status/1591745447479349249</v>
      </c>
      <c r="AD244" s="66"/>
      <c r="AE244" s="66"/>
      <c r="AF244" s="97" t="s">
        <v>701</v>
      </c>
      <c r="AG244" s="66"/>
      <c r="AH244" s="66" t="b">
        <v>0</v>
      </c>
      <c r="AI244" s="66">
        <v>0</v>
      </c>
      <c r="AJ244" s="97" t="s">
        <v>712</v>
      </c>
      <c r="AK244" s="66" t="b">
        <v>0</v>
      </c>
      <c r="AL244" s="66" t="s">
        <v>714</v>
      </c>
      <c r="AM244" s="66"/>
      <c r="AN244" s="97" t="s">
        <v>712</v>
      </c>
      <c r="AO244" s="66" t="b">
        <v>0</v>
      </c>
      <c r="AP244" s="66">
        <v>0</v>
      </c>
      <c r="AQ244" s="97" t="s">
        <v>712</v>
      </c>
      <c r="AR244" s="97" t="s">
        <v>723</v>
      </c>
      <c r="AS244" s="66" t="b">
        <v>0</v>
      </c>
      <c r="AT244" s="97" t="s">
        <v>701</v>
      </c>
      <c r="AU244" s="66" t="s">
        <v>241</v>
      </c>
      <c r="AV244" s="66">
        <v>0</v>
      </c>
      <c r="AW244" s="66">
        <v>0</v>
      </c>
      <c r="AX244" s="66"/>
      <c r="AY244" s="66"/>
      <c r="AZ244" s="66"/>
      <c r="BA244" s="66"/>
      <c r="BB244" s="66"/>
      <c r="BC244" s="66"/>
      <c r="BD244" s="66"/>
      <c r="BE244" s="66"/>
      <c r="BF244" s="45">
        <v>0</v>
      </c>
      <c r="BG244" s="46">
        <v>0</v>
      </c>
      <c r="BH244" s="45">
        <v>0</v>
      </c>
      <c r="BI244" s="46">
        <v>0</v>
      </c>
      <c r="BJ244" s="45">
        <v>0</v>
      </c>
      <c r="BK244" s="46">
        <v>0</v>
      </c>
      <c r="BL244" s="45">
        <v>15</v>
      </c>
      <c r="BM244" s="46">
        <v>71.42857142857143</v>
      </c>
      <c r="BN244" s="45">
        <v>21</v>
      </c>
    </row>
    <row r="245" spans="1:66" ht="15">
      <c r="A245" s="62" t="s">
        <v>305</v>
      </c>
      <c r="B245" s="62" t="s">
        <v>305</v>
      </c>
      <c r="C245" s="64" t="s">
        <v>1510</v>
      </c>
      <c r="D245" s="67">
        <v>10</v>
      </c>
      <c r="E245" s="68" t="s">
        <v>136</v>
      </c>
      <c r="F245" s="69">
        <v>6</v>
      </c>
      <c r="G245" s="64"/>
      <c r="H245" s="70"/>
      <c r="I245" s="71"/>
      <c r="J245" s="71"/>
      <c r="K245" s="31" t="s">
        <v>65</v>
      </c>
      <c r="L245" s="79">
        <v>245</v>
      </c>
      <c r="M245" s="79"/>
      <c r="N245" s="73"/>
      <c r="O245" s="66">
        <v>35</v>
      </c>
      <c r="P245" s="63" t="str">
        <f>REPLACE(INDEX(GroupVertices[Group],MATCH(Edges[[#This Row],[Vertex 1]],GroupVertices[Vertex],0)),1,1,"")</f>
        <v>4</v>
      </c>
      <c r="Q245" s="63" t="str">
        <f>REPLACE(INDEX(GroupVertices[Group],MATCH(Edges[[#This Row],[Vertex 2]],GroupVertices[Vertex],0)),1,1,"")</f>
        <v>4</v>
      </c>
      <c r="R245" s="66" t="s">
        <v>241</v>
      </c>
      <c r="S245" s="91">
        <v>44878.458182870374</v>
      </c>
      <c r="T245" s="66" t="s">
        <v>386</v>
      </c>
      <c r="U245" s="66" t="s">
        <v>401</v>
      </c>
      <c r="V245" s="66" t="s">
        <v>408</v>
      </c>
      <c r="W245" s="97" t="s">
        <v>430</v>
      </c>
      <c r="X245" s="66"/>
      <c r="Y245" s="94" t="str">
        <f>HYPERLINK("https://pbs.twimg.com/profile_images/1078408329045725184/ix0-gmNx_normal.jpg")</f>
        <v>https://pbs.twimg.com/profile_images/1078408329045725184/ix0-gmNx_normal.jpg</v>
      </c>
      <c r="Z245" s="91">
        <v>44878.458182870374</v>
      </c>
      <c r="AA245" s="100">
        <v>44878</v>
      </c>
      <c r="AB245" s="97" t="s">
        <v>565</v>
      </c>
      <c r="AC245" s="94" t="str">
        <f>HYPERLINK("https://twitter.com/cordeiro/status/1591747648419028992")</f>
        <v>https://twitter.com/cordeiro/status/1591747648419028992</v>
      </c>
      <c r="AD245" s="66"/>
      <c r="AE245" s="66"/>
      <c r="AF245" s="97" t="s">
        <v>702</v>
      </c>
      <c r="AG245" s="66"/>
      <c r="AH245" s="66" t="b">
        <v>0</v>
      </c>
      <c r="AI245" s="66">
        <v>0</v>
      </c>
      <c r="AJ245" s="97" t="s">
        <v>712</v>
      </c>
      <c r="AK245" s="66" t="b">
        <v>0</v>
      </c>
      <c r="AL245" s="66" t="s">
        <v>714</v>
      </c>
      <c r="AM245" s="66"/>
      <c r="AN245" s="97" t="s">
        <v>712</v>
      </c>
      <c r="AO245" s="66" t="b">
        <v>0</v>
      </c>
      <c r="AP245" s="66">
        <v>0</v>
      </c>
      <c r="AQ245" s="97" t="s">
        <v>712</v>
      </c>
      <c r="AR245" s="97" t="s">
        <v>723</v>
      </c>
      <c r="AS245" s="66" t="b">
        <v>0</v>
      </c>
      <c r="AT245" s="97" t="s">
        <v>702</v>
      </c>
      <c r="AU245" s="66" t="s">
        <v>241</v>
      </c>
      <c r="AV245" s="66">
        <v>0</v>
      </c>
      <c r="AW245" s="66">
        <v>0</v>
      </c>
      <c r="AX245" s="66"/>
      <c r="AY245" s="66"/>
      <c r="AZ245" s="66"/>
      <c r="BA245" s="66"/>
      <c r="BB245" s="66"/>
      <c r="BC245" s="66"/>
      <c r="BD245" s="66"/>
      <c r="BE245" s="66"/>
      <c r="BF245" s="45">
        <v>0</v>
      </c>
      <c r="BG245" s="46">
        <v>0</v>
      </c>
      <c r="BH245" s="45">
        <v>0</v>
      </c>
      <c r="BI245" s="46">
        <v>0</v>
      </c>
      <c r="BJ245" s="45">
        <v>0</v>
      </c>
      <c r="BK245" s="46">
        <v>0</v>
      </c>
      <c r="BL245" s="45">
        <v>5</v>
      </c>
      <c r="BM245" s="46">
        <v>62.5</v>
      </c>
      <c r="BN245" s="45">
        <v>8</v>
      </c>
    </row>
    <row r="246" spans="1:66" ht="15">
      <c r="A246" s="62" t="s">
        <v>305</v>
      </c>
      <c r="B246" s="62" t="s">
        <v>305</v>
      </c>
      <c r="C246" s="64" t="s">
        <v>1510</v>
      </c>
      <c r="D246" s="67">
        <v>10</v>
      </c>
      <c r="E246" s="68" t="s">
        <v>136</v>
      </c>
      <c r="F246" s="69">
        <v>6</v>
      </c>
      <c r="G246" s="64"/>
      <c r="H246" s="70"/>
      <c r="I246" s="71"/>
      <c r="J246" s="71"/>
      <c r="K246" s="31" t="s">
        <v>65</v>
      </c>
      <c r="L246" s="79">
        <v>246</v>
      </c>
      <c r="M246" s="79"/>
      <c r="N246" s="73"/>
      <c r="O246" s="66">
        <v>35</v>
      </c>
      <c r="P246" s="63" t="str">
        <f>REPLACE(INDEX(GroupVertices[Group],MATCH(Edges[[#This Row],[Vertex 1]],GroupVertices[Vertex],0)),1,1,"")</f>
        <v>4</v>
      </c>
      <c r="Q246" s="63" t="str">
        <f>REPLACE(INDEX(GroupVertices[Group],MATCH(Edges[[#This Row],[Vertex 2]],GroupVertices[Vertex],0)),1,1,"")</f>
        <v>4</v>
      </c>
      <c r="R246" s="66" t="s">
        <v>241</v>
      </c>
      <c r="S246" s="91">
        <v>44878.882835648146</v>
      </c>
      <c r="T246" s="66" t="s">
        <v>334</v>
      </c>
      <c r="U246" s="94" t="str">
        <f>HYPERLINK("http://transvisionmadrid.com")</f>
        <v>http://transvisionmadrid.com</v>
      </c>
      <c r="V246" s="66" t="s">
        <v>407</v>
      </c>
      <c r="W246" s="97" t="s">
        <v>428</v>
      </c>
      <c r="X246" s="94" t="str">
        <f>HYPERLINK("https://pbs.twimg.com/media/FheSAwLXgAkq2lI.jpg")</f>
        <v>https://pbs.twimg.com/media/FheSAwLXgAkq2lI.jpg</v>
      </c>
      <c r="Y246" s="94" t="str">
        <f>HYPERLINK("https://pbs.twimg.com/media/FheSAwLXgAkq2lI.jpg")</f>
        <v>https://pbs.twimg.com/media/FheSAwLXgAkq2lI.jpg</v>
      </c>
      <c r="Z246" s="91">
        <v>44878.882835648146</v>
      </c>
      <c r="AA246" s="100">
        <v>44878</v>
      </c>
      <c r="AB246" s="97" t="s">
        <v>566</v>
      </c>
      <c r="AC246" s="94" t="str">
        <f>HYPERLINK("https://twitter.com/cordeiro/status/1591901539219693568")</f>
        <v>https://twitter.com/cordeiro/status/1591901539219693568</v>
      </c>
      <c r="AD246" s="66"/>
      <c r="AE246" s="66"/>
      <c r="AF246" s="97" t="s">
        <v>703</v>
      </c>
      <c r="AG246" s="66"/>
      <c r="AH246" s="66" t="b">
        <v>0</v>
      </c>
      <c r="AI246" s="66">
        <v>2</v>
      </c>
      <c r="AJ246" s="97" t="s">
        <v>712</v>
      </c>
      <c r="AK246" s="66" t="b">
        <v>0</v>
      </c>
      <c r="AL246" s="66" t="s">
        <v>714</v>
      </c>
      <c r="AM246" s="66"/>
      <c r="AN246" s="97" t="s">
        <v>712</v>
      </c>
      <c r="AO246" s="66" t="b">
        <v>0</v>
      </c>
      <c r="AP246" s="66">
        <v>1</v>
      </c>
      <c r="AQ246" s="97" t="s">
        <v>712</v>
      </c>
      <c r="AR246" s="97" t="s">
        <v>724</v>
      </c>
      <c r="AS246" s="66" t="b">
        <v>0</v>
      </c>
      <c r="AT246" s="97" t="s">
        <v>703</v>
      </c>
      <c r="AU246" s="66" t="s">
        <v>241</v>
      </c>
      <c r="AV246" s="66">
        <v>0</v>
      </c>
      <c r="AW246" s="66">
        <v>0</v>
      </c>
      <c r="AX246" s="66"/>
      <c r="AY246" s="66"/>
      <c r="AZ246" s="66"/>
      <c r="BA246" s="66"/>
      <c r="BB246" s="66"/>
      <c r="BC246" s="66"/>
      <c r="BD246" s="66"/>
      <c r="BE246" s="66"/>
      <c r="BF246" s="45">
        <v>1</v>
      </c>
      <c r="BG246" s="46">
        <v>5.2631578947368425</v>
      </c>
      <c r="BH246" s="45">
        <v>0</v>
      </c>
      <c r="BI246" s="46">
        <v>0</v>
      </c>
      <c r="BJ246" s="45">
        <v>0</v>
      </c>
      <c r="BK246" s="46">
        <v>0</v>
      </c>
      <c r="BL246" s="45">
        <v>15</v>
      </c>
      <c r="BM246" s="46">
        <v>78.94736842105263</v>
      </c>
      <c r="BN246" s="45">
        <v>19</v>
      </c>
    </row>
    <row r="247" spans="1:66" ht="15">
      <c r="A247" s="62" t="s">
        <v>305</v>
      </c>
      <c r="B247" s="62" t="s">
        <v>305</v>
      </c>
      <c r="C247" s="64" t="s">
        <v>1510</v>
      </c>
      <c r="D247" s="67">
        <v>10</v>
      </c>
      <c r="E247" s="68" t="s">
        <v>136</v>
      </c>
      <c r="F247" s="69">
        <v>6</v>
      </c>
      <c r="G247" s="64"/>
      <c r="H247" s="70"/>
      <c r="I247" s="71"/>
      <c r="J247" s="71"/>
      <c r="K247" s="31" t="s">
        <v>65</v>
      </c>
      <c r="L247" s="79">
        <v>247</v>
      </c>
      <c r="M247" s="79"/>
      <c r="N247" s="73"/>
      <c r="O247" s="66">
        <v>35</v>
      </c>
      <c r="P247" s="63" t="str">
        <f>REPLACE(INDEX(GroupVertices[Group],MATCH(Edges[[#This Row],[Vertex 1]],GroupVertices[Vertex],0)),1,1,"")</f>
        <v>4</v>
      </c>
      <c r="Q247" s="63" t="str">
        <f>REPLACE(INDEX(GroupVertices[Group],MATCH(Edges[[#This Row],[Vertex 2]],GroupVertices[Vertex],0)),1,1,"")</f>
        <v>4</v>
      </c>
      <c r="R247" s="66" t="s">
        <v>241</v>
      </c>
      <c r="S247" s="91">
        <v>44878.9230787037</v>
      </c>
      <c r="T247" s="66" t="s">
        <v>362</v>
      </c>
      <c r="U247" s="94" t="str">
        <f>HYPERLINK("https://okdiario.com/salud/madrid-acogera-cumbre-internacional-sobre-criopreservacion-pacientes-futura-reanimacion-9945365")</f>
        <v>https://okdiario.com/salud/madrid-acogera-cumbre-internacional-sobre-criopreservacion-pacientes-futura-reanimacion-9945365</v>
      </c>
      <c r="V247" s="66" t="s">
        <v>414</v>
      </c>
      <c r="W247" s="97" t="s">
        <v>435</v>
      </c>
      <c r="X247" s="66"/>
      <c r="Y247" s="94" t="str">
        <f>HYPERLINK("https://pbs.twimg.com/profile_images/1078408329045725184/ix0-gmNx_normal.jpg")</f>
        <v>https://pbs.twimg.com/profile_images/1078408329045725184/ix0-gmNx_normal.jpg</v>
      </c>
      <c r="Z247" s="91">
        <v>44878.9230787037</v>
      </c>
      <c r="AA247" s="100">
        <v>44878</v>
      </c>
      <c r="AB247" s="97" t="s">
        <v>567</v>
      </c>
      <c r="AC247" s="94" t="str">
        <f>HYPERLINK("https://twitter.com/cordeiro/status/1591916121413804039")</f>
        <v>https://twitter.com/cordeiro/status/1591916121413804039</v>
      </c>
      <c r="AD247" s="66"/>
      <c r="AE247" s="66"/>
      <c r="AF247" s="97" t="s">
        <v>704</v>
      </c>
      <c r="AG247" s="66"/>
      <c r="AH247" s="66" t="b">
        <v>0</v>
      </c>
      <c r="AI247" s="66">
        <v>6</v>
      </c>
      <c r="AJ247" s="97" t="s">
        <v>712</v>
      </c>
      <c r="AK247" s="66" t="b">
        <v>0</v>
      </c>
      <c r="AL247" s="66" t="s">
        <v>715</v>
      </c>
      <c r="AM247" s="66"/>
      <c r="AN247" s="97" t="s">
        <v>712</v>
      </c>
      <c r="AO247" s="66" t="b">
        <v>0</v>
      </c>
      <c r="AP247" s="66">
        <v>1</v>
      </c>
      <c r="AQ247" s="97" t="s">
        <v>712</v>
      </c>
      <c r="AR247" s="97" t="s">
        <v>724</v>
      </c>
      <c r="AS247" s="66" t="b">
        <v>0</v>
      </c>
      <c r="AT247" s="97" t="s">
        <v>704</v>
      </c>
      <c r="AU247" s="66" t="s">
        <v>241</v>
      </c>
      <c r="AV247" s="66">
        <v>0</v>
      </c>
      <c r="AW247" s="66">
        <v>0</v>
      </c>
      <c r="AX247" s="66"/>
      <c r="AY247" s="66"/>
      <c r="AZ247" s="66"/>
      <c r="BA247" s="66"/>
      <c r="BB247" s="66"/>
      <c r="BC247" s="66"/>
      <c r="BD247" s="66"/>
      <c r="BE247" s="66"/>
      <c r="BF247" s="45">
        <v>0</v>
      </c>
      <c r="BG247" s="46">
        <v>0</v>
      </c>
      <c r="BH247" s="45">
        <v>0</v>
      </c>
      <c r="BI247" s="46">
        <v>0</v>
      </c>
      <c r="BJ247" s="45">
        <v>0</v>
      </c>
      <c r="BK247" s="46">
        <v>0</v>
      </c>
      <c r="BL247" s="45">
        <v>15</v>
      </c>
      <c r="BM247" s="46">
        <v>71.42857142857143</v>
      </c>
      <c r="BN247" s="45">
        <v>21</v>
      </c>
    </row>
    <row r="248" spans="1:66" ht="15">
      <c r="A248" s="62" t="s">
        <v>305</v>
      </c>
      <c r="B248" s="62" t="s">
        <v>305</v>
      </c>
      <c r="C248" s="64" t="s">
        <v>1510</v>
      </c>
      <c r="D248" s="67">
        <v>10</v>
      </c>
      <c r="E248" s="68" t="s">
        <v>136</v>
      </c>
      <c r="F248" s="69">
        <v>6</v>
      </c>
      <c r="G248" s="64"/>
      <c r="H248" s="70"/>
      <c r="I248" s="71"/>
      <c r="J248" s="71"/>
      <c r="K248" s="31" t="s">
        <v>65</v>
      </c>
      <c r="L248" s="79">
        <v>248</v>
      </c>
      <c r="M248" s="79"/>
      <c r="N248" s="73"/>
      <c r="O248" s="66">
        <v>35</v>
      </c>
      <c r="P248" s="63" t="str">
        <f>REPLACE(INDEX(GroupVertices[Group],MATCH(Edges[[#This Row],[Vertex 1]],GroupVertices[Vertex],0)),1,1,"")</f>
        <v>4</v>
      </c>
      <c r="Q248" s="63" t="str">
        <f>REPLACE(INDEX(GroupVertices[Group],MATCH(Edges[[#This Row],[Vertex 2]],GroupVertices[Vertex],0)),1,1,"")</f>
        <v>4</v>
      </c>
      <c r="R248" s="66" t="s">
        <v>241</v>
      </c>
      <c r="S248" s="91">
        <v>44878.934895833336</v>
      </c>
      <c r="T248" s="66" t="s">
        <v>387</v>
      </c>
      <c r="U248" s="94" t="str">
        <f>HYPERLINK("http://transvisionmadrid.com")</f>
        <v>http://transvisionmadrid.com</v>
      </c>
      <c r="V248" s="66" t="s">
        <v>407</v>
      </c>
      <c r="W248" s="97" t="s">
        <v>428</v>
      </c>
      <c r="X248" s="94" t="str">
        <f>HYPERLINK("https://pbs.twimg.com/media/FhejK3HXwAACp-G.jpg")</f>
        <v>https://pbs.twimg.com/media/FhejK3HXwAACp-G.jpg</v>
      </c>
      <c r="Y248" s="94" t="str">
        <f>HYPERLINK("https://pbs.twimg.com/media/FhejK3HXwAACp-G.jpg")</f>
        <v>https://pbs.twimg.com/media/FhejK3HXwAACp-G.jpg</v>
      </c>
      <c r="Z248" s="91">
        <v>44878.934895833336</v>
      </c>
      <c r="AA248" s="100">
        <v>44878</v>
      </c>
      <c r="AB248" s="97" t="s">
        <v>568</v>
      </c>
      <c r="AC248" s="94" t="str">
        <f>HYPERLINK("https://twitter.com/cordeiro/status/1591920404662308866")</f>
        <v>https://twitter.com/cordeiro/status/1591920404662308866</v>
      </c>
      <c r="AD248" s="66"/>
      <c r="AE248" s="66"/>
      <c r="AF248" s="97" t="s">
        <v>705</v>
      </c>
      <c r="AG248" s="66"/>
      <c r="AH248" s="66" t="b">
        <v>0</v>
      </c>
      <c r="AI248" s="66">
        <v>0</v>
      </c>
      <c r="AJ248" s="97" t="s">
        <v>712</v>
      </c>
      <c r="AK248" s="66" t="b">
        <v>0</v>
      </c>
      <c r="AL248" s="66" t="s">
        <v>714</v>
      </c>
      <c r="AM248" s="66"/>
      <c r="AN248" s="97" t="s">
        <v>712</v>
      </c>
      <c r="AO248" s="66" t="b">
        <v>0</v>
      </c>
      <c r="AP248" s="66">
        <v>0</v>
      </c>
      <c r="AQ248" s="97" t="s">
        <v>712</v>
      </c>
      <c r="AR248" s="97" t="s">
        <v>724</v>
      </c>
      <c r="AS248" s="66" t="b">
        <v>0</v>
      </c>
      <c r="AT248" s="97" t="s">
        <v>705</v>
      </c>
      <c r="AU248" s="66" t="s">
        <v>241</v>
      </c>
      <c r="AV248" s="66">
        <v>0</v>
      </c>
      <c r="AW248" s="66">
        <v>0</v>
      </c>
      <c r="AX248" s="66"/>
      <c r="AY248" s="66"/>
      <c r="AZ248" s="66"/>
      <c r="BA248" s="66"/>
      <c r="BB248" s="66"/>
      <c r="BC248" s="66"/>
      <c r="BD248" s="66"/>
      <c r="BE248" s="66"/>
      <c r="BF248" s="45">
        <v>0</v>
      </c>
      <c r="BG248" s="46">
        <v>0</v>
      </c>
      <c r="BH248" s="45">
        <v>0</v>
      </c>
      <c r="BI248" s="46">
        <v>0</v>
      </c>
      <c r="BJ248" s="45">
        <v>0</v>
      </c>
      <c r="BK248" s="46">
        <v>0</v>
      </c>
      <c r="BL248" s="45">
        <v>17</v>
      </c>
      <c r="BM248" s="46">
        <v>85</v>
      </c>
      <c r="BN248" s="45">
        <v>20</v>
      </c>
    </row>
    <row r="249" spans="1:66" ht="15">
      <c r="A249" s="62" t="s">
        <v>305</v>
      </c>
      <c r="B249" s="62" t="s">
        <v>305</v>
      </c>
      <c r="C249" s="64" t="s">
        <v>1510</v>
      </c>
      <c r="D249" s="67">
        <v>10</v>
      </c>
      <c r="E249" s="68" t="s">
        <v>136</v>
      </c>
      <c r="F249" s="69">
        <v>6</v>
      </c>
      <c r="G249" s="64"/>
      <c r="H249" s="70"/>
      <c r="I249" s="71"/>
      <c r="J249" s="71"/>
      <c r="K249" s="31" t="s">
        <v>65</v>
      </c>
      <c r="L249" s="79">
        <v>249</v>
      </c>
      <c r="M249" s="79"/>
      <c r="N249" s="73"/>
      <c r="O249" s="66">
        <v>35</v>
      </c>
      <c r="P249" s="63" t="str">
        <f>REPLACE(INDEX(GroupVertices[Group],MATCH(Edges[[#This Row],[Vertex 1]],GroupVertices[Vertex],0)),1,1,"")</f>
        <v>4</v>
      </c>
      <c r="Q249" s="63" t="str">
        <f>REPLACE(INDEX(GroupVertices[Group],MATCH(Edges[[#This Row],[Vertex 2]],GroupVertices[Vertex],0)),1,1,"")</f>
        <v>4</v>
      </c>
      <c r="R249" s="66" t="s">
        <v>241</v>
      </c>
      <c r="S249" s="91">
        <v>44879.38159722222</v>
      </c>
      <c r="T249" s="66" t="s">
        <v>388</v>
      </c>
      <c r="U249" s="94" t="str">
        <f>HYPERLINK("https://institutoeuropeo.es/prensa/madrid-acogera-la-cumbre-internacional-transvision-con-un-enfoque-en-la-biostasis-humana-que-permitira-la-criopreservacion-de-pacientes-para-su-futura-reanimacion/")</f>
        <v>https://institutoeuropeo.es/prensa/madrid-acogera-la-cumbre-internacional-transvision-con-un-enfoque-en-la-biostasis-humana-que-permitira-la-criopreservacion-de-pacientes-para-su-futura-reanimacion/</v>
      </c>
      <c r="V249" s="66" t="s">
        <v>418</v>
      </c>
      <c r="W249" s="97" t="s">
        <v>439</v>
      </c>
      <c r="X249" s="66"/>
      <c r="Y249" s="94" t="str">
        <f>HYPERLINK("https://pbs.twimg.com/profile_images/1078408329045725184/ix0-gmNx_normal.jpg")</f>
        <v>https://pbs.twimg.com/profile_images/1078408329045725184/ix0-gmNx_normal.jpg</v>
      </c>
      <c r="Z249" s="91">
        <v>44879.38159722222</v>
      </c>
      <c r="AA249" s="100">
        <v>44879</v>
      </c>
      <c r="AB249" s="97" t="s">
        <v>569</v>
      </c>
      <c r="AC249" s="94" t="str">
        <f>HYPERLINK("https://twitter.com/cordeiro/status/1592082283854499841")</f>
        <v>https://twitter.com/cordeiro/status/1592082283854499841</v>
      </c>
      <c r="AD249" s="66"/>
      <c r="AE249" s="66"/>
      <c r="AF249" s="97" t="s">
        <v>706</v>
      </c>
      <c r="AG249" s="66"/>
      <c r="AH249" s="66" t="b">
        <v>0</v>
      </c>
      <c r="AI249" s="66">
        <v>0</v>
      </c>
      <c r="AJ249" s="97" t="s">
        <v>712</v>
      </c>
      <c r="AK249" s="66" t="b">
        <v>0</v>
      </c>
      <c r="AL249" s="66" t="s">
        <v>715</v>
      </c>
      <c r="AM249" s="66"/>
      <c r="AN249" s="97" t="s">
        <v>712</v>
      </c>
      <c r="AO249" s="66" t="b">
        <v>0</v>
      </c>
      <c r="AP249" s="66">
        <v>0</v>
      </c>
      <c r="AQ249" s="97" t="s">
        <v>712</v>
      </c>
      <c r="AR249" s="97" t="s">
        <v>724</v>
      </c>
      <c r="AS249" s="66" t="b">
        <v>0</v>
      </c>
      <c r="AT249" s="97" t="s">
        <v>706</v>
      </c>
      <c r="AU249" s="66" t="s">
        <v>241</v>
      </c>
      <c r="AV249" s="66">
        <v>0</v>
      </c>
      <c r="AW249" s="66">
        <v>0</v>
      </c>
      <c r="AX249" s="66"/>
      <c r="AY249" s="66"/>
      <c r="AZ249" s="66"/>
      <c r="BA249" s="66"/>
      <c r="BB249" s="66"/>
      <c r="BC249" s="66"/>
      <c r="BD249" s="66"/>
      <c r="BE249" s="66"/>
      <c r="BF249" s="45">
        <v>0</v>
      </c>
      <c r="BG249" s="46">
        <v>0</v>
      </c>
      <c r="BH249" s="45">
        <v>0</v>
      </c>
      <c r="BI249" s="46">
        <v>0</v>
      </c>
      <c r="BJ249" s="45">
        <v>0</v>
      </c>
      <c r="BK249" s="46">
        <v>0</v>
      </c>
      <c r="BL249" s="45">
        <v>22</v>
      </c>
      <c r="BM249" s="46">
        <v>62.857142857142854</v>
      </c>
      <c r="BN249" s="45">
        <v>35</v>
      </c>
    </row>
    <row r="250" spans="1:66" ht="15">
      <c r="A250" s="62" t="s">
        <v>305</v>
      </c>
      <c r="B250" s="62" t="s">
        <v>305</v>
      </c>
      <c r="C250" s="64" t="s">
        <v>1510</v>
      </c>
      <c r="D250" s="67">
        <v>10</v>
      </c>
      <c r="E250" s="68" t="s">
        <v>136</v>
      </c>
      <c r="F250" s="69">
        <v>6</v>
      </c>
      <c r="G250" s="64"/>
      <c r="H250" s="70"/>
      <c r="I250" s="71"/>
      <c r="J250" s="71"/>
      <c r="K250" s="31" t="s">
        <v>65</v>
      </c>
      <c r="L250" s="79">
        <v>250</v>
      </c>
      <c r="M250" s="79"/>
      <c r="N250" s="73"/>
      <c r="O250" s="66">
        <v>35</v>
      </c>
      <c r="P250" s="63" t="str">
        <f>REPLACE(INDEX(GroupVertices[Group],MATCH(Edges[[#This Row],[Vertex 1]],GroupVertices[Vertex],0)),1,1,"")</f>
        <v>4</v>
      </c>
      <c r="Q250" s="63" t="str">
        <f>REPLACE(INDEX(GroupVertices[Group],MATCH(Edges[[#This Row],[Vertex 2]],GroupVertices[Vertex],0)),1,1,"")</f>
        <v>4</v>
      </c>
      <c r="R250" s="66" t="s">
        <v>241</v>
      </c>
      <c r="S250" s="91">
        <v>44879.923101851855</v>
      </c>
      <c r="T250" s="66" t="s">
        <v>389</v>
      </c>
      <c r="U250" s="94" t="str">
        <f>HYPERLINK("https://www.eldebate.com/salud-y-bienestar/salud/20221114/ramon-risco-criopreservacion-viable-humanos_72431.html#utm_source=rrss-comp&amp;utm_medium=wh&amp;utm_campaign=fixed-btn")</f>
        <v>https://www.eldebate.com/salud-y-bienestar/salud/20221114/ramon-risco-criopreservacion-viable-humanos_72431.html#utm_source=rrss-comp&amp;utm_medium=wh&amp;utm_campaign=fixed-btn</v>
      </c>
      <c r="V250" s="66" t="s">
        <v>415</v>
      </c>
      <c r="W250" s="97" t="s">
        <v>436</v>
      </c>
      <c r="X250" s="66"/>
      <c r="Y250" s="94" t="str">
        <f>HYPERLINK("https://pbs.twimg.com/profile_images/1078408329045725184/ix0-gmNx_normal.jpg")</f>
        <v>https://pbs.twimg.com/profile_images/1078408329045725184/ix0-gmNx_normal.jpg</v>
      </c>
      <c r="Z250" s="91">
        <v>44879.923101851855</v>
      </c>
      <c r="AA250" s="100">
        <v>44879</v>
      </c>
      <c r="AB250" s="97" t="s">
        <v>570</v>
      </c>
      <c r="AC250" s="94" t="str">
        <f>HYPERLINK("https://twitter.com/cordeiro/status/1592278517856845827")</f>
        <v>https://twitter.com/cordeiro/status/1592278517856845827</v>
      </c>
      <c r="AD250" s="66"/>
      <c r="AE250" s="66"/>
      <c r="AF250" s="97" t="s">
        <v>707</v>
      </c>
      <c r="AG250" s="66"/>
      <c r="AH250" s="66" t="b">
        <v>0</v>
      </c>
      <c r="AI250" s="66">
        <v>1</v>
      </c>
      <c r="AJ250" s="97" t="s">
        <v>712</v>
      </c>
      <c r="AK250" s="66" t="b">
        <v>0</v>
      </c>
      <c r="AL250" s="66" t="s">
        <v>715</v>
      </c>
      <c r="AM250" s="66"/>
      <c r="AN250" s="97" t="s">
        <v>712</v>
      </c>
      <c r="AO250" s="66" t="b">
        <v>0</v>
      </c>
      <c r="AP250" s="66">
        <v>1</v>
      </c>
      <c r="AQ250" s="97" t="s">
        <v>712</v>
      </c>
      <c r="AR250" s="97" t="s">
        <v>724</v>
      </c>
      <c r="AS250" s="66" t="b">
        <v>0</v>
      </c>
      <c r="AT250" s="97" t="s">
        <v>707</v>
      </c>
      <c r="AU250" s="66" t="s">
        <v>241</v>
      </c>
      <c r="AV250" s="66">
        <v>0</v>
      </c>
      <c r="AW250" s="66">
        <v>0</v>
      </c>
      <c r="AX250" s="66"/>
      <c r="AY250" s="66"/>
      <c r="AZ250" s="66"/>
      <c r="BA250" s="66"/>
      <c r="BB250" s="66"/>
      <c r="BC250" s="66"/>
      <c r="BD250" s="66"/>
      <c r="BE250" s="66"/>
      <c r="BF250" s="45">
        <v>0</v>
      </c>
      <c r="BG250" s="46">
        <v>0</v>
      </c>
      <c r="BH250" s="45">
        <v>0</v>
      </c>
      <c r="BI250" s="46">
        <v>0</v>
      </c>
      <c r="BJ250" s="45">
        <v>0</v>
      </c>
      <c r="BK250" s="46">
        <v>0</v>
      </c>
      <c r="BL250" s="45">
        <v>13</v>
      </c>
      <c r="BM250" s="46">
        <v>68.42105263157895</v>
      </c>
      <c r="BN250" s="45">
        <v>19</v>
      </c>
    </row>
    <row r="251" spans="1:66" ht="15">
      <c r="A251" s="62" t="s">
        <v>305</v>
      </c>
      <c r="B251" s="62" t="s">
        <v>305</v>
      </c>
      <c r="C251" s="64" t="s">
        <v>1510</v>
      </c>
      <c r="D251" s="67">
        <v>10</v>
      </c>
      <c r="E251" s="68" t="s">
        <v>136</v>
      </c>
      <c r="F251" s="69">
        <v>6</v>
      </c>
      <c r="G251" s="64"/>
      <c r="H251" s="70"/>
      <c r="I251" s="71"/>
      <c r="J251" s="71"/>
      <c r="K251" s="31" t="s">
        <v>65</v>
      </c>
      <c r="L251" s="79">
        <v>251</v>
      </c>
      <c r="M251" s="79"/>
      <c r="N251" s="73"/>
      <c r="O251" s="66">
        <v>35</v>
      </c>
      <c r="P251" s="63" t="str">
        <f>REPLACE(INDEX(GroupVertices[Group],MATCH(Edges[[#This Row],[Vertex 1]],GroupVertices[Vertex],0)),1,1,"")</f>
        <v>4</v>
      </c>
      <c r="Q251" s="63" t="str">
        <f>REPLACE(INDEX(GroupVertices[Group],MATCH(Edges[[#This Row],[Vertex 2]],GroupVertices[Vertex],0)),1,1,"")</f>
        <v>4</v>
      </c>
      <c r="R251" s="66" t="s">
        <v>241</v>
      </c>
      <c r="S251" s="91">
        <v>44880.673101851855</v>
      </c>
      <c r="T251" s="66" t="s">
        <v>390</v>
      </c>
      <c r="U251" s="94" t="str">
        <f>HYPERLINK("https://www.eldebate.com/salud-y-bienestar/salud/20221113/criopreservacion-reto-ciencia-siglo-xxi_72373.html")</f>
        <v>https://www.eldebate.com/salud-y-bienestar/salud/20221113/criopreservacion-reto-ciencia-siglo-xxi_72373.html</v>
      </c>
      <c r="V251" s="66" t="s">
        <v>415</v>
      </c>
      <c r="W251" s="97" t="s">
        <v>440</v>
      </c>
      <c r="X251" s="66"/>
      <c r="Y251" s="94" t="str">
        <f>HYPERLINK("https://pbs.twimg.com/profile_images/1078408329045725184/ix0-gmNx_normal.jpg")</f>
        <v>https://pbs.twimg.com/profile_images/1078408329045725184/ix0-gmNx_normal.jpg</v>
      </c>
      <c r="Z251" s="91">
        <v>44880.673101851855</v>
      </c>
      <c r="AA251" s="100">
        <v>44880</v>
      </c>
      <c r="AB251" s="97" t="s">
        <v>571</v>
      </c>
      <c r="AC251" s="94" t="str">
        <f>HYPERLINK("https://twitter.com/cordeiro/status/1592550308684746758")</f>
        <v>https://twitter.com/cordeiro/status/1592550308684746758</v>
      </c>
      <c r="AD251" s="66"/>
      <c r="AE251" s="66"/>
      <c r="AF251" s="97" t="s">
        <v>708</v>
      </c>
      <c r="AG251" s="66"/>
      <c r="AH251" s="66" t="b">
        <v>0</v>
      </c>
      <c r="AI251" s="66">
        <v>1</v>
      </c>
      <c r="AJ251" s="97" t="s">
        <v>712</v>
      </c>
      <c r="AK251" s="66" t="b">
        <v>0</v>
      </c>
      <c r="AL251" s="66" t="s">
        <v>715</v>
      </c>
      <c r="AM251" s="66"/>
      <c r="AN251" s="97" t="s">
        <v>712</v>
      </c>
      <c r="AO251" s="66" t="b">
        <v>0</v>
      </c>
      <c r="AP251" s="66">
        <v>0</v>
      </c>
      <c r="AQ251" s="97" t="s">
        <v>712</v>
      </c>
      <c r="AR251" s="97" t="s">
        <v>724</v>
      </c>
      <c r="AS251" s="66" t="b">
        <v>0</v>
      </c>
      <c r="AT251" s="97" t="s">
        <v>708</v>
      </c>
      <c r="AU251" s="66" t="s">
        <v>241</v>
      </c>
      <c r="AV251" s="66">
        <v>0</v>
      </c>
      <c r="AW251" s="66">
        <v>0</v>
      </c>
      <c r="AX251" s="66"/>
      <c r="AY251" s="66"/>
      <c r="AZ251" s="66"/>
      <c r="BA251" s="66"/>
      <c r="BB251" s="66"/>
      <c r="BC251" s="66"/>
      <c r="BD251" s="66"/>
      <c r="BE251" s="66"/>
      <c r="BF251" s="45">
        <v>0</v>
      </c>
      <c r="BG251" s="46">
        <v>0</v>
      </c>
      <c r="BH251" s="45">
        <v>0</v>
      </c>
      <c r="BI251" s="46">
        <v>0</v>
      </c>
      <c r="BJ251" s="45">
        <v>0</v>
      </c>
      <c r="BK251" s="46">
        <v>0</v>
      </c>
      <c r="BL251" s="45">
        <v>11</v>
      </c>
      <c r="BM251" s="46">
        <v>68.75</v>
      </c>
      <c r="BN251" s="45">
        <v>16</v>
      </c>
    </row>
    <row r="252" spans="1:66" ht="15">
      <c r="A252" s="62" t="s">
        <v>305</v>
      </c>
      <c r="B252" s="62" t="s">
        <v>305</v>
      </c>
      <c r="C252" s="64" t="s">
        <v>1510</v>
      </c>
      <c r="D252" s="67">
        <v>10</v>
      </c>
      <c r="E252" s="68" t="s">
        <v>136</v>
      </c>
      <c r="F252" s="69">
        <v>6</v>
      </c>
      <c r="G252" s="64"/>
      <c r="H252" s="70"/>
      <c r="I252" s="71"/>
      <c r="J252" s="71"/>
      <c r="K252" s="31" t="s">
        <v>65</v>
      </c>
      <c r="L252" s="79">
        <v>252</v>
      </c>
      <c r="M252" s="79"/>
      <c r="N252" s="73"/>
      <c r="O252" s="66">
        <v>35</v>
      </c>
      <c r="P252" s="63" t="str">
        <f>REPLACE(INDEX(GroupVertices[Group],MATCH(Edges[[#This Row],[Vertex 1]],GroupVertices[Vertex],0)),1,1,"")</f>
        <v>4</v>
      </c>
      <c r="Q252" s="63" t="str">
        <f>REPLACE(INDEX(GroupVertices[Group],MATCH(Edges[[#This Row],[Vertex 2]],GroupVertices[Vertex],0)),1,1,"")</f>
        <v>4</v>
      </c>
      <c r="R252" s="66" t="s">
        <v>241</v>
      </c>
      <c r="S252" s="91">
        <v>44883.39127314815</v>
      </c>
      <c r="T252" s="66" t="s">
        <v>391</v>
      </c>
      <c r="U252" s="94" t="str">
        <f>HYPERLINK("https://www.epe.es/es/tendencias-21/20221117/quedarian-100-anos-ver-primera-78673460")</f>
        <v>https://www.epe.es/es/tendencias-21/20221117/quedarian-100-anos-ver-primera-78673460</v>
      </c>
      <c r="V252" s="66" t="s">
        <v>419</v>
      </c>
      <c r="W252" s="97" t="s">
        <v>436</v>
      </c>
      <c r="X252" s="66"/>
      <c r="Y252" s="94" t="str">
        <f>HYPERLINK("https://pbs.twimg.com/profile_images/1078408329045725184/ix0-gmNx_normal.jpg")</f>
        <v>https://pbs.twimg.com/profile_images/1078408329045725184/ix0-gmNx_normal.jpg</v>
      </c>
      <c r="Z252" s="91">
        <v>44883.39127314815</v>
      </c>
      <c r="AA252" s="100">
        <v>44883</v>
      </c>
      <c r="AB252" s="97" t="s">
        <v>572</v>
      </c>
      <c r="AC252" s="94" t="str">
        <f>HYPERLINK("https://twitter.com/cordeiro/status/1593535339926274049")</f>
        <v>https://twitter.com/cordeiro/status/1593535339926274049</v>
      </c>
      <c r="AD252" s="66"/>
      <c r="AE252" s="66"/>
      <c r="AF252" s="97" t="s">
        <v>709</v>
      </c>
      <c r="AG252" s="66"/>
      <c r="AH252" s="66" t="b">
        <v>0</v>
      </c>
      <c r="AI252" s="66">
        <v>0</v>
      </c>
      <c r="AJ252" s="97" t="s">
        <v>712</v>
      </c>
      <c r="AK252" s="66" t="b">
        <v>0</v>
      </c>
      <c r="AL252" s="66" t="s">
        <v>715</v>
      </c>
      <c r="AM252" s="66"/>
      <c r="AN252" s="97" t="s">
        <v>712</v>
      </c>
      <c r="AO252" s="66" t="b">
        <v>0</v>
      </c>
      <c r="AP252" s="66">
        <v>0</v>
      </c>
      <c r="AQ252" s="97" t="s">
        <v>712</v>
      </c>
      <c r="AR252" s="97" t="s">
        <v>724</v>
      </c>
      <c r="AS252" s="66" t="b">
        <v>0</v>
      </c>
      <c r="AT252" s="97" t="s">
        <v>709</v>
      </c>
      <c r="AU252" s="66" t="s">
        <v>241</v>
      </c>
      <c r="AV252" s="66">
        <v>0</v>
      </c>
      <c r="AW252" s="66">
        <v>0</v>
      </c>
      <c r="AX252" s="66"/>
      <c r="AY252" s="66"/>
      <c r="AZ252" s="66"/>
      <c r="BA252" s="66"/>
      <c r="BB252" s="66"/>
      <c r="BC252" s="66"/>
      <c r="BD252" s="66"/>
      <c r="BE252" s="66"/>
      <c r="BF252" s="45">
        <v>0</v>
      </c>
      <c r="BG252" s="46">
        <v>0</v>
      </c>
      <c r="BH252" s="45">
        <v>0</v>
      </c>
      <c r="BI252" s="46">
        <v>0</v>
      </c>
      <c r="BJ252" s="45">
        <v>0</v>
      </c>
      <c r="BK252" s="46">
        <v>0</v>
      </c>
      <c r="BL252" s="45">
        <v>11</v>
      </c>
      <c r="BM252" s="46">
        <v>78.57142857142857</v>
      </c>
      <c r="BN252" s="45">
        <v>14</v>
      </c>
    </row>
    <row r="253" spans="1:66" ht="15">
      <c r="A253" s="80" t="s">
        <v>305</v>
      </c>
      <c r="B253" s="80" t="s">
        <v>305</v>
      </c>
      <c r="C253" s="81" t="s">
        <v>1510</v>
      </c>
      <c r="D253" s="82">
        <v>10</v>
      </c>
      <c r="E253" s="83" t="s">
        <v>136</v>
      </c>
      <c r="F253" s="84">
        <v>6</v>
      </c>
      <c r="G253" s="81"/>
      <c r="H253" s="85"/>
      <c r="I253" s="86"/>
      <c r="J253" s="86"/>
      <c r="K253" s="31" t="s">
        <v>65</v>
      </c>
      <c r="L253" s="87">
        <v>253</v>
      </c>
      <c r="M253" s="87"/>
      <c r="N253" s="88"/>
      <c r="O253" s="89">
        <v>35</v>
      </c>
      <c r="P253" s="63" t="str">
        <f>REPLACE(INDEX(GroupVertices[Group],MATCH(Edges[[#This Row],[Vertex 1]],GroupVertices[Vertex],0)),1,1,"")</f>
        <v>4</v>
      </c>
      <c r="Q253" s="63" t="str">
        <f>REPLACE(INDEX(GroupVertices[Group],MATCH(Edges[[#This Row],[Vertex 2]],GroupVertices[Vertex],0)),1,1,"")</f>
        <v>4</v>
      </c>
      <c r="R253" s="89" t="s">
        <v>241</v>
      </c>
      <c r="S253" s="92">
        <v>44883.67327546296</v>
      </c>
      <c r="T253" s="89" t="s">
        <v>392</v>
      </c>
      <c r="U253" s="95" t="str">
        <f>HYPERLINK("https://www.cuatro.com/horizonte/20221110/ambulancias-futuro-criopreservar-cuerpos-asi-son_18_07948877.html")</f>
        <v>https://www.cuatro.com/horizonte/20221110/ambulancias-futuro-criopreservar-cuerpos-asi-son_18_07948877.html</v>
      </c>
      <c r="V253" s="89" t="s">
        <v>420</v>
      </c>
      <c r="W253" s="98" t="s">
        <v>441</v>
      </c>
      <c r="X253" s="89"/>
      <c r="Y253" s="95" t="str">
        <f>HYPERLINK("https://pbs.twimg.com/profile_images/1078408329045725184/ix0-gmNx_normal.jpg")</f>
        <v>https://pbs.twimg.com/profile_images/1078408329045725184/ix0-gmNx_normal.jpg</v>
      </c>
      <c r="Z253" s="92">
        <v>44883.67327546296</v>
      </c>
      <c r="AA253" s="101">
        <v>44883</v>
      </c>
      <c r="AB253" s="98" t="s">
        <v>573</v>
      </c>
      <c r="AC253" s="95" t="str">
        <f>HYPERLINK("https://twitter.com/cordeiro/status/1593637537586839556")</f>
        <v>https://twitter.com/cordeiro/status/1593637537586839556</v>
      </c>
      <c r="AD253" s="89"/>
      <c r="AE253" s="89"/>
      <c r="AF253" s="98" t="s">
        <v>710</v>
      </c>
      <c r="AG253" s="89"/>
      <c r="AH253" s="89" t="b">
        <v>0</v>
      </c>
      <c r="AI253" s="89">
        <v>0</v>
      </c>
      <c r="AJ253" s="98" t="s">
        <v>712</v>
      </c>
      <c r="AK253" s="89" t="b">
        <v>0</v>
      </c>
      <c r="AL253" s="89" t="s">
        <v>715</v>
      </c>
      <c r="AM253" s="89"/>
      <c r="AN253" s="98" t="s">
        <v>712</v>
      </c>
      <c r="AO253" s="89" t="b">
        <v>0</v>
      </c>
      <c r="AP253" s="89">
        <v>0</v>
      </c>
      <c r="AQ253" s="98" t="s">
        <v>712</v>
      </c>
      <c r="AR253" s="98" t="s">
        <v>724</v>
      </c>
      <c r="AS253" s="89" t="b">
        <v>0</v>
      </c>
      <c r="AT253" s="98" t="s">
        <v>710</v>
      </c>
      <c r="AU253" s="89" t="s">
        <v>241</v>
      </c>
      <c r="AV253" s="89">
        <v>0</v>
      </c>
      <c r="AW253" s="89">
        <v>0</v>
      </c>
      <c r="AX253" s="89"/>
      <c r="AY253" s="89"/>
      <c r="AZ253" s="89"/>
      <c r="BA253" s="89"/>
      <c r="BB253" s="89"/>
      <c r="BC253" s="89"/>
      <c r="BD253" s="89"/>
      <c r="BE253" s="89"/>
      <c r="BF253" s="45">
        <v>0</v>
      </c>
      <c r="BG253" s="46">
        <v>0</v>
      </c>
      <c r="BH253" s="45">
        <v>0</v>
      </c>
      <c r="BI253" s="46">
        <v>0</v>
      </c>
      <c r="BJ253" s="45">
        <v>0</v>
      </c>
      <c r="BK253" s="46">
        <v>0</v>
      </c>
      <c r="BL253" s="45">
        <v>9</v>
      </c>
      <c r="BM253" s="46">
        <v>75</v>
      </c>
      <c r="BN253" s="45">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3"/>
    <dataValidation allowBlank="1" showErrorMessage="1" sqref="N2:N2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3"/>
    <dataValidation allowBlank="1" showInputMessage="1" promptTitle="Edge Color" prompt="To select an optional edge color, right-click and select Select Color on the right-click menu." sqref="C3:C253"/>
    <dataValidation allowBlank="1" showInputMessage="1" promptTitle="Edge Width" prompt="Enter an optional edge width between 1 and 10." errorTitle="Invalid Edge Width" error="The optional edge width must be a whole number between 1 and 10." sqref="D3:D253"/>
    <dataValidation allowBlank="1" showInputMessage="1" promptTitle="Edge Opacity" prompt="Enter an optional edge opacity between 0 (transparent) and 100 (opaque)." errorTitle="Invalid Edge Opacity" error="The optional edge opacity must be a whole number between 0 and 10." sqref="F3:F2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3">
      <formula1>ValidEdgeVisibilities</formula1>
    </dataValidation>
    <dataValidation allowBlank="1" showInputMessage="1" showErrorMessage="1" promptTitle="Vertex 1 Name" prompt="Enter the name of the edge's first vertex." sqref="A3:A253"/>
    <dataValidation allowBlank="1" showInputMessage="1" showErrorMessage="1" promptTitle="Vertex 2 Name" prompt="Enter the name of the edge's second vertex." sqref="B3:B253"/>
    <dataValidation allowBlank="1" showInputMessage="1" showErrorMessage="1" promptTitle="Edge Label" prompt="Enter an optional edge label." errorTitle="Invalid Edge Visibility" error="You have entered an unrecognized edge visibility.  Try selecting from the drop-down list instead." sqref="H3:H2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65FA4-F60C-4539-8034-27C717B4DFAC}">
  <dimension ref="A1:G58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1240</v>
      </c>
      <c r="B1" s="7" t="s">
        <v>1431</v>
      </c>
      <c r="C1" s="7" t="s">
        <v>1435</v>
      </c>
      <c r="D1" s="7" t="s">
        <v>144</v>
      </c>
      <c r="E1" s="7" t="s">
        <v>1437</v>
      </c>
      <c r="F1" s="7" t="s">
        <v>1438</v>
      </c>
      <c r="G1" s="7" t="s">
        <v>1439</v>
      </c>
    </row>
    <row r="2" spans="1:7" ht="15">
      <c r="A2" s="63" t="s">
        <v>1241</v>
      </c>
      <c r="B2" s="63" t="s">
        <v>1432</v>
      </c>
      <c r="C2" s="109"/>
      <c r="D2" s="63"/>
      <c r="E2" s="63"/>
      <c r="F2" s="63"/>
      <c r="G2" s="63"/>
    </row>
    <row r="3" spans="1:7" ht="15">
      <c r="A3" s="66" t="s">
        <v>1242</v>
      </c>
      <c r="B3" s="63" t="s">
        <v>1433</v>
      </c>
      <c r="C3" s="109"/>
      <c r="D3" s="63"/>
      <c r="E3" s="63"/>
      <c r="F3" s="63"/>
      <c r="G3" s="63"/>
    </row>
    <row r="4" spans="1:7" ht="15">
      <c r="A4" s="66" t="s">
        <v>1243</v>
      </c>
      <c r="B4" s="63" t="s">
        <v>1434</v>
      </c>
      <c r="C4" s="109"/>
      <c r="D4" s="63"/>
      <c r="E4" s="63"/>
      <c r="F4" s="63"/>
      <c r="G4" s="63"/>
    </row>
    <row r="5" spans="1:7" ht="15">
      <c r="A5" s="66" t="s">
        <v>1244</v>
      </c>
      <c r="B5" s="63">
        <v>14</v>
      </c>
      <c r="C5" s="109">
        <v>0.005200594353640417</v>
      </c>
      <c r="D5" s="63"/>
      <c r="E5" s="63"/>
      <c r="F5" s="63"/>
      <c r="G5" s="63"/>
    </row>
    <row r="6" spans="1:7" ht="15">
      <c r="A6" s="66" t="s">
        <v>1245</v>
      </c>
      <c r="B6" s="63">
        <v>0</v>
      </c>
      <c r="C6" s="109">
        <v>0</v>
      </c>
      <c r="D6" s="63"/>
      <c r="E6" s="63"/>
      <c r="F6" s="63"/>
      <c r="G6" s="63"/>
    </row>
    <row r="7" spans="1:7" ht="15">
      <c r="A7" s="66" t="s">
        <v>1246</v>
      </c>
      <c r="B7" s="63">
        <v>0</v>
      </c>
      <c r="C7" s="109">
        <v>0</v>
      </c>
      <c r="D7" s="63"/>
      <c r="E7" s="63"/>
      <c r="F7" s="63"/>
      <c r="G7" s="63"/>
    </row>
    <row r="8" spans="1:7" ht="15">
      <c r="A8" s="66" t="s">
        <v>1247</v>
      </c>
      <c r="B8" s="63">
        <v>1946</v>
      </c>
      <c r="C8" s="109">
        <v>0.7228826151560179</v>
      </c>
      <c r="D8" s="63"/>
      <c r="E8" s="63"/>
      <c r="F8" s="63"/>
      <c r="G8" s="63"/>
    </row>
    <row r="9" spans="1:7" ht="15">
      <c r="A9" s="66" t="s">
        <v>1248</v>
      </c>
      <c r="B9" s="63">
        <v>2692</v>
      </c>
      <c r="C9" s="109">
        <v>1</v>
      </c>
      <c r="D9" s="63"/>
      <c r="E9" s="63"/>
      <c r="F9" s="63"/>
      <c r="G9" s="63"/>
    </row>
    <row r="10" spans="1:7" ht="15">
      <c r="A10" s="97" t="s">
        <v>1000</v>
      </c>
      <c r="B10" s="96">
        <v>137</v>
      </c>
      <c r="C10" s="110">
        <v>0</v>
      </c>
      <c r="D10" s="96" t="s">
        <v>1436</v>
      </c>
      <c r="E10" s="96" t="b">
        <v>0</v>
      </c>
      <c r="F10" s="96" t="b">
        <v>0</v>
      </c>
      <c r="G10" s="96" t="b">
        <v>0</v>
      </c>
    </row>
    <row r="11" spans="1:7" ht="15">
      <c r="A11" s="97" t="s">
        <v>982</v>
      </c>
      <c r="B11" s="96">
        <v>58</v>
      </c>
      <c r="C11" s="110">
        <v>0.011557947161591477</v>
      </c>
      <c r="D11" s="96" t="s">
        <v>1436</v>
      </c>
      <c r="E11" s="96" t="b">
        <v>0</v>
      </c>
      <c r="F11" s="96" t="b">
        <v>0</v>
      </c>
      <c r="G11" s="96" t="b">
        <v>0</v>
      </c>
    </row>
    <row r="12" spans="1:7" ht="15">
      <c r="A12" s="97" t="s">
        <v>1001</v>
      </c>
      <c r="B12" s="96">
        <v>52</v>
      </c>
      <c r="C12" s="110">
        <v>0.01099914309860412</v>
      </c>
      <c r="D12" s="96" t="s">
        <v>1436</v>
      </c>
      <c r="E12" s="96" t="b">
        <v>0</v>
      </c>
      <c r="F12" s="96" t="b">
        <v>0</v>
      </c>
      <c r="G12" s="96" t="b">
        <v>0</v>
      </c>
    </row>
    <row r="13" spans="1:7" ht="15">
      <c r="A13" s="97" t="s">
        <v>1002</v>
      </c>
      <c r="B13" s="96">
        <v>52</v>
      </c>
      <c r="C13" s="110">
        <v>0.011219618066888114</v>
      </c>
      <c r="D13" s="96" t="s">
        <v>1436</v>
      </c>
      <c r="E13" s="96" t="b">
        <v>0</v>
      </c>
      <c r="F13" s="96" t="b">
        <v>0</v>
      </c>
      <c r="G13" s="96" t="b">
        <v>0</v>
      </c>
    </row>
    <row r="14" spans="1:7" ht="15">
      <c r="A14" s="97" t="s">
        <v>1003</v>
      </c>
      <c r="B14" s="96">
        <v>51</v>
      </c>
      <c r="C14" s="110">
        <v>0.01100385618098642</v>
      </c>
      <c r="D14" s="96" t="s">
        <v>1436</v>
      </c>
      <c r="E14" s="96" t="b">
        <v>0</v>
      </c>
      <c r="F14" s="96" t="b">
        <v>0</v>
      </c>
      <c r="G14" s="96" t="b">
        <v>0</v>
      </c>
    </row>
    <row r="15" spans="1:7" ht="15">
      <c r="A15" s="97" t="s">
        <v>1004</v>
      </c>
      <c r="B15" s="96">
        <v>41</v>
      </c>
      <c r="C15" s="110">
        <v>0.010800103131173213</v>
      </c>
      <c r="D15" s="96" t="s">
        <v>1436</v>
      </c>
      <c r="E15" s="96" t="b">
        <v>0</v>
      </c>
      <c r="F15" s="96" t="b">
        <v>0</v>
      </c>
      <c r="G15" s="96" t="b">
        <v>0</v>
      </c>
    </row>
    <row r="16" spans="1:7" ht="15">
      <c r="A16" s="97" t="s">
        <v>875</v>
      </c>
      <c r="B16" s="96">
        <v>39</v>
      </c>
      <c r="C16" s="110">
        <v>0.010699136473135442</v>
      </c>
      <c r="D16" s="96" t="s">
        <v>1436</v>
      </c>
      <c r="E16" s="96" t="b">
        <v>0</v>
      </c>
      <c r="F16" s="96" t="b">
        <v>0</v>
      </c>
      <c r="G16" s="96" t="b">
        <v>0</v>
      </c>
    </row>
    <row r="17" spans="1:7" ht="15">
      <c r="A17" s="97" t="s">
        <v>1005</v>
      </c>
      <c r="B17" s="96">
        <v>36</v>
      </c>
      <c r="C17" s="110">
        <v>0.010505304369033838</v>
      </c>
      <c r="D17" s="96" t="s">
        <v>1436</v>
      </c>
      <c r="E17" s="96" t="b">
        <v>0</v>
      </c>
      <c r="F17" s="96" t="b">
        <v>0</v>
      </c>
      <c r="G17" s="96" t="b">
        <v>0</v>
      </c>
    </row>
    <row r="18" spans="1:7" ht="15">
      <c r="A18" s="97" t="s">
        <v>1006</v>
      </c>
      <c r="B18" s="96">
        <v>31</v>
      </c>
      <c r="C18" s="110">
        <v>0.010058383646549098</v>
      </c>
      <c r="D18" s="96" t="s">
        <v>1436</v>
      </c>
      <c r="E18" s="96" t="b">
        <v>0</v>
      </c>
      <c r="F18" s="96" t="b">
        <v>0</v>
      </c>
      <c r="G18" s="96" t="b">
        <v>0</v>
      </c>
    </row>
    <row r="19" spans="1:7" ht="15">
      <c r="A19" s="97" t="s">
        <v>1007</v>
      </c>
      <c r="B19" s="96">
        <v>30</v>
      </c>
      <c r="C19" s="110">
        <v>0.009948707578231438</v>
      </c>
      <c r="D19" s="96" t="s">
        <v>1436</v>
      </c>
      <c r="E19" s="96" t="b">
        <v>0</v>
      </c>
      <c r="F19" s="96" t="b">
        <v>0</v>
      </c>
      <c r="G19" s="96" t="b">
        <v>0</v>
      </c>
    </row>
    <row r="20" spans="1:7" ht="15">
      <c r="A20" s="97" t="s">
        <v>1013</v>
      </c>
      <c r="B20" s="96">
        <v>30</v>
      </c>
      <c r="C20" s="110">
        <v>0.009948707578231438</v>
      </c>
      <c r="D20" s="96" t="s">
        <v>1436</v>
      </c>
      <c r="E20" s="96" t="b">
        <v>0</v>
      </c>
      <c r="F20" s="96" t="b">
        <v>0</v>
      </c>
      <c r="G20" s="96" t="b">
        <v>0</v>
      </c>
    </row>
    <row r="21" spans="1:7" ht="15">
      <c r="A21" s="97" t="s">
        <v>1249</v>
      </c>
      <c r="B21" s="96">
        <v>30</v>
      </c>
      <c r="C21" s="110">
        <v>0.009948707578231438</v>
      </c>
      <c r="D21" s="96" t="s">
        <v>1436</v>
      </c>
      <c r="E21" s="96" t="b">
        <v>0</v>
      </c>
      <c r="F21" s="96" t="b">
        <v>0</v>
      </c>
      <c r="G21" s="96" t="b">
        <v>0</v>
      </c>
    </row>
    <row r="22" spans="1:7" ht="15">
      <c r="A22" s="97" t="s">
        <v>1250</v>
      </c>
      <c r="B22" s="96">
        <v>30</v>
      </c>
      <c r="C22" s="110">
        <v>0.009948707578231438</v>
      </c>
      <c r="D22" s="96" t="s">
        <v>1436</v>
      </c>
      <c r="E22" s="96" t="b">
        <v>0</v>
      </c>
      <c r="F22" s="96" t="b">
        <v>0</v>
      </c>
      <c r="G22" s="96" t="b">
        <v>0</v>
      </c>
    </row>
    <row r="23" spans="1:7" ht="15">
      <c r="A23" s="97" t="s">
        <v>1251</v>
      </c>
      <c r="B23" s="96">
        <v>30</v>
      </c>
      <c r="C23" s="110">
        <v>0.009948707578231438</v>
      </c>
      <c r="D23" s="96" t="s">
        <v>1436</v>
      </c>
      <c r="E23" s="96" t="b">
        <v>0</v>
      </c>
      <c r="F23" s="96" t="b">
        <v>0</v>
      </c>
      <c r="G23" s="96" t="b">
        <v>0</v>
      </c>
    </row>
    <row r="24" spans="1:7" ht="15">
      <c r="A24" s="97" t="s">
        <v>1012</v>
      </c>
      <c r="B24" s="96">
        <v>29</v>
      </c>
      <c r="C24" s="110">
        <v>0.009831751889625978</v>
      </c>
      <c r="D24" s="96" t="s">
        <v>1436</v>
      </c>
      <c r="E24" s="96" t="b">
        <v>0</v>
      </c>
      <c r="F24" s="96" t="b">
        <v>0</v>
      </c>
      <c r="G24" s="96" t="b">
        <v>0</v>
      </c>
    </row>
    <row r="25" spans="1:7" ht="15">
      <c r="A25" s="97" t="s">
        <v>1009</v>
      </c>
      <c r="B25" s="96">
        <v>27</v>
      </c>
      <c r="C25" s="110">
        <v>0.010782324248880551</v>
      </c>
      <c r="D25" s="96" t="s">
        <v>1436</v>
      </c>
      <c r="E25" s="96" t="b">
        <v>0</v>
      </c>
      <c r="F25" s="96" t="b">
        <v>0</v>
      </c>
      <c r="G25" s="96" t="b">
        <v>0</v>
      </c>
    </row>
    <row r="26" spans="1:7" ht="15">
      <c r="A26" s="97" t="s">
        <v>1252</v>
      </c>
      <c r="B26" s="96">
        <v>27</v>
      </c>
      <c r="C26" s="110">
        <v>0.009574979226209314</v>
      </c>
      <c r="D26" s="96" t="s">
        <v>1436</v>
      </c>
      <c r="E26" s="96" t="b">
        <v>0</v>
      </c>
      <c r="F26" s="96" t="b">
        <v>0</v>
      </c>
      <c r="G26" s="96" t="b">
        <v>0</v>
      </c>
    </row>
    <row r="27" spans="1:7" ht="15">
      <c r="A27" s="97" t="s">
        <v>1253</v>
      </c>
      <c r="B27" s="96">
        <v>26</v>
      </c>
      <c r="C27" s="110">
        <v>0.011846688180106311</v>
      </c>
      <c r="D27" s="96" t="s">
        <v>1436</v>
      </c>
      <c r="E27" s="96" t="b">
        <v>0</v>
      </c>
      <c r="F27" s="96" t="b">
        <v>0</v>
      </c>
      <c r="G27" s="96" t="b">
        <v>0</v>
      </c>
    </row>
    <row r="28" spans="1:7" ht="15">
      <c r="A28" s="97" t="s">
        <v>1010</v>
      </c>
      <c r="B28" s="96">
        <v>24</v>
      </c>
      <c r="C28" s="110">
        <v>0.010083747468988545</v>
      </c>
      <c r="D28" s="96" t="s">
        <v>1436</v>
      </c>
      <c r="E28" s="96" t="b">
        <v>0</v>
      </c>
      <c r="F28" s="96" t="b">
        <v>0</v>
      </c>
      <c r="G28" s="96" t="b">
        <v>0</v>
      </c>
    </row>
    <row r="29" spans="1:7" ht="15">
      <c r="A29" s="97" t="s">
        <v>1254</v>
      </c>
      <c r="B29" s="96">
        <v>21</v>
      </c>
      <c r="C29" s="110">
        <v>0.008599560945637123</v>
      </c>
      <c r="D29" s="96" t="s">
        <v>1436</v>
      </c>
      <c r="E29" s="96" t="b">
        <v>0</v>
      </c>
      <c r="F29" s="96" t="b">
        <v>0</v>
      </c>
      <c r="G29" s="96" t="b">
        <v>0</v>
      </c>
    </row>
    <row r="30" spans="1:7" ht="15">
      <c r="A30" s="97" t="s">
        <v>1255</v>
      </c>
      <c r="B30" s="96">
        <v>18</v>
      </c>
      <c r="C30" s="110">
        <v>0.007976905538942088</v>
      </c>
      <c r="D30" s="96" t="s">
        <v>1436</v>
      </c>
      <c r="E30" s="96" t="b">
        <v>0</v>
      </c>
      <c r="F30" s="96" t="b">
        <v>0</v>
      </c>
      <c r="G30" s="96" t="b">
        <v>0</v>
      </c>
    </row>
    <row r="31" spans="1:7" ht="15">
      <c r="A31" s="97" t="s">
        <v>976</v>
      </c>
      <c r="B31" s="96">
        <v>17</v>
      </c>
      <c r="C31" s="110">
        <v>0.007745911502377204</v>
      </c>
      <c r="D31" s="96" t="s">
        <v>1436</v>
      </c>
      <c r="E31" s="96" t="b">
        <v>0</v>
      </c>
      <c r="F31" s="96" t="b">
        <v>0</v>
      </c>
      <c r="G31" s="96" t="b">
        <v>0</v>
      </c>
    </row>
    <row r="32" spans="1:7" ht="15">
      <c r="A32" s="97" t="s">
        <v>1256</v>
      </c>
      <c r="B32" s="96">
        <v>17</v>
      </c>
      <c r="C32" s="110">
        <v>0.007745911502377204</v>
      </c>
      <c r="D32" s="96" t="s">
        <v>1436</v>
      </c>
      <c r="E32" s="96" t="b">
        <v>0</v>
      </c>
      <c r="F32" s="96" t="b">
        <v>0</v>
      </c>
      <c r="G32" s="96" t="b">
        <v>0</v>
      </c>
    </row>
    <row r="33" spans="1:7" ht="15">
      <c r="A33" s="97" t="s">
        <v>307</v>
      </c>
      <c r="B33" s="96">
        <v>16</v>
      </c>
      <c r="C33" s="110">
        <v>0.0075020660392195624</v>
      </c>
      <c r="D33" s="96" t="s">
        <v>1436</v>
      </c>
      <c r="E33" s="96" t="b">
        <v>0</v>
      </c>
      <c r="F33" s="96" t="b">
        <v>0</v>
      </c>
      <c r="G33" s="96" t="b">
        <v>0</v>
      </c>
    </row>
    <row r="34" spans="1:7" ht="15">
      <c r="A34" s="97" t="s">
        <v>1257</v>
      </c>
      <c r="B34" s="96">
        <v>16</v>
      </c>
      <c r="C34" s="110">
        <v>0.0075020660392195624</v>
      </c>
      <c r="D34" s="96" t="s">
        <v>1436</v>
      </c>
      <c r="E34" s="96" t="b">
        <v>0</v>
      </c>
      <c r="F34" s="96" t="b">
        <v>0</v>
      </c>
      <c r="G34" s="96" t="b">
        <v>0</v>
      </c>
    </row>
    <row r="35" spans="1:7" ht="15">
      <c r="A35" s="97" t="s">
        <v>308</v>
      </c>
      <c r="B35" s="96">
        <v>16</v>
      </c>
      <c r="C35" s="110">
        <v>0.0075020660392195624</v>
      </c>
      <c r="D35" s="96" t="s">
        <v>1436</v>
      </c>
      <c r="E35" s="96" t="b">
        <v>0</v>
      </c>
      <c r="F35" s="96" t="b">
        <v>0</v>
      </c>
      <c r="G35" s="96" t="b">
        <v>0</v>
      </c>
    </row>
    <row r="36" spans="1:7" ht="15">
      <c r="A36" s="97" t="s">
        <v>305</v>
      </c>
      <c r="B36" s="96">
        <v>16</v>
      </c>
      <c r="C36" s="110">
        <v>0.0075020660392195624</v>
      </c>
      <c r="D36" s="96" t="s">
        <v>1436</v>
      </c>
      <c r="E36" s="96" t="b">
        <v>0</v>
      </c>
      <c r="F36" s="96" t="b">
        <v>0</v>
      </c>
      <c r="G36" s="96" t="b">
        <v>0</v>
      </c>
    </row>
    <row r="37" spans="1:7" ht="15">
      <c r="A37" s="97" t="s">
        <v>1258</v>
      </c>
      <c r="B37" s="96">
        <v>16</v>
      </c>
      <c r="C37" s="110">
        <v>0.0075020660392195624</v>
      </c>
      <c r="D37" s="96" t="s">
        <v>1436</v>
      </c>
      <c r="E37" s="96" t="b">
        <v>0</v>
      </c>
      <c r="F37" s="96" t="b">
        <v>0</v>
      </c>
      <c r="G37" s="96" t="b">
        <v>0</v>
      </c>
    </row>
    <row r="38" spans="1:7" ht="15">
      <c r="A38" s="97" t="s">
        <v>1259</v>
      </c>
      <c r="B38" s="96">
        <v>16</v>
      </c>
      <c r="C38" s="110">
        <v>0.0075020660392195624</v>
      </c>
      <c r="D38" s="96" t="s">
        <v>1436</v>
      </c>
      <c r="E38" s="96" t="b">
        <v>0</v>
      </c>
      <c r="F38" s="96" t="b">
        <v>0</v>
      </c>
      <c r="G38" s="96" t="b">
        <v>0</v>
      </c>
    </row>
    <row r="39" spans="1:7" ht="15">
      <c r="A39" s="97" t="s">
        <v>1260</v>
      </c>
      <c r="B39" s="96">
        <v>14</v>
      </c>
      <c r="C39" s="110">
        <v>0.006972496450826728</v>
      </c>
      <c r="D39" s="96" t="s">
        <v>1436</v>
      </c>
      <c r="E39" s="96" t="b">
        <v>0</v>
      </c>
      <c r="F39" s="96" t="b">
        <v>0</v>
      </c>
      <c r="G39" s="96" t="b">
        <v>0</v>
      </c>
    </row>
    <row r="40" spans="1:7" ht="15">
      <c r="A40" s="97" t="s">
        <v>1261</v>
      </c>
      <c r="B40" s="96">
        <v>13</v>
      </c>
      <c r="C40" s="110">
        <v>0.006684818397709608</v>
      </c>
      <c r="D40" s="96" t="s">
        <v>1436</v>
      </c>
      <c r="E40" s="96" t="b">
        <v>0</v>
      </c>
      <c r="F40" s="96" t="b">
        <v>0</v>
      </c>
      <c r="G40" s="96" t="b">
        <v>0</v>
      </c>
    </row>
    <row r="41" spans="1:7" ht="15">
      <c r="A41" s="97" t="s">
        <v>1262</v>
      </c>
      <c r="B41" s="96">
        <v>13</v>
      </c>
      <c r="C41" s="110">
        <v>0.006684818397709608</v>
      </c>
      <c r="D41" s="96" t="s">
        <v>1436</v>
      </c>
      <c r="E41" s="96" t="b">
        <v>0</v>
      </c>
      <c r="F41" s="96" t="b">
        <v>0</v>
      </c>
      <c r="G41" s="96" t="b">
        <v>0</v>
      </c>
    </row>
    <row r="42" spans="1:7" ht="15">
      <c r="A42" s="97" t="s">
        <v>1263</v>
      </c>
      <c r="B42" s="96">
        <v>13</v>
      </c>
      <c r="C42" s="110">
        <v>0.006684818397709608</v>
      </c>
      <c r="D42" s="96" t="s">
        <v>1436</v>
      </c>
      <c r="E42" s="96" t="b">
        <v>0</v>
      </c>
      <c r="F42" s="96" t="b">
        <v>0</v>
      </c>
      <c r="G42" s="96" t="b">
        <v>0</v>
      </c>
    </row>
    <row r="43" spans="1:7" ht="15">
      <c r="A43" s="97" t="s">
        <v>1264</v>
      </c>
      <c r="B43" s="96">
        <v>13</v>
      </c>
      <c r="C43" s="110">
        <v>0.006684818397709608</v>
      </c>
      <c r="D43" s="96" t="s">
        <v>1436</v>
      </c>
      <c r="E43" s="96" t="b">
        <v>0</v>
      </c>
      <c r="F43" s="96" t="b">
        <v>0</v>
      </c>
      <c r="G43" s="96" t="b">
        <v>0</v>
      </c>
    </row>
    <row r="44" spans="1:7" ht="15">
      <c r="A44" s="97" t="s">
        <v>301</v>
      </c>
      <c r="B44" s="96">
        <v>12</v>
      </c>
      <c r="C44" s="110">
        <v>0.006380327729163089</v>
      </c>
      <c r="D44" s="96" t="s">
        <v>1436</v>
      </c>
      <c r="E44" s="96" t="b">
        <v>0</v>
      </c>
      <c r="F44" s="96" t="b">
        <v>0</v>
      </c>
      <c r="G44" s="96" t="b">
        <v>0</v>
      </c>
    </row>
    <row r="45" spans="1:7" ht="15">
      <c r="A45" s="97" t="s">
        <v>1265</v>
      </c>
      <c r="B45" s="96">
        <v>12</v>
      </c>
      <c r="C45" s="110">
        <v>0.006380327729163089</v>
      </c>
      <c r="D45" s="96" t="s">
        <v>1436</v>
      </c>
      <c r="E45" s="96" t="b">
        <v>0</v>
      </c>
      <c r="F45" s="96" t="b">
        <v>0</v>
      </c>
      <c r="G45" s="96" t="b">
        <v>0</v>
      </c>
    </row>
    <row r="46" spans="1:7" ht="15">
      <c r="A46" s="97" t="s">
        <v>1266</v>
      </c>
      <c r="B46" s="96">
        <v>12</v>
      </c>
      <c r="C46" s="110">
        <v>0.006380327729163089</v>
      </c>
      <c r="D46" s="96" t="s">
        <v>1436</v>
      </c>
      <c r="E46" s="96" t="b">
        <v>0</v>
      </c>
      <c r="F46" s="96" t="b">
        <v>0</v>
      </c>
      <c r="G46" s="96" t="b">
        <v>0</v>
      </c>
    </row>
    <row r="47" spans="1:7" ht="15">
      <c r="A47" s="97" t="s">
        <v>1267</v>
      </c>
      <c r="B47" s="96">
        <v>11</v>
      </c>
      <c r="C47" s="110">
        <v>0.006057620262433384</v>
      </c>
      <c r="D47" s="96" t="s">
        <v>1436</v>
      </c>
      <c r="E47" s="96" t="b">
        <v>0</v>
      </c>
      <c r="F47" s="96" t="b">
        <v>0</v>
      </c>
      <c r="G47" s="96" t="b">
        <v>0</v>
      </c>
    </row>
    <row r="48" spans="1:7" ht="15">
      <c r="A48" s="97" t="s">
        <v>1268</v>
      </c>
      <c r="B48" s="96">
        <v>11</v>
      </c>
      <c r="C48" s="110">
        <v>0.006057620262433384</v>
      </c>
      <c r="D48" s="96" t="s">
        <v>1436</v>
      </c>
      <c r="E48" s="96" t="b">
        <v>0</v>
      </c>
      <c r="F48" s="96" t="b">
        <v>0</v>
      </c>
      <c r="G48" s="96" t="b">
        <v>0</v>
      </c>
    </row>
    <row r="49" spans="1:7" ht="15">
      <c r="A49" s="97" t="s">
        <v>1269</v>
      </c>
      <c r="B49" s="96">
        <v>11</v>
      </c>
      <c r="C49" s="110">
        <v>0.006057620262433384</v>
      </c>
      <c r="D49" s="96" t="s">
        <v>1436</v>
      </c>
      <c r="E49" s="96" t="b">
        <v>0</v>
      </c>
      <c r="F49" s="96" t="b">
        <v>0</v>
      </c>
      <c r="G49" s="96" t="b">
        <v>0</v>
      </c>
    </row>
    <row r="50" spans="1:7" ht="15">
      <c r="A50" s="97" t="s">
        <v>1270</v>
      </c>
      <c r="B50" s="96">
        <v>11</v>
      </c>
      <c r="C50" s="110">
        <v>0.006057620262433384</v>
      </c>
      <c r="D50" s="96" t="s">
        <v>1436</v>
      </c>
      <c r="E50" s="96" t="b">
        <v>0</v>
      </c>
      <c r="F50" s="96" t="b">
        <v>0</v>
      </c>
      <c r="G50" s="96" t="b">
        <v>0</v>
      </c>
    </row>
    <row r="51" spans="1:7" ht="15">
      <c r="A51" s="97" t="s">
        <v>1271</v>
      </c>
      <c r="B51" s="96">
        <v>11</v>
      </c>
      <c r="C51" s="110">
        <v>0.006057620262433384</v>
      </c>
      <c r="D51" s="96" t="s">
        <v>1436</v>
      </c>
      <c r="E51" s="96" t="b">
        <v>0</v>
      </c>
      <c r="F51" s="96" t="b">
        <v>0</v>
      </c>
      <c r="G51" s="96" t="b">
        <v>0</v>
      </c>
    </row>
    <row r="52" spans="1:7" ht="15">
      <c r="A52" s="97" t="s">
        <v>1272</v>
      </c>
      <c r="B52" s="96">
        <v>11</v>
      </c>
      <c r="C52" s="110">
        <v>0.006057620262433384</v>
      </c>
      <c r="D52" s="96" t="s">
        <v>1436</v>
      </c>
      <c r="E52" s="96" t="b">
        <v>0</v>
      </c>
      <c r="F52" s="96" t="b">
        <v>0</v>
      </c>
      <c r="G52" s="96" t="b">
        <v>0</v>
      </c>
    </row>
    <row r="53" spans="1:7" ht="15">
      <c r="A53" s="97" t="s">
        <v>1273</v>
      </c>
      <c r="B53" s="96">
        <v>11</v>
      </c>
      <c r="C53" s="110">
        <v>0.006286539084324019</v>
      </c>
      <c r="D53" s="96" t="s">
        <v>1436</v>
      </c>
      <c r="E53" s="96" t="b">
        <v>0</v>
      </c>
      <c r="F53" s="96" t="b">
        <v>0</v>
      </c>
      <c r="G53" s="96" t="b">
        <v>0</v>
      </c>
    </row>
    <row r="54" spans="1:7" ht="15">
      <c r="A54" s="97" t="s">
        <v>1274</v>
      </c>
      <c r="B54" s="96">
        <v>10</v>
      </c>
      <c r="C54" s="110">
        <v>0.005715035531203654</v>
      </c>
      <c r="D54" s="96" t="s">
        <v>1436</v>
      </c>
      <c r="E54" s="96" t="b">
        <v>0</v>
      </c>
      <c r="F54" s="96" t="b">
        <v>0</v>
      </c>
      <c r="G54" s="96" t="b">
        <v>0</v>
      </c>
    </row>
    <row r="55" spans="1:7" ht="15">
      <c r="A55" s="97" t="s">
        <v>1015</v>
      </c>
      <c r="B55" s="96">
        <v>10</v>
      </c>
      <c r="C55" s="110">
        <v>0.005715035531203654</v>
      </c>
      <c r="D55" s="96" t="s">
        <v>1436</v>
      </c>
      <c r="E55" s="96" t="b">
        <v>0</v>
      </c>
      <c r="F55" s="96" t="b">
        <v>0</v>
      </c>
      <c r="G55" s="96" t="b">
        <v>0</v>
      </c>
    </row>
    <row r="56" spans="1:7" ht="15">
      <c r="A56" s="97" t="s">
        <v>1275</v>
      </c>
      <c r="B56" s="96">
        <v>10</v>
      </c>
      <c r="C56" s="110">
        <v>0.005715035531203654</v>
      </c>
      <c r="D56" s="96" t="s">
        <v>1436</v>
      </c>
      <c r="E56" s="96" t="b">
        <v>0</v>
      </c>
      <c r="F56" s="96" t="b">
        <v>0</v>
      </c>
      <c r="G56" s="96" t="b">
        <v>0</v>
      </c>
    </row>
    <row r="57" spans="1:7" ht="15">
      <c r="A57" s="97" t="s">
        <v>1276</v>
      </c>
      <c r="B57" s="96">
        <v>10</v>
      </c>
      <c r="C57" s="110">
        <v>0.005715035531203654</v>
      </c>
      <c r="D57" s="96" t="s">
        <v>1436</v>
      </c>
      <c r="E57" s="96" t="b">
        <v>0</v>
      </c>
      <c r="F57" s="96" t="b">
        <v>0</v>
      </c>
      <c r="G57" s="96" t="b">
        <v>0</v>
      </c>
    </row>
    <row r="58" spans="1:7" ht="15">
      <c r="A58" s="97" t="s">
        <v>1277</v>
      </c>
      <c r="B58" s="96">
        <v>10</v>
      </c>
      <c r="C58" s="110">
        <v>0.005715035531203654</v>
      </c>
      <c r="D58" s="96" t="s">
        <v>1436</v>
      </c>
      <c r="E58" s="96" t="b">
        <v>0</v>
      </c>
      <c r="F58" s="96" t="b">
        <v>0</v>
      </c>
      <c r="G58" s="96" t="b">
        <v>0</v>
      </c>
    </row>
    <row r="59" spans="1:7" ht="15">
      <c r="A59" s="97" t="s">
        <v>1278</v>
      </c>
      <c r="B59" s="96">
        <v>10</v>
      </c>
      <c r="C59" s="110">
        <v>0.005715035531203654</v>
      </c>
      <c r="D59" s="96" t="s">
        <v>1436</v>
      </c>
      <c r="E59" s="96" t="b">
        <v>0</v>
      </c>
      <c r="F59" s="96" t="b">
        <v>0</v>
      </c>
      <c r="G59" s="96" t="b">
        <v>0</v>
      </c>
    </row>
    <row r="60" spans="1:7" ht="15">
      <c r="A60" s="97" t="s">
        <v>1279</v>
      </c>
      <c r="B60" s="96">
        <v>10</v>
      </c>
      <c r="C60" s="110">
        <v>0.005715035531203654</v>
      </c>
      <c r="D60" s="96" t="s">
        <v>1436</v>
      </c>
      <c r="E60" s="96" t="b">
        <v>0</v>
      </c>
      <c r="F60" s="96" t="b">
        <v>0</v>
      </c>
      <c r="G60" s="96" t="b">
        <v>0</v>
      </c>
    </row>
    <row r="61" spans="1:7" ht="15">
      <c r="A61" s="97" t="s">
        <v>1280</v>
      </c>
      <c r="B61" s="96">
        <v>9</v>
      </c>
      <c r="C61" s="110">
        <v>0.005350579446683629</v>
      </c>
      <c r="D61" s="96" t="s">
        <v>1436</v>
      </c>
      <c r="E61" s="96" t="b">
        <v>0</v>
      </c>
      <c r="F61" s="96" t="b">
        <v>0</v>
      </c>
      <c r="G61" s="96" t="b">
        <v>0</v>
      </c>
    </row>
    <row r="62" spans="1:7" ht="15">
      <c r="A62" s="97" t="s">
        <v>1281</v>
      </c>
      <c r="B62" s="96">
        <v>9</v>
      </c>
      <c r="C62" s="110">
        <v>0.005350579446683629</v>
      </c>
      <c r="D62" s="96" t="s">
        <v>1436</v>
      </c>
      <c r="E62" s="96" t="b">
        <v>0</v>
      </c>
      <c r="F62" s="96" t="b">
        <v>0</v>
      </c>
      <c r="G62" s="96" t="b">
        <v>0</v>
      </c>
    </row>
    <row r="63" spans="1:7" ht="15">
      <c r="A63" s="97" t="s">
        <v>1282</v>
      </c>
      <c r="B63" s="96">
        <v>9</v>
      </c>
      <c r="C63" s="110">
        <v>0.005350579446683629</v>
      </c>
      <c r="D63" s="96" t="s">
        <v>1436</v>
      </c>
      <c r="E63" s="96" t="b">
        <v>0</v>
      </c>
      <c r="F63" s="96" t="b">
        <v>0</v>
      </c>
      <c r="G63" s="96" t="b">
        <v>0</v>
      </c>
    </row>
    <row r="64" spans="1:7" ht="15">
      <c r="A64" s="97" t="s">
        <v>1283</v>
      </c>
      <c r="B64" s="96">
        <v>9</v>
      </c>
      <c r="C64" s="110">
        <v>0.005350579446683629</v>
      </c>
      <c r="D64" s="96" t="s">
        <v>1436</v>
      </c>
      <c r="E64" s="96" t="b">
        <v>0</v>
      </c>
      <c r="F64" s="96" t="b">
        <v>0</v>
      </c>
      <c r="G64" s="96" t="b">
        <v>0</v>
      </c>
    </row>
    <row r="65" spans="1:7" ht="15">
      <c r="A65" s="97" t="s">
        <v>1284</v>
      </c>
      <c r="B65" s="96">
        <v>9</v>
      </c>
      <c r="C65" s="110">
        <v>0.005350579446683629</v>
      </c>
      <c r="D65" s="96" t="s">
        <v>1436</v>
      </c>
      <c r="E65" s="96" t="b">
        <v>0</v>
      </c>
      <c r="F65" s="96" t="b">
        <v>0</v>
      </c>
      <c r="G65" s="96" t="b">
        <v>0</v>
      </c>
    </row>
    <row r="66" spans="1:7" ht="15">
      <c r="A66" s="97" t="s">
        <v>1285</v>
      </c>
      <c r="B66" s="96">
        <v>9</v>
      </c>
      <c r="C66" s="110">
        <v>0.005350579446683629</v>
      </c>
      <c r="D66" s="96" t="s">
        <v>1436</v>
      </c>
      <c r="E66" s="96" t="b">
        <v>0</v>
      </c>
      <c r="F66" s="96" t="b">
        <v>0</v>
      </c>
      <c r="G66" s="96" t="b">
        <v>0</v>
      </c>
    </row>
    <row r="67" spans="1:7" ht="15">
      <c r="A67" s="97" t="s">
        <v>310</v>
      </c>
      <c r="B67" s="96">
        <v>9</v>
      </c>
      <c r="C67" s="110">
        <v>0.005350579446683629</v>
      </c>
      <c r="D67" s="96" t="s">
        <v>1436</v>
      </c>
      <c r="E67" s="96" t="b">
        <v>0</v>
      </c>
      <c r="F67" s="96" t="b">
        <v>0</v>
      </c>
      <c r="G67" s="96" t="b">
        <v>0</v>
      </c>
    </row>
    <row r="68" spans="1:7" ht="15">
      <c r="A68" s="97" t="s">
        <v>1286</v>
      </c>
      <c r="B68" s="96">
        <v>9</v>
      </c>
      <c r="C68" s="110">
        <v>0.005350579446683629</v>
      </c>
      <c r="D68" s="96" t="s">
        <v>1436</v>
      </c>
      <c r="E68" s="96" t="b">
        <v>0</v>
      </c>
      <c r="F68" s="96" t="b">
        <v>0</v>
      </c>
      <c r="G68" s="96" t="b">
        <v>0</v>
      </c>
    </row>
    <row r="69" spans="1:7" ht="15">
      <c r="A69" s="97" t="s">
        <v>300</v>
      </c>
      <c r="B69" s="96">
        <v>9</v>
      </c>
      <c r="C69" s="110">
        <v>0.005350579446683629</v>
      </c>
      <c r="D69" s="96" t="s">
        <v>1436</v>
      </c>
      <c r="E69" s="96" t="b">
        <v>0</v>
      </c>
      <c r="F69" s="96" t="b">
        <v>0</v>
      </c>
      <c r="G69" s="96" t="b">
        <v>0</v>
      </c>
    </row>
    <row r="70" spans="1:7" ht="15">
      <c r="A70" s="97" t="s">
        <v>1287</v>
      </c>
      <c r="B70" s="96">
        <v>8</v>
      </c>
      <c r="C70" s="110">
        <v>0.004961812288243189</v>
      </c>
      <c r="D70" s="96" t="s">
        <v>1436</v>
      </c>
      <c r="E70" s="96" t="b">
        <v>0</v>
      </c>
      <c r="F70" s="96" t="b">
        <v>0</v>
      </c>
      <c r="G70" s="96" t="b">
        <v>0</v>
      </c>
    </row>
    <row r="71" spans="1:7" ht="15">
      <c r="A71" s="97" t="s">
        <v>1288</v>
      </c>
      <c r="B71" s="96">
        <v>8</v>
      </c>
      <c r="C71" s="110">
        <v>0.004961812288243189</v>
      </c>
      <c r="D71" s="96" t="s">
        <v>1436</v>
      </c>
      <c r="E71" s="96" t="b">
        <v>0</v>
      </c>
      <c r="F71" s="96" t="b">
        <v>0</v>
      </c>
      <c r="G71" s="96" t="b">
        <v>0</v>
      </c>
    </row>
    <row r="72" spans="1:7" ht="15">
      <c r="A72" s="97" t="s">
        <v>1289</v>
      </c>
      <c r="B72" s="96">
        <v>8</v>
      </c>
      <c r="C72" s="110">
        <v>0.004961812288243189</v>
      </c>
      <c r="D72" s="96" t="s">
        <v>1436</v>
      </c>
      <c r="E72" s="96" t="b">
        <v>0</v>
      </c>
      <c r="F72" s="96" t="b">
        <v>0</v>
      </c>
      <c r="G72" s="96" t="b">
        <v>0</v>
      </c>
    </row>
    <row r="73" spans="1:7" ht="15">
      <c r="A73" s="97" t="s">
        <v>1290</v>
      </c>
      <c r="B73" s="96">
        <v>8</v>
      </c>
      <c r="C73" s="110">
        <v>0.004961812288243189</v>
      </c>
      <c r="D73" s="96" t="s">
        <v>1436</v>
      </c>
      <c r="E73" s="96" t="b">
        <v>0</v>
      </c>
      <c r="F73" s="96" t="b">
        <v>0</v>
      </c>
      <c r="G73" s="96" t="b">
        <v>0</v>
      </c>
    </row>
    <row r="74" spans="1:7" ht="15">
      <c r="A74" s="97" t="s">
        <v>1291</v>
      </c>
      <c r="B74" s="96">
        <v>7</v>
      </c>
      <c r="C74" s="110">
        <v>0.004545680085467596</v>
      </c>
      <c r="D74" s="96" t="s">
        <v>1436</v>
      </c>
      <c r="E74" s="96" t="b">
        <v>1</v>
      </c>
      <c r="F74" s="96" t="b">
        <v>0</v>
      </c>
      <c r="G74" s="96" t="b">
        <v>0</v>
      </c>
    </row>
    <row r="75" spans="1:7" ht="15">
      <c r="A75" s="97" t="s">
        <v>1022</v>
      </c>
      <c r="B75" s="96">
        <v>7</v>
      </c>
      <c r="C75" s="110">
        <v>0.004545680085467596</v>
      </c>
      <c r="D75" s="96" t="s">
        <v>1436</v>
      </c>
      <c r="E75" s="96" t="b">
        <v>0</v>
      </c>
      <c r="F75" s="96" t="b">
        <v>0</v>
      </c>
      <c r="G75" s="96" t="b">
        <v>0</v>
      </c>
    </row>
    <row r="76" spans="1:7" ht="15">
      <c r="A76" s="97" t="s">
        <v>1019</v>
      </c>
      <c r="B76" s="96">
        <v>7</v>
      </c>
      <c r="C76" s="110">
        <v>0.004545680085467596</v>
      </c>
      <c r="D76" s="96" t="s">
        <v>1436</v>
      </c>
      <c r="E76" s="96" t="b">
        <v>0</v>
      </c>
      <c r="F76" s="96" t="b">
        <v>0</v>
      </c>
      <c r="G76" s="96" t="b">
        <v>0</v>
      </c>
    </row>
    <row r="77" spans="1:7" ht="15">
      <c r="A77" s="97" t="s">
        <v>1023</v>
      </c>
      <c r="B77" s="96">
        <v>7</v>
      </c>
      <c r="C77" s="110">
        <v>0.004545680085467596</v>
      </c>
      <c r="D77" s="96" t="s">
        <v>1436</v>
      </c>
      <c r="E77" s="96" t="b">
        <v>0</v>
      </c>
      <c r="F77" s="96" t="b">
        <v>0</v>
      </c>
      <c r="G77" s="96" t="b">
        <v>0</v>
      </c>
    </row>
    <row r="78" spans="1:7" ht="15">
      <c r="A78" s="97" t="s">
        <v>1021</v>
      </c>
      <c r="B78" s="96">
        <v>7</v>
      </c>
      <c r="C78" s="110">
        <v>0.004545680085467596</v>
      </c>
      <c r="D78" s="96" t="s">
        <v>1436</v>
      </c>
      <c r="E78" s="96" t="b">
        <v>0</v>
      </c>
      <c r="F78" s="96" t="b">
        <v>0</v>
      </c>
      <c r="G78" s="96" t="b">
        <v>0</v>
      </c>
    </row>
    <row r="79" spans="1:7" ht="15">
      <c r="A79" s="97" t="s">
        <v>1292</v>
      </c>
      <c r="B79" s="96">
        <v>7</v>
      </c>
      <c r="C79" s="110">
        <v>0.004545680085467596</v>
      </c>
      <c r="D79" s="96" t="s">
        <v>1436</v>
      </c>
      <c r="E79" s="96" t="b">
        <v>0</v>
      </c>
      <c r="F79" s="96" t="b">
        <v>0</v>
      </c>
      <c r="G79" s="96" t="b">
        <v>0</v>
      </c>
    </row>
    <row r="80" spans="1:7" ht="15">
      <c r="A80" s="97" t="s">
        <v>1293</v>
      </c>
      <c r="B80" s="96">
        <v>7</v>
      </c>
      <c r="C80" s="110">
        <v>0.004545680085467596</v>
      </c>
      <c r="D80" s="96" t="s">
        <v>1436</v>
      </c>
      <c r="E80" s="96" t="b">
        <v>0</v>
      </c>
      <c r="F80" s="96" t="b">
        <v>0</v>
      </c>
      <c r="G80" s="96" t="b">
        <v>0</v>
      </c>
    </row>
    <row r="81" spans="1:7" ht="15">
      <c r="A81" s="97" t="s">
        <v>304</v>
      </c>
      <c r="B81" s="96">
        <v>7</v>
      </c>
      <c r="C81" s="110">
        <v>0.004545680085467596</v>
      </c>
      <c r="D81" s="96" t="s">
        <v>1436</v>
      </c>
      <c r="E81" s="96" t="b">
        <v>0</v>
      </c>
      <c r="F81" s="96" t="b">
        <v>0</v>
      </c>
      <c r="G81" s="96" t="b">
        <v>0</v>
      </c>
    </row>
    <row r="82" spans="1:7" ht="15">
      <c r="A82" s="97" t="s">
        <v>1294</v>
      </c>
      <c r="B82" s="96">
        <v>7</v>
      </c>
      <c r="C82" s="110">
        <v>0.004545680085467596</v>
      </c>
      <c r="D82" s="96" t="s">
        <v>1436</v>
      </c>
      <c r="E82" s="96" t="b">
        <v>0</v>
      </c>
      <c r="F82" s="96" t="b">
        <v>0</v>
      </c>
      <c r="G82" s="96" t="b">
        <v>0</v>
      </c>
    </row>
    <row r="83" spans="1:7" ht="15">
      <c r="A83" s="97" t="s">
        <v>296</v>
      </c>
      <c r="B83" s="96">
        <v>6</v>
      </c>
      <c r="C83" s="110">
        <v>0.004098248316056601</v>
      </c>
      <c r="D83" s="96" t="s">
        <v>1436</v>
      </c>
      <c r="E83" s="96" t="b">
        <v>0</v>
      </c>
      <c r="F83" s="96" t="b">
        <v>0</v>
      </c>
      <c r="G83" s="96" t="b">
        <v>0</v>
      </c>
    </row>
    <row r="84" spans="1:7" ht="15">
      <c r="A84" s="97" t="s">
        <v>311</v>
      </c>
      <c r="B84" s="96">
        <v>6</v>
      </c>
      <c r="C84" s="110">
        <v>0.004098248316056601</v>
      </c>
      <c r="D84" s="96" t="s">
        <v>1436</v>
      </c>
      <c r="E84" s="96" t="b">
        <v>0</v>
      </c>
      <c r="F84" s="96" t="b">
        <v>0</v>
      </c>
      <c r="G84" s="96" t="b">
        <v>0</v>
      </c>
    </row>
    <row r="85" spans="1:7" ht="15">
      <c r="A85" s="97" t="s">
        <v>299</v>
      </c>
      <c r="B85" s="96">
        <v>6</v>
      </c>
      <c r="C85" s="110">
        <v>0.004098248316056601</v>
      </c>
      <c r="D85" s="96" t="s">
        <v>1436</v>
      </c>
      <c r="E85" s="96" t="b">
        <v>0</v>
      </c>
      <c r="F85" s="96" t="b">
        <v>0</v>
      </c>
      <c r="G85" s="96" t="b">
        <v>0</v>
      </c>
    </row>
    <row r="86" spans="1:7" ht="15">
      <c r="A86" s="97" t="s">
        <v>1295</v>
      </c>
      <c r="B86" s="96">
        <v>6</v>
      </c>
      <c r="C86" s="110">
        <v>0.004098248316056601</v>
      </c>
      <c r="D86" s="96" t="s">
        <v>1436</v>
      </c>
      <c r="E86" s="96" t="b">
        <v>0</v>
      </c>
      <c r="F86" s="96" t="b">
        <v>0</v>
      </c>
      <c r="G86" s="96" t="b">
        <v>0</v>
      </c>
    </row>
    <row r="87" spans="1:7" ht="15">
      <c r="A87" s="97" t="s">
        <v>1020</v>
      </c>
      <c r="B87" s="96">
        <v>6</v>
      </c>
      <c r="C87" s="110">
        <v>0.005006332767531658</v>
      </c>
      <c r="D87" s="96" t="s">
        <v>1436</v>
      </c>
      <c r="E87" s="96" t="b">
        <v>0</v>
      </c>
      <c r="F87" s="96" t="b">
        <v>0</v>
      </c>
      <c r="G87" s="96" t="b">
        <v>0</v>
      </c>
    </row>
    <row r="88" spans="1:7" ht="15">
      <c r="A88" s="97" t="s">
        <v>313</v>
      </c>
      <c r="B88" s="96">
        <v>6</v>
      </c>
      <c r="C88" s="110">
        <v>0.004098248316056601</v>
      </c>
      <c r="D88" s="96" t="s">
        <v>1436</v>
      </c>
      <c r="E88" s="96" t="b">
        <v>0</v>
      </c>
      <c r="F88" s="96" t="b">
        <v>0</v>
      </c>
      <c r="G88" s="96" t="b">
        <v>0</v>
      </c>
    </row>
    <row r="89" spans="1:7" ht="15">
      <c r="A89" s="97" t="s">
        <v>1296</v>
      </c>
      <c r="B89" s="96">
        <v>6</v>
      </c>
      <c r="C89" s="110">
        <v>0.004098248316056601</v>
      </c>
      <c r="D89" s="96" t="s">
        <v>1436</v>
      </c>
      <c r="E89" s="96" t="b">
        <v>0</v>
      </c>
      <c r="F89" s="96" t="b">
        <v>0</v>
      </c>
      <c r="G89" s="96" t="b">
        <v>0</v>
      </c>
    </row>
    <row r="90" spans="1:7" ht="15">
      <c r="A90" s="97" t="s">
        <v>309</v>
      </c>
      <c r="B90" s="96">
        <v>6</v>
      </c>
      <c r="C90" s="110">
        <v>0.004098248316056601</v>
      </c>
      <c r="D90" s="96" t="s">
        <v>1436</v>
      </c>
      <c r="E90" s="96" t="b">
        <v>0</v>
      </c>
      <c r="F90" s="96" t="b">
        <v>0</v>
      </c>
      <c r="G90" s="96" t="b">
        <v>0</v>
      </c>
    </row>
    <row r="91" spans="1:7" ht="15">
      <c r="A91" s="97" t="s">
        <v>1297</v>
      </c>
      <c r="B91" s="96">
        <v>6</v>
      </c>
      <c r="C91" s="110">
        <v>0.004098248316056601</v>
      </c>
      <c r="D91" s="96" t="s">
        <v>1436</v>
      </c>
      <c r="E91" s="96" t="b">
        <v>0</v>
      </c>
      <c r="F91" s="96" t="b">
        <v>0</v>
      </c>
      <c r="G91" s="96" t="b">
        <v>0</v>
      </c>
    </row>
    <row r="92" spans="1:7" ht="15">
      <c r="A92" s="97" t="s">
        <v>1298</v>
      </c>
      <c r="B92" s="96">
        <v>6</v>
      </c>
      <c r="C92" s="110">
        <v>0.004098248316056601</v>
      </c>
      <c r="D92" s="96" t="s">
        <v>1436</v>
      </c>
      <c r="E92" s="96" t="b">
        <v>0</v>
      </c>
      <c r="F92" s="96" t="b">
        <v>0</v>
      </c>
      <c r="G92" s="96" t="b">
        <v>0</v>
      </c>
    </row>
    <row r="93" spans="1:7" ht="15">
      <c r="A93" s="97" t="s">
        <v>1299</v>
      </c>
      <c r="B93" s="96">
        <v>6</v>
      </c>
      <c r="C93" s="110">
        <v>0.004098248316056601</v>
      </c>
      <c r="D93" s="96" t="s">
        <v>1436</v>
      </c>
      <c r="E93" s="96" t="b">
        <v>0</v>
      </c>
      <c r="F93" s="96" t="b">
        <v>0</v>
      </c>
      <c r="G93" s="96" t="b">
        <v>0</v>
      </c>
    </row>
    <row r="94" spans="1:7" ht="15">
      <c r="A94" s="97" t="s">
        <v>312</v>
      </c>
      <c r="B94" s="96">
        <v>6</v>
      </c>
      <c r="C94" s="110">
        <v>0.004098248316056601</v>
      </c>
      <c r="D94" s="96" t="s">
        <v>1436</v>
      </c>
      <c r="E94" s="96" t="b">
        <v>0</v>
      </c>
      <c r="F94" s="96" t="b">
        <v>0</v>
      </c>
      <c r="G94" s="96" t="b">
        <v>0</v>
      </c>
    </row>
    <row r="95" spans="1:7" ht="15">
      <c r="A95" s="97" t="s">
        <v>1016</v>
      </c>
      <c r="B95" s="96">
        <v>6</v>
      </c>
      <c r="C95" s="110">
        <v>0.004098248316056601</v>
      </c>
      <c r="D95" s="96" t="s">
        <v>1436</v>
      </c>
      <c r="E95" s="96" t="b">
        <v>0</v>
      </c>
      <c r="F95" s="96" t="b">
        <v>0</v>
      </c>
      <c r="G95" s="96" t="b">
        <v>0</v>
      </c>
    </row>
    <row r="96" spans="1:7" ht="15">
      <c r="A96" s="97" t="s">
        <v>1300</v>
      </c>
      <c r="B96" s="96">
        <v>6</v>
      </c>
      <c r="C96" s="110">
        <v>0.004098248316056601</v>
      </c>
      <c r="D96" s="96" t="s">
        <v>1436</v>
      </c>
      <c r="E96" s="96" t="b">
        <v>0</v>
      </c>
      <c r="F96" s="96" t="b">
        <v>0</v>
      </c>
      <c r="G96" s="96" t="b">
        <v>0</v>
      </c>
    </row>
    <row r="97" spans="1:7" ht="15">
      <c r="A97" s="97" t="s">
        <v>1301</v>
      </c>
      <c r="B97" s="96">
        <v>6</v>
      </c>
      <c r="C97" s="110">
        <v>0.004098248316056601</v>
      </c>
      <c r="D97" s="96" t="s">
        <v>1436</v>
      </c>
      <c r="E97" s="96" t="b">
        <v>0</v>
      </c>
      <c r="F97" s="96" t="b">
        <v>0</v>
      </c>
      <c r="G97" s="96" t="b">
        <v>0</v>
      </c>
    </row>
    <row r="98" spans="1:7" ht="15">
      <c r="A98" s="97" t="s">
        <v>1302</v>
      </c>
      <c r="B98" s="96">
        <v>6</v>
      </c>
      <c r="C98" s="110">
        <v>0.004098248316056601</v>
      </c>
      <c r="D98" s="96" t="s">
        <v>1436</v>
      </c>
      <c r="E98" s="96" t="b">
        <v>0</v>
      </c>
      <c r="F98" s="96" t="b">
        <v>0</v>
      </c>
      <c r="G98" s="96" t="b">
        <v>0</v>
      </c>
    </row>
    <row r="99" spans="1:7" ht="15">
      <c r="A99" s="97" t="s">
        <v>302</v>
      </c>
      <c r="B99" s="96">
        <v>6</v>
      </c>
      <c r="C99" s="110">
        <v>0.004098248316056601</v>
      </c>
      <c r="D99" s="96" t="s">
        <v>1436</v>
      </c>
      <c r="E99" s="96" t="b">
        <v>0</v>
      </c>
      <c r="F99" s="96" t="b">
        <v>0</v>
      </c>
      <c r="G99" s="96" t="b">
        <v>0</v>
      </c>
    </row>
    <row r="100" spans="1:7" ht="15">
      <c r="A100" s="97" t="s">
        <v>1303</v>
      </c>
      <c r="B100" s="96">
        <v>5</v>
      </c>
      <c r="C100" s="110">
        <v>0.0036142548084977075</v>
      </c>
      <c r="D100" s="96" t="s">
        <v>1436</v>
      </c>
      <c r="E100" s="96" t="b">
        <v>0</v>
      </c>
      <c r="F100" s="96" t="b">
        <v>0</v>
      </c>
      <c r="G100" s="96" t="b">
        <v>0</v>
      </c>
    </row>
    <row r="101" spans="1:7" ht="15">
      <c r="A101" s="97" t="s">
        <v>1304</v>
      </c>
      <c r="B101" s="96">
        <v>5</v>
      </c>
      <c r="C101" s="110">
        <v>0.0036142548084977075</v>
      </c>
      <c r="D101" s="96" t="s">
        <v>1436</v>
      </c>
      <c r="E101" s="96" t="b">
        <v>0</v>
      </c>
      <c r="F101" s="96" t="b">
        <v>0</v>
      </c>
      <c r="G101" s="96" t="b">
        <v>0</v>
      </c>
    </row>
    <row r="102" spans="1:7" ht="15">
      <c r="A102" s="97" t="s">
        <v>1305</v>
      </c>
      <c r="B102" s="96">
        <v>5</v>
      </c>
      <c r="C102" s="110">
        <v>0.0036142548084977075</v>
      </c>
      <c r="D102" s="96" t="s">
        <v>1436</v>
      </c>
      <c r="E102" s="96" t="b">
        <v>0</v>
      </c>
      <c r="F102" s="96" t="b">
        <v>0</v>
      </c>
      <c r="G102" s="96" t="b">
        <v>0</v>
      </c>
    </row>
    <row r="103" spans="1:7" ht="15">
      <c r="A103" s="97" t="s">
        <v>1306</v>
      </c>
      <c r="B103" s="96">
        <v>5</v>
      </c>
      <c r="C103" s="110">
        <v>0.0036142548084977075</v>
      </c>
      <c r="D103" s="96" t="s">
        <v>1436</v>
      </c>
      <c r="E103" s="96" t="b">
        <v>0</v>
      </c>
      <c r="F103" s="96" t="b">
        <v>0</v>
      </c>
      <c r="G103" s="96" t="b">
        <v>0</v>
      </c>
    </row>
    <row r="104" spans="1:7" ht="15">
      <c r="A104" s="97" t="s">
        <v>1307</v>
      </c>
      <c r="B104" s="96">
        <v>5</v>
      </c>
      <c r="C104" s="110">
        <v>0.0036142548084977075</v>
      </c>
      <c r="D104" s="96" t="s">
        <v>1436</v>
      </c>
      <c r="E104" s="96" t="b">
        <v>0</v>
      </c>
      <c r="F104" s="96" t="b">
        <v>0</v>
      </c>
      <c r="G104" s="96" t="b">
        <v>0</v>
      </c>
    </row>
    <row r="105" spans="1:7" ht="15">
      <c r="A105" s="97" t="s">
        <v>1308</v>
      </c>
      <c r="B105" s="96">
        <v>5</v>
      </c>
      <c r="C105" s="110">
        <v>0.0036142548084977075</v>
      </c>
      <c r="D105" s="96" t="s">
        <v>1436</v>
      </c>
      <c r="E105" s="96" t="b">
        <v>0</v>
      </c>
      <c r="F105" s="96" t="b">
        <v>0</v>
      </c>
      <c r="G105" s="96" t="b">
        <v>0</v>
      </c>
    </row>
    <row r="106" spans="1:7" ht="15">
      <c r="A106" s="97" t="s">
        <v>1309</v>
      </c>
      <c r="B106" s="96">
        <v>5</v>
      </c>
      <c r="C106" s="110">
        <v>0.0036142548084977075</v>
      </c>
      <c r="D106" s="96" t="s">
        <v>1436</v>
      </c>
      <c r="E106" s="96" t="b">
        <v>0</v>
      </c>
      <c r="F106" s="96" t="b">
        <v>0</v>
      </c>
      <c r="G106" s="96" t="b">
        <v>0</v>
      </c>
    </row>
    <row r="107" spans="1:7" ht="15">
      <c r="A107" s="97" t="s">
        <v>1310</v>
      </c>
      <c r="B107" s="96">
        <v>5</v>
      </c>
      <c r="C107" s="110">
        <v>0.0036142548084977075</v>
      </c>
      <c r="D107" s="96" t="s">
        <v>1436</v>
      </c>
      <c r="E107" s="96" t="b">
        <v>0</v>
      </c>
      <c r="F107" s="96" t="b">
        <v>0</v>
      </c>
      <c r="G107" s="96" t="b">
        <v>0</v>
      </c>
    </row>
    <row r="108" spans="1:7" ht="15">
      <c r="A108" s="97" t="s">
        <v>1311</v>
      </c>
      <c r="B108" s="96">
        <v>5</v>
      </c>
      <c r="C108" s="110">
        <v>0.0036142548084977075</v>
      </c>
      <c r="D108" s="96" t="s">
        <v>1436</v>
      </c>
      <c r="E108" s="96" t="b">
        <v>0</v>
      </c>
      <c r="F108" s="96" t="b">
        <v>0</v>
      </c>
      <c r="G108" s="96" t="b">
        <v>0</v>
      </c>
    </row>
    <row r="109" spans="1:7" ht="15">
      <c r="A109" s="97" t="s">
        <v>1312</v>
      </c>
      <c r="B109" s="96">
        <v>5</v>
      </c>
      <c r="C109" s="110">
        <v>0.0036142548084977075</v>
      </c>
      <c r="D109" s="96" t="s">
        <v>1436</v>
      </c>
      <c r="E109" s="96" t="b">
        <v>0</v>
      </c>
      <c r="F109" s="96" t="b">
        <v>0</v>
      </c>
      <c r="G109" s="96" t="b">
        <v>0</v>
      </c>
    </row>
    <row r="110" spans="1:7" ht="15">
      <c r="A110" s="97" t="s">
        <v>1313</v>
      </c>
      <c r="B110" s="96">
        <v>5</v>
      </c>
      <c r="C110" s="110">
        <v>0.0036142548084977075</v>
      </c>
      <c r="D110" s="96" t="s">
        <v>1436</v>
      </c>
      <c r="E110" s="96" t="b">
        <v>0</v>
      </c>
      <c r="F110" s="96" t="b">
        <v>0</v>
      </c>
      <c r="G110" s="96" t="b">
        <v>0</v>
      </c>
    </row>
    <row r="111" spans="1:7" ht="15">
      <c r="A111" s="97" t="s">
        <v>1314</v>
      </c>
      <c r="B111" s="96">
        <v>5</v>
      </c>
      <c r="C111" s="110">
        <v>0.0036142548084977075</v>
      </c>
      <c r="D111" s="96" t="s">
        <v>1436</v>
      </c>
      <c r="E111" s="96" t="b">
        <v>0</v>
      </c>
      <c r="F111" s="96" t="b">
        <v>0</v>
      </c>
      <c r="G111" s="96" t="b">
        <v>0</v>
      </c>
    </row>
    <row r="112" spans="1:7" ht="15">
      <c r="A112" s="97" t="s">
        <v>1315</v>
      </c>
      <c r="B112" s="96">
        <v>5</v>
      </c>
      <c r="C112" s="110">
        <v>0.0036142548084977075</v>
      </c>
      <c r="D112" s="96" t="s">
        <v>1436</v>
      </c>
      <c r="E112" s="96" t="b">
        <v>0</v>
      </c>
      <c r="F112" s="96" t="b">
        <v>0</v>
      </c>
      <c r="G112" s="96" t="b">
        <v>0</v>
      </c>
    </row>
    <row r="113" spans="1:7" ht="15">
      <c r="A113" s="97" t="s">
        <v>1316</v>
      </c>
      <c r="B113" s="96">
        <v>5</v>
      </c>
      <c r="C113" s="110">
        <v>0.0036142548084977075</v>
      </c>
      <c r="D113" s="96" t="s">
        <v>1436</v>
      </c>
      <c r="E113" s="96" t="b">
        <v>0</v>
      </c>
      <c r="F113" s="96" t="b">
        <v>0</v>
      </c>
      <c r="G113" s="96" t="b">
        <v>0</v>
      </c>
    </row>
    <row r="114" spans="1:7" ht="15">
      <c r="A114" s="97" t="s">
        <v>1317</v>
      </c>
      <c r="B114" s="96">
        <v>5</v>
      </c>
      <c r="C114" s="110">
        <v>0.0036142548084977075</v>
      </c>
      <c r="D114" s="96" t="s">
        <v>1436</v>
      </c>
      <c r="E114" s="96" t="b">
        <v>0</v>
      </c>
      <c r="F114" s="96" t="b">
        <v>0</v>
      </c>
      <c r="G114" s="96" t="b">
        <v>0</v>
      </c>
    </row>
    <row r="115" spans="1:7" ht="15">
      <c r="A115" s="97" t="s">
        <v>1318</v>
      </c>
      <c r="B115" s="96">
        <v>5</v>
      </c>
      <c r="C115" s="110">
        <v>0.0036142548084977075</v>
      </c>
      <c r="D115" s="96" t="s">
        <v>1436</v>
      </c>
      <c r="E115" s="96" t="b">
        <v>0</v>
      </c>
      <c r="F115" s="96" t="b">
        <v>0</v>
      </c>
      <c r="G115" s="96" t="b">
        <v>0</v>
      </c>
    </row>
    <row r="116" spans="1:7" ht="15">
      <c r="A116" s="97" t="s">
        <v>1319</v>
      </c>
      <c r="B116" s="96">
        <v>5</v>
      </c>
      <c r="C116" s="110">
        <v>0.0036142548084977075</v>
      </c>
      <c r="D116" s="96" t="s">
        <v>1436</v>
      </c>
      <c r="E116" s="96" t="b">
        <v>0</v>
      </c>
      <c r="F116" s="96" t="b">
        <v>0</v>
      </c>
      <c r="G116" s="96" t="b">
        <v>0</v>
      </c>
    </row>
    <row r="117" spans="1:7" ht="15">
      <c r="A117" s="97" t="s">
        <v>1320</v>
      </c>
      <c r="B117" s="96">
        <v>5</v>
      </c>
      <c r="C117" s="110">
        <v>0.0036142548084977075</v>
      </c>
      <c r="D117" s="96" t="s">
        <v>1436</v>
      </c>
      <c r="E117" s="96" t="b">
        <v>0</v>
      </c>
      <c r="F117" s="96" t="b">
        <v>0</v>
      </c>
      <c r="G117" s="96" t="b">
        <v>0</v>
      </c>
    </row>
    <row r="118" spans="1:7" ht="15">
      <c r="A118" s="97" t="s">
        <v>1321</v>
      </c>
      <c r="B118" s="96">
        <v>5</v>
      </c>
      <c r="C118" s="110">
        <v>0.0036142548084977075</v>
      </c>
      <c r="D118" s="96" t="s">
        <v>1436</v>
      </c>
      <c r="E118" s="96" t="b">
        <v>0</v>
      </c>
      <c r="F118" s="96" t="b">
        <v>0</v>
      </c>
      <c r="G118" s="96" t="b">
        <v>0</v>
      </c>
    </row>
    <row r="119" spans="1:7" ht="15">
      <c r="A119" s="97" t="s">
        <v>1322</v>
      </c>
      <c r="B119" s="96">
        <v>5</v>
      </c>
      <c r="C119" s="110">
        <v>0.0036142548084977075</v>
      </c>
      <c r="D119" s="96" t="s">
        <v>1436</v>
      </c>
      <c r="E119" s="96" t="b">
        <v>0</v>
      </c>
      <c r="F119" s="96" t="b">
        <v>0</v>
      </c>
      <c r="G119" s="96" t="b">
        <v>0</v>
      </c>
    </row>
    <row r="120" spans="1:7" ht="15">
      <c r="A120" s="97" t="s">
        <v>1323</v>
      </c>
      <c r="B120" s="96">
        <v>5</v>
      </c>
      <c r="C120" s="110">
        <v>0.0036142548084977075</v>
      </c>
      <c r="D120" s="96" t="s">
        <v>1436</v>
      </c>
      <c r="E120" s="96" t="b">
        <v>0</v>
      </c>
      <c r="F120" s="96" t="b">
        <v>0</v>
      </c>
      <c r="G120" s="96" t="b">
        <v>0</v>
      </c>
    </row>
    <row r="121" spans="1:7" ht="15">
      <c r="A121" s="97" t="s">
        <v>1324</v>
      </c>
      <c r="B121" s="96">
        <v>5</v>
      </c>
      <c r="C121" s="110">
        <v>0.0036142548084977075</v>
      </c>
      <c r="D121" s="96" t="s">
        <v>1436</v>
      </c>
      <c r="E121" s="96" t="b">
        <v>0</v>
      </c>
      <c r="F121" s="96" t="b">
        <v>0</v>
      </c>
      <c r="G121" s="96" t="b">
        <v>0</v>
      </c>
    </row>
    <row r="122" spans="1:7" ht="15">
      <c r="A122" s="97" t="s">
        <v>1325</v>
      </c>
      <c r="B122" s="96">
        <v>5</v>
      </c>
      <c r="C122" s="110">
        <v>0.0036142548084977075</v>
      </c>
      <c r="D122" s="96" t="s">
        <v>1436</v>
      </c>
      <c r="E122" s="96" t="b">
        <v>0</v>
      </c>
      <c r="F122" s="96" t="b">
        <v>0</v>
      </c>
      <c r="G122" s="96" t="b">
        <v>0</v>
      </c>
    </row>
    <row r="123" spans="1:7" ht="15">
      <c r="A123" s="97" t="s">
        <v>1326</v>
      </c>
      <c r="B123" s="96">
        <v>5</v>
      </c>
      <c r="C123" s="110">
        <v>0.0036142548084977075</v>
      </c>
      <c r="D123" s="96" t="s">
        <v>1436</v>
      </c>
      <c r="E123" s="96" t="b">
        <v>0</v>
      </c>
      <c r="F123" s="96" t="b">
        <v>0</v>
      </c>
      <c r="G123" s="96" t="b">
        <v>0</v>
      </c>
    </row>
    <row r="124" spans="1:7" ht="15">
      <c r="A124" s="97" t="s">
        <v>1327</v>
      </c>
      <c r="B124" s="96">
        <v>5</v>
      </c>
      <c r="C124" s="110">
        <v>0.0036142548084977075</v>
      </c>
      <c r="D124" s="96" t="s">
        <v>1436</v>
      </c>
      <c r="E124" s="96" t="b">
        <v>0</v>
      </c>
      <c r="F124" s="96" t="b">
        <v>0</v>
      </c>
      <c r="G124" s="96" t="b">
        <v>0</v>
      </c>
    </row>
    <row r="125" spans="1:7" ht="15">
      <c r="A125" s="97" t="s">
        <v>1328</v>
      </c>
      <c r="B125" s="96">
        <v>5</v>
      </c>
      <c r="C125" s="110">
        <v>0.0036142548084977075</v>
      </c>
      <c r="D125" s="96" t="s">
        <v>1436</v>
      </c>
      <c r="E125" s="96" t="b">
        <v>0</v>
      </c>
      <c r="F125" s="96" t="b">
        <v>0</v>
      </c>
      <c r="G125" s="96" t="b">
        <v>0</v>
      </c>
    </row>
    <row r="126" spans="1:7" ht="15">
      <c r="A126" s="97" t="s">
        <v>1329</v>
      </c>
      <c r="B126" s="96">
        <v>5</v>
      </c>
      <c r="C126" s="110">
        <v>0.0036142548084977075</v>
      </c>
      <c r="D126" s="96" t="s">
        <v>1436</v>
      </c>
      <c r="E126" s="96" t="b">
        <v>0</v>
      </c>
      <c r="F126" s="96" t="b">
        <v>0</v>
      </c>
      <c r="G126" s="96" t="b">
        <v>0</v>
      </c>
    </row>
    <row r="127" spans="1:7" ht="15">
      <c r="A127" s="97" t="s">
        <v>1330</v>
      </c>
      <c r="B127" s="96">
        <v>5</v>
      </c>
      <c r="C127" s="110">
        <v>0.0036142548084977075</v>
      </c>
      <c r="D127" s="96" t="s">
        <v>1436</v>
      </c>
      <c r="E127" s="96" t="b">
        <v>0</v>
      </c>
      <c r="F127" s="96" t="b">
        <v>0</v>
      </c>
      <c r="G127" s="96" t="b">
        <v>0</v>
      </c>
    </row>
    <row r="128" spans="1:7" ht="15">
      <c r="A128" s="97" t="s">
        <v>1331</v>
      </c>
      <c r="B128" s="96">
        <v>5</v>
      </c>
      <c r="C128" s="110">
        <v>0.0036142548084977075</v>
      </c>
      <c r="D128" s="96" t="s">
        <v>1436</v>
      </c>
      <c r="E128" s="96" t="b">
        <v>1</v>
      </c>
      <c r="F128" s="96" t="b">
        <v>0</v>
      </c>
      <c r="G128" s="96" t="b">
        <v>0</v>
      </c>
    </row>
    <row r="129" spans="1:7" ht="15">
      <c r="A129" s="97" t="s">
        <v>1332</v>
      </c>
      <c r="B129" s="96">
        <v>5</v>
      </c>
      <c r="C129" s="110">
        <v>0.0036142548084977075</v>
      </c>
      <c r="D129" s="96" t="s">
        <v>1436</v>
      </c>
      <c r="E129" s="96" t="b">
        <v>0</v>
      </c>
      <c r="F129" s="96" t="b">
        <v>0</v>
      </c>
      <c r="G129" s="96" t="b">
        <v>0</v>
      </c>
    </row>
    <row r="130" spans="1:7" ht="15">
      <c r="A130" s="97" t="s">
        <v>1333</v>
      </c>
      <c r="B130" s="96">
        <v>5</v>
      </c>
      <c r="C130" s="110">
        <v>0.0036142548084977075</v>
      </c>
      <c r="D130" s="96" t="s">
        <v>1436</v>
      </c>
      <c r="E130" s="96" t="b">
        <v>0</v>
      </c>
      <c r="F130" s="96" t="b">
        <v>0</v>
      </c>
      <c r="G130" s="96" t="b">
        <v>0</v>
      </c>
    </row>
    <row r="131" spans="1:7" ht="15">
      <c r="A131" s="97" t="s">
        <v>1334</v>
      </c>
      <c r="B131" s="96">
        <v>4</v>
      </c>
      <c r="C131" s="110">
        <v>0.0030862957784382992</v>
      </c>
      <c r="D131" s="96" t="s">
        <v>1436</v>
      </c>
      <c r="E131" s="96" t="b">
        <v>0</v>
      </c>
      <c r="F131" s="96" t="b">
        <v>0</v>
      </c>
      <c r="G131" s="96" t="b">
        <v>0</v>
      </c>
    </row>
    <row r="132" spans="1:7" ht="15">
      <c r="A132" s="97" t="s">
        <v>1335</v>
      </c>
      <c r="B132" s="96">
        <v>4</v>
      </c>
      <c r="C132" s="110">
        <v>0.0030862957784382992</v>
      </c>
      <c r="D132" s="96" t="s">
        <v>1436</v>
      </c>
      <c r="E132" s="96" t="b">
        <v>0</v>
      </c>
      <c r="F132" s="96" t="b">
        <v>0</v>
      </c>
      <c r="G132" s="96" t="b">
        <v>0</v>
      </c>
    </row>
    <row r="133" spans="1:7" ht="15">
      <c r="A133" s="97" t="s">
        <v>1336</v>
      </c>
      <c r="B133" s="96">
        <v>4</v>
      </c>
      <c r="C133" s="110">
        <v>0.0030862957784382992</v>
      </c>
      <c r="D133" s="96" t="s">
        <v>1436</v>
      </c>
      <c r="E133" s="96" t="b">
        <v>0</v>
      </c>
      <c r="F133" s="96" t="b">
        <v>0</v>
      </c>
      <c r="G133" s="96" t="b">
        <v>0</v>
      </c>
    </row>
    <row r="134" spans="1:7" ht="15">
      <c r="A134" s="97" t="s">
        <v>1337</v>
      </c>
      <c r="B134" s="96">
        <v>4</v>
      </c>
      <c r="C134" s="110">
        <v>0.0030862957784382992</v>
      </c>
      <c r="D134" s="96" t="s">
        <v>1436</v>
      </c>
      <c r="E134" s="96" t="b">
        <v>0</v>
      </c>
      <c r="F134" s="96" t="b">
        <v>0</v>
      </c>
      <c r="G134" s="96" t="b">
        <v>0</v>
      </c>
    </row>
    <row r="135" spans="1:7" ht="15">
      <c r="A135" s="97" t="s">
        <v>1338</v>
      </c>
      <c r="B135" s="96">
        <v>4</v>
      </c>
      <c r="C135" s="110">
        <v>0.0030862957784382992</v>
      </c>
      <c r="D135" s="96" t="s">
        <v>1436</v>
      </c>
      <c r="E135" s="96" t="b">
        <v>0</v>
      </c>
      <c r="F135" s="96" t="b">
        <v>0</v>
      </c>
      <c r="G135" s="96" t="b">
        <v>0</v>
      </c>
    </row>
    <row r="136" spans="1:7" ht="15">
      <c r="A136" s="97" t="s">
        <v>1339</v>
      </c>
      <c r="B136" s="96">
        <v>4</v>
      </c>
      <c r="C136" s="110">
        <v>0.0030862957784382992</v>
      </c>
      <c r="D136" s="96" t="s">
        <v>1436</v>
      </c>
      <c r="E136" s="96" t="b">
        <v>0</v>
      </c>
      <c r="F136" s="96" t="b">
        <v>0</v>
      </c>
      <c r="G136" s="96" t="b">
        <v>0</v>
      </c>
    </row>
    <row r="137" spans="1:7" ht="15">
      <c r="A137" s="97" t="s">
        <v>1340</v>
      </c>
      <c r="B137" s="96">
        <v>4</v>
      </c>
      <c r="C137" s="110">
        <v>0.0030862957784382992</v>
      </c>
      <c r="D137" s="96" t="s">
        <v>1436</v>
      </c>
      <c r="E137" s="96" t="b">
        <v>0</v>
      </c>
      <c r="F137" s="96" t="b">
        <v>0</v>
      </c>
      <c r="G137" s="96" t="b">
        <v>0</v>
      </c>
    </row>
    <row r="138" spans="1:7" ht="15">
      <c r="A138" s="97" t="s">
        <v>1341</v>
      </c>
      <c r="B138" s="96">
        <v>4</v>
      </c>
      <c r="C138" s="110">
        <v>0.0030862957784382992</v>
      </c>
      <c r="D138" s="96" t="s">
        <v>1436</v>
      </c>
      <c r="E138" s="96" t="b">
        <v>0</v>
      </c>
      <c r="F138" s="96" t="b">
        <v>0</v>
      </c>
      <c r="G138" s="96" t="b">
        <v>0</v>
      </c>
    </row>
    <row r="139" spans="1:7" ht="15">
      <c r="A139" s="97" t="s">
        <v>1342</v>
      </c>
      <c r="B139" s="96">
        <v>4</v>
      </c>
      <c r="C139" s="110">
        <v>0.0030862957784382992</v>
      </c>
      <c r="D139" s="96" t="s">
        <v>1436</v>
      </c>
      <c r="E139" s="96" t="b">
        <v>0</v>
      </c>
      <c r="F139" s="96" t="b">
        <v>0</v>
      </c>
      <c r="G139" s="96" t="b">
        <v>0</v>
      </c>
    </row>
    <row r="140" spans="1:7" ht="15">
      <c r="A140" s="97" t="s">
        <v>1343</v>
      </c>
      <c r="B140" s="96">
        <v>4</v>
      </c>
      <c r="C140" s="110">
        <v>0.0030862957784382992</v>
      </c>
      <c r="D140" s="96" t="s">
        <v>1436</v>
      </c>
      <c r="E140" s="96" t="b">
        <v>0</v>
      </c>
      <c r="F140" s="96" t="b">
        <v>0</v>
      </c>
      <c r="G140" s="96" t="b">
        <v>0</v>
      </c>
    </row>
    <row r="141" spans="1:7" ht="15">
      <c r="A141" s="97" t="s">
        <v>1344</v>
      </c>
      <c r="B141" s="96">
        <v>4</v>
      </c>
      <c r="C141" s="110">
        <v>0.0030862957784382992</v>
      </c>
      <c r="D141" s="96" t="s">
        <v>1436</v>
      </c>
      <c r="E141" s="96" t="b">
        <v>0</v>
      </c>
      <c r="F141" s="96" t="b">
        <v>0</v>
      </c>
      <c r="G141" s="96" t="b">
        <v>0</v>
      </c>
    </row>
    <row r="142" spans="1:7" ht="15">
      <c r="A142" s="97" t="s">
        <v>1345</v>
      </c>
      <c r="B142" s="96">
        <v>4</v>
      </c>
      <c r="C142" s="110">
        <v>0.0030862957784382992</v>
      </c>
      <c r="D142" s="96" t="s">
        <v>1436</v>
      </c>
      <c r="E142" s="96" t="b">
        <v>0</v>
      </c>
      <c r="F142" s="96" t="b">
        <v>0</v>
      </c>
      <c r="G142" s="96" t="b">
        <v>0</v>
      </c>
    </row>
    <row r="143" spans="1:7" ht="15">
      <c r="A143" s="97" t="s">
        <v>1346</v>
      </c>
      <c r="B143" s="96">
        <v>4</v>
      </c>
      <c r="C143" s="110">
        <v>0.0030862957784382992</v>
      </c>
      <c r="D143" s="96" t="s">
        <v>1436</v>
      </c>
      <c r="E143" s="96" t="b">
        <v>0</v>
      </c>
      <c r="F143" s="96" t="b">
        <v>0</v>
      </c>
      <c r="G143" s="96" t="b">
        <v>0</v>
      </c>
    </row>
    <row r="144" spans="1:7" ht="15">
      <c r="A144" s="97" t="s">
        <v>1347</v>
      </c>
      <c r="B144" s="96">
        <v>4</v>
      </c>
      <c r="C144" s="110">
        <v>0.0030862957784382992</v>
      </c>
      <c r="D144" s="96" t="s">
        <v>1436</v>
      </c>
      <c r="E144" s="96" t="b">
        <v>0</v>
      </c>
      <c r="F144" s="96" t="b">
        <v>0</v>
      </c>
      <c r="G144" s="96" t="b">
        <v>0</v>
      </c>
    </row>
    <row r="145" spans="1:7" ht="15">
      <c r="A145" s="97" t="s">
        <v>1348</v>
      </c>
      <c r="B145" s="96">
        <v>4</v>
      </c>
      <c r="C145" s="110">
        <v>0.0030862957784382992</v>
      </c>
      <c r="D145" s="96" t="s">
        <v>1436</v>
      </c>
      <c r="E145" s="96" t="b">
        <v>0</v>
      </c>
      <c r="F145" s="96" t="b">
        <v>0</v>
      </c>
      <c r="G145" s="96" t="b">
        <v>0</v>
      </c>
    </row>
    <row r="146" spans="1:7" ht="15">
      <c r="A146" s="97" t="s">
        <v>1349</v>
      </c>
      <c r="B146" s="96">
        <v>4</v>
      </c>
      <c r="C146" s="110">
        <v>0.0030862957784382992</v>
      </c>
      <c r="D146" s="96" t="s">
        <v>1436</v>
      </c>
      <c r="E146" s="96" t="b">
        <v>0</v>
      </c>
      <c r="F146" s="96" t="b">
        <v>0</v>
      </c>
      <c r="G146" s="96" t="b">
        <v>0</v>
      </c>
    </row>
    <row r="147" spans="1:7" ht="15">
      <c r="A147" s="97" t="s">
        <v>1350</v>
      </c>
      <c r="B147" s="96">
        <v>4</v>
      </c>
      <c r="C147" s="110">
        <v>0.0030862957784382992</v>
      </c>
      <c r="D147" s="96" t="s">
        <v>1436</v>
      </c>
      <c r="E147" s="96" t="b">
        <v>0</v>
      </c>
      <c r="F147" s="96" t="b">
        <v>0</v>
      </c>
      <c r="G147" s="96" t="b">
        <v>0</v>
      </c>
    </row>
    <row r="148" spans="1:7" ht="15">
      <c r="A148" s="97" t="s">
        <v>1351</v>
      </c>
      <c r="B148" s="96">
        <v>4</v>
      </c>
      <c r="C148" s="110">
        <v>0.0030862957784382992</v>
      </c>
      <c r="D148" s="96" t="s">
        <v>1436</v>
      </c>
      <c r="E148" s="96" t="b">
        <v>0</v>
      </c>
      <c r="F148" s="96" t="b">
        <v>0</v>
      </c>
      <c r="G148" s="96" t="b">
        <v>0</v>
      </c>
    </row>
    <row r="149" spans="1:7" ht="15">
      <c r="A149" s="97" t="s">
        <v>1352</v>
      </c>
      <c r="B149" s="96">
        <v>4</v>
      </c>
      <c r="C149" s="110">
        <v>0.0030862957784382992</v>
      </c>
      <c r="D149" s="96" t="s">
        <v>1436</v>
      </c>
      <c r="E149" s="96" t="b">
        <v>0</v>
      </c>
      <c r="F149" s="96" t="b">
        <v>0</v>
      </c>
      <c r="G149" s="96" t="b">
        <v>0</v>
      </c>
    </row>
    <row r="150" spans="1:7" ht="15">
      <c r="A150" s="97" t="s">
        <v>1353</v>
      </c>
      <c r="B150" s="96">
        <v>3</v>
      </c>
      <c r="C150" s="110">
        <v>0.002503166383765829</v>
      </c>
      <c r="D150" s="96" t="s">
        <v>1436</v>
      </c>
      <c r="E150" s="96" t="b">
        <v>0</v>
      </c>
      <c r="F150" s="96" t="b">
        <v>0</v>
      </c>
      <c r="G150" s="96" t="b">
        <v>0</v>
      </c>
    </row>
    <row r="151" spans="1:7" ht="15">
      <c r="A151" s="97" t="s">
        <v>1025</v>
      </c>
      <c r="B151" s="96">
        <v>3</v>
      </c>
      <c r="C151" s="110">
        <v>0.002503166383765829</v>
      </c>
      <c r="D151" s="96" t="s">
        <v>1436</v>
      </c>
      <c r="E151" s="96" t="b">
        <v>0</v>
      </c>
      <c r="F151" s="96" t="b">
        <v>0</v>
      </c>
      <c r="G151" s="96" t="b">
        <v>0</v>
      </c>
    </row>
    <row r="152" spans="1:7" ht="15">
      <c r="A152" s="97" t="s">
        <v>1354</v>
      </c>
      <c r="B152" s="96">
        <v>3</v>
      </c>
      <c r="C152" s="110">
        <v>0.002503166383765829</v>
      </c>
      <c r="D152" s="96" t="s">
        <v>1436</v>
      </c>
      <c r="E152" s="96" t="b">
        <v>0</v>
      </c>
      <c r="F152" s="96" t="b">
        <v>0</v>
      </c>
      <c r="G152" s="96" t="b">
        <v>0</v>
      </c>
    </row>
    <row r="153" spans="1:7" ht="15">
      <c r="A153" s="97" t="s">
        <v>1355</v>
      </c>
      <c r="B153" s="96">
        <v>3</v>
      </c>
      <c r="C153" s="110">
        <v>0.002503166383765829</v>
      </c>
      <c r="D153" s="96" t="s">
        <v>1436</v>
      </c>
      <c r="E153" s="96" t="b">
        <v>0</v>
      </c>
      <c r="F153" s="96" t="b">
        <v>0</v>
      </c>
      <c r="G153" s="96" t="b">
        <v>0</v>
      </c>
    </row>
    <row r="154" spans="1:7" ht="15">
      <c r="A154" s="97" t="s">
        <v>1356</v>
      </c>
      <c r="B154" s="96">
        <v>3</v>
      </c>
      <c r="C154" s="110">
        <v>0.002503166383765829</v>
      </c>
      <c r="D154" s="96" t="s">
        <v>1436</v>
      </c>
      <c r="E154" s="96" t="b">
        <v>0</v>
      </c>
      <c r="F154" s="96" t="b">
        <v>0</v>
      </c>
      <c r="G154" s="96" t="b">
        <v>0</v>
      </c>
    </row>
    <row r="155" spans="1:7" ht="15">
      <c r="A155" s="97" t="s">
        <v>1357</v>
      </c>
      <c r="B155" s="96">
        <v>3</v>
      </c>
      <c r="C155" s="110">
        <v>0.002503166383765829</v>
      </c>
      <c r="D155" s="96" t="s">
        <v>1436</v>
      </c>
      <c r="E155" s="96" t="b">
        <v>0</v>
      </c>
      <c r="F155" s="96" t="b">
        <v>0</v>
      </c>
      <c r="G155" s="96" t="b">
        <v>0</v>
      </c>
    </row>
    <row r="156" spans="1:7" ht="15">
      <c r="A156" s="97" t="s">
        <v>1358</v>
      </c>
      <c r="B156" s="96">
        <v>3</v>
      </c>
      <c r="C156" s="110">
        <v>0.002503166383765829</v>
      </c>
      <c r="D156" s="96" t="s">
        <v>1436</v>
      </c>
      <c r="E156" s="96" t="b">
        <v>0</v>
      </c>
      <c r="F156" s="96" t="b">
        <v>0</v>
      </c>
      <c r="G156" s="96" t="b">
        <v>0</v>
      </c>
    </row>
    <row r="157" spans="1:7" ht="15">
      <c r="A157" s="97" t="s">
        <v>1024</v>
      </c>
      <c r="B157" s="96">
        <v>3</v>
      </c>
      <c r="C157" s="110">
        <v>0.002503166383765829</v>
      </c>
      <c r="D157" s="96" t="s">
        <v>1436</v>
      </c>
      <c r="E157" s="96" t="b">
        <v>0</v>
      </c>
      <c r="F157" s="96" t="b">
        <v>0</v>
      </c>
      <c r="G157" s="96" t="b">
        <v>0</v>
      </c>
    </row>
    <row r="158" spans="1:7" ht="15">
      <c r="A158" s="97" t="s">
        <v>1359</v>
      </c>
      <c r="B158" s="96">
        <v>3</v>
      </c>
      <c r="C158" s="110">
        <v>0.002503166383765829</v>
      </c>
      <c r="D158" s="96" t="s">
        <v>1436</v>
      </c>
      <c r="E158" s="96" t="b">
        <v>0</v>
      </c>
      <c r="F158" s="96" t="b">
        <v>0</v>
      </c>
      <c r="G158" s="96" t="b">
        <v>0</v>
      </c>
    </row>
    <row r="159" spans="1:7" ht="15">
      <c r="A159" s="97" t="s">
        <v>1360</v>
      </c>
      <c r="B159" s="96">
        <v>3</v>
      </c>
      <c r="C159" s="110">
        <v>0.002503166383765829</v>
      </c>
      <c r="D159" s="96" t="s">
        <v>1436</v>
      </c>
      <c r="E159" s="96" t="b">
        <v>0</v>
      </c>
      <c r="F159" s="96" t="b">
        <v>0</v>
      </c>
      <c r="G159" s="96" t="b">
        <v>0</v>
      </c>
    </row>
    <row r="160" spans="1:7" ht="15">
      <c r="A160" s="97" t="s">
        <v>1361</v>
      </c>
      <c r="B160" s="96">
        <v>3</v>
      </c>
      <c r="C160" s="110">
        <v>0.002503166383765829</v>
      </c>
      <c r="D160" s="96" t="s">
        <v>1436</v>
      </c>
      <c r="E160" s="96" t="b">
        <v>0</v>
      </c>
      <c r="F160" s="96" t="b">
        <v>0</v>
      </c>
      <c r="G160" s="96" t="b">
        <v>0</v>
      </c>
    </row>
    <row r="161" spans="1:7" ht="15">
      <c r="A161" s="97" t="s">
        <v>1362</v>
      </c>
      <c r="B161" s="96">
        <v>3</v>
      </c>
      <c r="C161" s="110">
        <v>0.002503166383765829</v>
      </c>
      <c r="D161" s="96" t="s">
        <v>1436</v>
      </c>
      <c r="E161" s="96" t="b">
        <v>0</v>
      </c>
      <c r="F161" s="96" t="b">
        <v>0</v>
      </c>
      <c r="G161" s="96" t="b">
        <v>0</v>
      </c>
    </row>
    <row r="162" spans="1:7" ht="15">
      <c r="A162" s="97" t="s">
        <v>1363</v>
      </c>
      <c r="B162" s="96">
        <v>3</v>
      </c>
      <c r="C162" s="110">
        <v>0.002503166383765829</v>
      </c>
      <c r="D162" s="96" t="s">
        <v>1436</v>
      </c>
      <c r="E162" s="96" t="b">
        <v>0</v>
      </c>
      <c r="F162" s="96" t="b">
        <v>0</v>
      </c>
      <c r="G162" s="96" t="b">
        <v>0</v>
      </c>
    </row>
    <row r="163" spans="1:7" ht="15">
      <c r="A163" s="97" t="s">
        <v>1364</v>
      </c>
      <c r="B163" s="96">
        <v>3</v>
      </c>
      <c r="C163" s="110">
        <v>0.002503166383765829</v>
      </c>
      <c r="D163" s="96" t="s">
        <v>1436</v>
      </c>
      <c r="E163" s="96" t="b">
        <v>0</v>
      </c>
      <c r="F163" s="96" t="b">
        <v>0</v>
      </c>
      <c r="G163" s="96" t="b">
        <v>0</v>
      </c>
    </row>
    <row r="164" spans="1:7" ht="15">
      <c r="A164" s="97" t="s">
        <v>303</v>
      </c>
      <c r="B164" s="96">
        <v>3</v>
      </c>
      <c r="C164" s="110">
        <v>0.002503166383765829</v>
      </c>
      <c r="D164" s="96" t="s">
        <v>1436</v>
      </c>
      <c r="E164" s="96" t="b">
        <v>0</v>
      </c>
      <c r="F164" s="96" t="b">
        <v>0</v>
      </c>
      <c r="G164" s="96" t="b">
        <v>0</v>
      </c>
    </row>
    <row r="165" spans="1:7" ht="15">
      <c r="A165" s="97" t="s">
        <v>1365</v>
      </c>
      <c r="B165" s="96">
        <v>3</v>
      </c>
      <c r="C165" s="110">
        <v>0.002503166383765829</v>
      </c>
      <c r="D165" s="96" t="s">
        <v>1436</v>
      </c>
      <c r="E165" s="96" t="b">
        <v>0</v>
      </c>
      <c r="F165" s="96" t="b">
        <v>0</v>
      </c>
      <c r="G165" s="96" t="b">
        <v>0</v>
      </c>
    </row>
    <row r="166" spans="1:7" ht="15">
      <c r="A166" s="97" t="s">
        <v>1366</v>
      </c>
      <c r="B166" s="96">
        <v>3</v>
      </c>
      <c r="C166" s="110">
        <v>0.002503166383765829</v>
      </c>
      <c r="D166" s="96" t="s">
        <v>1436</v>
      </c>
      <c r="E166" s="96" t="b">
        <v>0</v>
      </c>
      <c r="F166" s="96" t="b">
        <v>0</v>
      </c>
      <c r="G166" s="96" t="b">
        <v>0</v>
      </c>
    </row>
    <row r="167" spans="1:7" ht="15">
      <c r="A167" s="97" t="s">
        <v>1367</v>
      </c>
      <c r="B167" s="96">
        <v>3</v>
      </c>
      <c r="C167" s="110">
        <v>0.002503166383765829</v>
      </c>
      <c r="D167" s="96" t="s">
        <v>1436</v>
      </c>
      <c r="E167" s="96" t="b">
        <v>0</v>
      </c>
      <c r="F167" s="96" t="b">
        <v>0</v>
      </c>
      <c r="G167" s="96" t="b">
        <v>0</v>
      </c>
    </row>
    <row r="168" spans="1:7" ht="15">
      <c r="A168" s="97" t="s">
        <v>1368</v>
      </c>
      <c r="B168" s="96">
        <v>3</v>
      </c>
      <c r="C168" s="110">
        <v>0.002503166383765829</v>
      </c>
      <c r="D168" s="96" t="s">
        <v>1436</v>
      </c>
      <c r="E168" s="96" t="b">
        <v>0</v>
      </c>
      <c r="F168" s="96" t="b">
        <v>0</v>
      </c>
      <c r="G168" s="96" t="b">
        <v>0</v>
      </c>
    </row>
    <row r="169" spans="1:7" ht="15">
      <c r="A169" s="97" t="s">
        <v>1369</v>
      </c>
      <c r="B169" s="96">
        <v>3</v>
      </c>
      <c r="C169" s="110">
        <v>0.002503166383765829</v>
      </c>
      <c r="D169" s="96" t="s">
        <v>1436</v>
      </c>
      <c r="E169" s="96" t="b">
        <v>0</v>
      </c>
      <c r="F169" s="96" t="b">
        <v>0</v>
      </c>
      <c r="G169" s="96" t="b">
        <v>0</v>
      </c>
    </row>
    <row r="170" spans="1:7" ht="15">
      <c r="A170" s="97" t="s">
        <v>1370</v>
      </c>
      <c r="B170" s="96">
        <v>3</v>
      </c>
      <c r="C170" s="110">
        <v>0.002503166383765829</v>
      </c>
      <c r="D170" s="96" t="s">
        <v>1436</v>
      </c>
      <c r="E170" s="96" t="b">
        <v>0</v>
      </c>
      <c r="F170" s="96" t="b">
        <v>0</v>
      </c>
      <c r="G170" s="96" t="b">
        <v>0</v>
      </c>
    </row>
    <row r="171" spans="1:7" ht="15">
      <c r="A171" s="97" t="s">
        <v>1371</v>
      </c>
      <c r="B171" s="96">
        <v>3</v>
      </c>
      <c r="C171" s="110">
        <v>0.002503166383765829</v>
      </c>
      <c r="D171" s="96" t="s">
        <v>1436</v>
      </c>
      <c r="E171" s="96" t="b">
        <v>0</v>
      </c>
      <c r="F171" s="96" t="b">
        <v>0</v>
      </c>
      <c r="G171" s="96" t="b">
        <v>0</v>
      </c>
    </row>
    <row r="172" spans="1:7" ht="15">
      <c r="A172" s="97" t="s">
        <v>1372</v>
      </c>
      <c r="B172" s="96">
        <v>3</v>
      </c>
      <c r="C172" s="110">
        <v>0.002503166383765829</v>
      </c>
      <c r="D172" s="96" t="s">
        <v>1436</v>
      </c>
      <c r="E172" s="96" t="b">
        <v>0</v>
      </c>
      <c r="F172" s="96" t="b">
        <v>0</v>
      </c>
      <c r="G172" s="96" t="b">
        <v>0</v>
      </c>
    </row>
    <row r="173" spans="1:7" ht="15">
      <c r="A173" s="97" t="s">
        <v>1373</v>
      </c>
      <c r="B173" s="96">
        <v>3</v>
      </c>
      <c r="C173" s="110">
        <v>0.002503166383765829</v>
      </c>
      <c r="D173" s="96" t="s">
        <v>1436</v>
      </c>
      <c r="E173" s="96" t="b">
        <v>0</v>
      </c>
      <c r="F173" s="96" t="b">
        <v>0</v>
      </c>
      <c r="G173" s="96" t="b">
        <v>0</v>
      </c>
    </row>
    <row r="174" spans="1:7" ht="15">
      <c r="A174" s="97" t="s">
        <v>1374</v>
      </c>
      <c r="B174" s="96">
        <v>3</v>
      </c>
      <c r="C174" s="110">
        <v>0.002503166383765829</v>
      </c>
      <c r="D174" s="96" t="s">
        <v>1436</v>
      </c>
      <c r="E174" s="96" t="b">
        <v>0</v>
      </c>
      <c r="F174" s="96" t="b">
        <v>0</v>
      </c>
      <c r="G174" s="96" t="b">
        <v>0</v>
      </c>
    </row>
    <row r="175" spans="1:7" ht="15">
      <c r="A175" s="97" t="s">
        <v>1375</v>
      </c>
      <c r="B175" s="96">
        <v>3</v>
      </c>
      <c r="C175" s="110">
        <v>0.002503166383765829</v>
      </c>
      <c r="D175" s="96" t="s">
        <v>1436</v>
      </c>
      <c r="E175" s="96" t="b">
        <v>0</v>
      </c>
      <c r="F175" s="96" t="b">
        <v>0</v>
      </c>
      <c r="G175" s="96" t="b">
        <v>0</v>
      </c>
    </row>
    <row r="176" spans="1:7" ht="15">
      <c r="A176" s="97" t="s">
        <v>1376</v>
      </c>
      <c r="B176" s="96">
        <v>3</v>
      </c>
      <c r="C176" s="110">
        <v>0.002503166383765829</v>
      </c>
      <c r="D176" s="96" t="s">
        <v>1436</v>
      </c>
      <c r="E176" s="96" t="b">
        <v>0</v>
      </c>
      <c r="F176" s="96" t="b">
        <v>0</v>
      </c>
      <c r="G176" s="96" t="b">
        <v>0</v>
      </c>
    </row>
    <row r="177" spans="1:7" ht="15">
      <c r="A177" s="97" t="s">
        <v>1377</v>
      </c>
      <c r="B177" s="96">
        <v>3</v>
      </c>
      <c r="C177" s="110">
        <v>0.002503166383765829</v>
      </c>
      <c r="D177" s="96" t="s">
        <v>1436</v>
      </c>
      <c r="E177" s="96" t="b">
        <v>0</v>
      </c>
      <c r="F177" s="96" t="b">
        <v>0</v>
      </c>
      <c r="G177" s="96" t="b">
        <v>0</v>
      </c>
    </row>
    <row r="178" spans="1:7" ht="15">
      <c r="A178" s="97" t="s">
        <v>1378</v>
      </c>
      <c r="B178" s="96">
        <v>3</v>
      </c>
      <c r="C178" s="110">
        <v>0.002503166383765829</v>
      </c>
      <c r="D178" s="96" t="s">
        <v>1436</v>
      </c>
      <c r="E178" s="96" t="b">
        <v>0</v>
      </c>
      <c r="F178" s="96" t="b">
        <v>0</v>
      </c>
      <c r="G178" s="96" t="b">
        <v>0</v>
      </c>
    </row>
    <row r="179" spans="1:7" ht="15">
      <c r="A179" s="97" t="s">
        <v>1379</v>
      </c>
      <c r="B179" s="96">
        <v>3</v>
      </c>
      <c r="C179" s="110">
        <v>0.002503166383765829</v>
      </c>
      <c r="D179" s="96" t="s">
        <v>1436</v>
      </c>
      <c r="E179" s="96" t="b">
        <v>0</v>
      </c>
      <c r="F179" s="96" t="b">
        <v>0</v>
      </c>
      <c r="G179" s="96" t="b">
        <v>0</v>
      </c>
    </row>
    <row r="180" spans="1:7" ht="15">
      <c r="A180" s="97" t="s">
        <v>1380</v>
      </c>
      <c r="B180" s="96">
        <v>3</v>
      </c>
      <c r="C180" s="110">
        <v>0.002503166383765829</v>
      </c>
      <c r="D180" s="96" t="s">
        <v>1436</v>
      </c>
      <c r="E180" s="96" t="b">
        <v>0</v>
      </c>
      <c r="F180" s="96" t="b">
        <v>0</v>
      </c>
      <c r="G180" s="96" t="b">
        <v>0</v>
      </c>
    </row>
    <row r="181" spans="1:7" ht="15">
      <c r="A181" s="97" t="s">
        <v>1381</v>
      </c>
      <c r="B181" s="96">
        <v>3</v>
      </c>
      <c r="C181" s="110">
        <v>0.002503166383765829</v>
      </c>
      <c r="D181" s="96" t="s">
        <v>1436</v>
      </c>
      <c r="E181" s="96" t="b">
        <v>0</v>
      </c>
      <c r="F181" s="96" t="b">
        <v>0</v>
      </c>
      <c r="G181" s="96" t="b">
        <v>0</v>
      </c>
    </row>
    <row r="182" spans="1:7" ht="15">
      <c r="A182" s="97" t="s">
        <v>1382</v>
      </c>
      <c r="B182" s="96">
        <v>3</v>
      </c>
      <c r="C182" s="110">
        <v>0.002503166383765829</v>
      </c>
      <c r="D182" s="96" t="s">
        <v>1436</v>
      </c>
      <c r="E182" s="96" t="b">
        <v>0</v>
      </c>
      <c r="F182" s="96" t="b">
        <v>0</v>
      </c>
      <c r="G182" s="96" t="b">
        <v>0</v>
      </c>
    </row>
    <row r="183" spans="1:7" ht="15">
      <c r="A183" s="97" t="s">
        <v>1383</v>
      </c>
      <c r="B183" s="96">
        <v>3</v>
      </c>
      <c r="C183" s="110">
        <v>0.002503166383765829</v>
      </c>
      <c r="D183" s="96" t="s">
        <v>1436</v>
      </c>
      <c r="E183" s="96" t="b">
        <v>0</v>
      </c>
      <c r="F183" s="96" t="b">
        <v>0</v>
      </c>
      <c r="G183" s="96" t="b">
        <v>0</v>
      </c>
    </row>
    <row r="184" spans="1:7" ht="15">
      <c r="A184" s="97" t="s">
        <v>1384</v>
      </c>
      <c r="B184" s="96">
        <v>3</v>
      </c>
      <c r="C184" s="110">
        <v>0.002503166383765829</v>
      </c>
      <c r="D184" s="96" t="s">
        <v>1436</v>
      </c>
      <c r="E184" s="96" t="b">
        <v>0</v>
      </c>
      <c r="F184" s="96" t="b">
        <v>0</v>
      </c>
      <c r="G184" s="96" t="b">
        <v>0</v>
      </c>
    </row>
    <row r="185" spans="1:7" ht="15">
      <c r="A185" s="97" t="s">
        <v>1385</v>
      </c>
      <c r="B185" s="96">
        <v>3</v>
      </c>
      <c r="C185" s="110">
        <v>0.002503166383765829</v>
      </c>
      <c r="D185" s="96" t="s">
        <v>1436</v>
      </c>
      <c r="E185" s="96" t="b">
        <v>0</v>
      </c>
      <c r="F185" s="96" t="b">
        <v>0</v>
      </c>
      <c r="G185" s="96" t="b">
        <v>0</v>
      </c>
    </row>
    <row r="186" spans="1:7" ht="15">
      <c r="A186" s="97" t="s">
        <v>1386</v>
      </c>
      <c r="B186" s="96">
        <v>3</v>
      </c>
      <c r="C186" s="110">
        <v>0.002503166383765829</v>
      </c>
      <c r="D186" s="96" t="s">
        <v>1436</v>
      </c>
      <c r="E186" s="96" t="b">
        <v>0</v>
      </c>
      <c r="F186" s="96" t="b">
        <v>0</v>
      </c>
      <c r="G186" s="96" t="b">
        <v>0</v>
      </c>
    </row>
    <row r="187" spans="1:7" ht="15">
      <c r="A187" s="97" t="s">
        <v>1387</v>
      </c>
      <c r="B187" s="96">
        <v>2</v>
      </c>
      <c r="C187" s="110">
        <v>0.0018458427063775017</v>
      </c>
      <c r="D187" s="96" t="s">
        <v>1436</v>
      </c>
      <c r="E187" s="96" t="b">
        <v>0</v>
      </c>
      <c r="F187" s="96" t="b">
        <v>0</v>
      </c>
      <c r="G187" s="96" t="b">
        <v>0</v>
      </c>
    </row>
    <row r="188" spans="1:7" ht="15">
      <c r="A188" s="97" t="s">
        <v>1388</v>
      </c>
      <c r="B188" s="96">
        <v>2</v>
      </c>
      <c r="C188" s="110">
        <v>0.0018458427063775017</v>
      </c>
      <c r="D188" s="96" t="s">
        <v>1436</v>
      </c>
      <c r="E188" s="96" t="b">
        <v>0</v>
      </c>
      <c r="F188" s="96" t="b">
        <v>0</v>
      </c>
      <c r="G188" s="96" t="b">
        <v>0</v>
      </c>
    </row>
    <row r="189" spans="1:7" ht="15">
      <c r="A189" s="97" t="s">
        <v>1389</v>
      </c>
      <c r="B189" s="96">
        <v>2</v>
      </c>
      <c r="C189" s="110">
        <v>0.0018458427063775017</v>
      </c>
      <c r="D189" s="96" t="s">
        <v>1436</v>
      </c>
      <c r="E189" s="96" t="b">
        <v>0</v>
      </c>
      <c r="F189" s="96" t="b">
        <v>0</v>
      </c>
      <c r="G189" s="96" t="b">
        <v>0</v>
      </c>
    </row>
    <row r="190" spans="1:7" ht="15">
      <c r="A190" s="97" t="s">
        <v>1390</v>
      </c>
      <c r="B190" s="96">
        <v>2</v>
      </c>
      <c r="C190" s="110">
        <v>0.0018458427063775017</v>
      </c>
      <c r="D190" s="96" t="s">
        <v>1436</v>
      </c>
      <c r="E190" s="96" t="b">
        <v>0</v>
      </c>
      <c r="F190" s="96" t="b">
        <v>0</v>
      </c>
      <c r="G190" s="96" t="b">
        <v>0</v>
      </c>
    </row>
    <row r="191" spans="1:7" ht="15">
      <c r="A191" s="97" t="s">
        <v>1391</v>
      </c>
      <c r="B191" s="96">
        <v>2</v>
      </c>
      <c r="C191" s="110">
        <v>0.0018458427063775017</v>
      </c>
      <c r="D191" s="96" t="s">
        <v>1436</v>
      </c>
      <c r="E191" s="96" t="b">
        <v>0</v>
      </c>
      <c r="F191" s="96" t="b">
        <v>0</v>
      </c>
      <c r="G191" s="96" t="b">
        <v>0</v>
      </c>
    </row>
    <row r="192" spans="1:7" ht="15">
      <c r="A192" s="97" t="s">
        <v>1392</v>
      </c>
      <c r="B192" s="96">
        <v>2</v>
      </c>
      <c r="C192" s="110">
        <v>0.0018458427063775017</v>
      </c>
      <c r="D192" s="96" t="s">
        <v>1436</v>
      </c>
      <c r="E192" s="96" t="b">
        <v>0</v>
      </c>
      <c r="F192" s="96" t="b">
        <v>0</v>
      </c>
      <c r="G192" s="96" t="b">
        <v>0</v>
      </c>
    </row>
    <row r="193" spans="1:7" ht="15">
      <c r="A193" s="97" t="s">
        <v>1393</v>
      </c>
      <c r="B193" s="96">
        <v>2</v>
      </c>
      <c r="C193" s="110">
        <v>0.0018458427063775017</v>
      </c>
      <c r="D193" s="96" t="s">
        <v>1436</v>
      </c>
      <c r="E193" s="96" t="b">
        <v>0</v>
      </c>
      <c r="F193" s="96" t="b">
        <v>0</v>
      </c>
      <c r="G193" s="96" t="b">
        <v>0</v>
      </c>
    </row>
    <row r="194" spans="1:7" ht="15">
      <c r="A194" s="97" t="s">
        <v>1394</v>
      </c>
      <c r="B194" s="96">
        <v>2</v>
      </c>
      <c r="C194" s="110">
        <v>0.0018458427063775017</v>
      </c>
      <c r="D194" s="96" t="s">
        <v>1436</v>
      </c>
      <c r="E194" s="96" t="b">
        <v>0</v>
      </c>
      <c r="F194" s="96" t="b">
        <v>0</v>
      </c>
      <c r="G194" s="96" t="b">
        <v>0</v>
      </c>
    </row>
    <row r="195" spans="1:7" ht="15">
      <c r="A195" s="97" t="s">
        <v>1395</v>
      </c>
      <c r="B195" s="96">
        <v>2</v>
      </c>
      <c r="C195" s="110">
        <v>0.0018458427063775017</v>
      </c>
      <c r="D195" s="96" t="s">
        <v>1436</v>
      </c>
      <c r="E195" s="96" t="b">
        <v>0</v>
      </c>
      <c r="F195" s="96" t="b">
        <v>0</v>
      </c>
      <c r="G195" s="96" t="b">
        <v>0</v>
      </c>
    </row>
    <row r="196" spans="1:7" ht="15">
      <c r="A196" s="97" t="s">
        <v>1396</v>
      </c>
      <c r="B196" s="96">
        <v>2</v>
      </c>
      <c r="C196" s="110">
        <v>0.0018458427063775017</v>
      </c>
      <c r="D196" s="96" t="s">
        <v>1436</v>
      </c>
      <c r="E196" s="96" t="b">
        <v>0</v>
      </c>
      <c r="F196" s="96" t="b">
        <v>0</v>
      </c>
      <c r="G196" s="96" t="b">
        <v>0</v>
      </c>
    </row>
    <row r="197" spans="1:7" ht="15">
      <c r="A197" s="97" t="s">
        <v>1397</v>
      </c>
      <c r="B197" s="96">
        <v>2</v>
      </c>
      <c r="C197" s="110">
        <v>0.0018458427063775017</v>
      </c>
      <c r="D197" s="96" t="s">
        <v>1436</v>
      </c>
      <c r="E197" s="96" t="b">
        <v>0</v>
      </c>
      <c r="F197" s="96" t="b">
        <v>0</v>
      </c>
      <c r="G197" s="96" t="b">
        <v>0</v>
      </c>
    </row>
    <row r="198" spans="1:7" ht="15">
      <c r="A198" s="97" t="s">
        <v>1398</v>
      </c>
      <c r="B198" s="96">
        <v>2</v>
      </c>
      <c r="C198" s="110">
        <v>0.0018458427063775017</v>
      </c>
      <c r="D198" s="96" t="s">
        <v>1436</v>
      </c>
      <c r="E198" s="96" t="b">
        <v>0</v>
      </c>
      <c r="F198" s="96" t="b">
        <v>0</v>
      </c>
      <c r="G198" s="96" t="b">
        <v>0</v>
      </c>
    </row>
    <row r="199" spans="1:7" ht="15">
      <c r="A199" s="97" t="s">
        <v>1399</v>
      </c>
      <c r="B199" s="96">
        <v>2</v>
      </c>
      <c r="C199" s="110">
        <v>0.0018458427063775017</v>
      </c>
      <c r="D199" s="96" t="s">
        <v>1436</v>
      </c>
      <c r="E199" s="96" t="b">
        <v>0</v>
      </c>
      <c r="F199" s="96" t="b">
        <v>0</v>
      </c>
      <c r="G199" s="96" t="b">
        <v>0</v>
      </c>
    </row>
    <row r="200" spans="1:7" ht="15">
      <c r="A200" s="97" t="s">
        <v>1400</v>
      </c>
      <c r="B200" s="96">
        <v>2</v>
      </c>
      <c r="C200" s="110">
        <v>0.0018458427063775017</v>
      </c>
      <c r="D200" s="96" t="s">
        <v>1436</v>
      </c>
      <c r="E200" s="96" t="b">
        <v>0</v>
      </c>
      <c r="F200" s="96" t="b">
        <v>0</v>
      </c>
      <c r="G200" s="96" t="b">
        <v>0</v>
      </c>
    </row>
    <row r="201" spans="1:7" ht="15">
      <c r="A201" s="97" t="s">
        <v>1401</v>
      </c>
      <c r="B201" s="96">
        <v>2</v>
      </c>
      <c r="C201" s="110">
        <v>0.0018458427063775017</v>
      </c>
      <c r="D201" s="96" t="s">
        <v>1436</v>
      </c>
      <c r="E201" s="96" t="b">
        <v>0</v>
      </c>
      <c r="F201" s="96" t="b">
        <v>0</v>
      </c>
      <c r="G201" s="96" t="b">
        <v>0</v>
      </c>
    </row>
    <row r="202" spans="1:7" ht="15">
      <c r="A202" s="97" t="s">
        <v>1402</v>
      </c>
      <c r="B202" s="96">
        <v>2</v>
      </c>
      <c r="C202" s="110">
        <v>0.0018458427063775017</v>
      </c>
      <c r="D202" s="96" t="s">
        <v>1436</v>
      </c>
      <c r="E202" s="96" t="b">
        <v>0</v>
      </c>
      <c r="F202" s="96" t="b">
        <v>0</v>
      </c>
      <c r="G202" s="96" t="b">
        <v>0</v>
      </c>
    </row>
    <row r="203" spans="1:7" ht="15">
      <c r="A203" s="97" t="s">
        <v>1403</v>
      </c>
      <c r="B203" s="96">
        <v>2</v>
      </c>
      <c r="C203" s="110">
        <v>0.002148537523535854</v>
      </c>
      <c r="D203" s="96" t="s">
        <v>1436</v>
      </c>
      <c r="E203" s="96" t="b">
        <v>0</v>
      </c>
      <c r="F203" s="96" t="b">
        <v>0</v>
      </c>
      <c r="G203" s="96" t="b">
        <v>0</v>
      </c>
    </row>
    <row r="204" spans="1:7" ht="15">
      <c r="A204" s="97" t="s">
        <v>1404</v>
      </c>
      <c r="B204" s="96">
        <v>2</v>
      </c>
      <c r="C204" s="110">
        <v>0.0018458427063775017</v>
      </c>
      <c r="D204" s="96" t="s">
        <v>1436</v>
      </c>
      <c r="E204" s="96" t="b">
        <v>0</v>
      </c>
      <c r="F204" s="96" t="b">
        <v>0</v>
      </c>
      <c r="G204" s="96" t="b">
        <v>0</v>
      </c>
    </row>
    <row r="205" spans="1:7" ht="15">
      <c r="A205" s="97" t="s">
        <v>1405</v>
      </c>
      <c r="B205" s="96">
        <v>2</v>
      </c>
      <c r="C205" s="110">
        <v>0.0018458427063775017</v>
      </c>
      <c r="D205" s="96" t="s">
        <v>1436</v>
      </c>
      <c r="E205" s="96" t="b">
        <v>0</v>
      </c>
      <c r="F205" s="96" t="b">
        <v>0</v>
      </c>
      <c r="G205" s="96" t="b">
        <v>0</v>
      </c>
    </row>
    <row r="206" spans="1:7" ht="15">
      <c r="A206" s="97" t="s">
        <v>1406</v>
      </c>
      <c r="B206" s="96">
        <v>2</v>
      </c>
      <c r="C206" s="110">
        <v>0.0018458427063775017</v>
      </c>
      <c r="D206" s="96" t="s">
        <v>1436</v>
      </c>
      <c r="E206" s="96" t="b">
        <v>0</v>
      </c>
      <c r="F206" s="96" t="b">
        <v>0</v>
      </c>
      <c r="G206" s="96" t="b">
        <v>0</v>
      </c>
    </row>
    <row r="207" spans="1:7" ht="15">
      <c r="A207" s="97" t="s">
        <v>1407</v>
      </c>
      <c r="B207" s="96">
        <v>2</v>
      </c>
      <c r="C207" s="110">
        <v>0.0018458427063775017</v>
      </c>
      <c r="D207" s="96" t="s">
        <v>1436</v>
      </c>
      <c r="E207" s="96" t="b">
        <v>0</v>
      </c>
      <c r="F207" s="96" t="b">
        <v>0</v>
      </c>
      <c r="G207" s="96" t="b">
        <v>0</v>
      </c>
    </row>
    <row r="208" spans="1:7" ht="15">
      <c r="A208" s="97" t="s">
        <v>1408</v>
      </c>
      <c r="B208" s="96">
        <v>2</v>
      </c>
      <c r="C208" s="110">
        <v>0.0018458427063775017</v>
      </c>
      <c r="D208" s="96" t="s">
        <v>1436</v>
      </c>
      <c r="E208" s="96" t="b">
        <v>0</v>
      </c>
      <c r="F208" s="96" t="b">
        <v>0</v>
      </c>
      <c r="G208" s="96" t="b">
        <v>0</v>
      </c>
    </row>
    <row r="209" spans="1:7" ht="15">
      <c r="A209" s="97" t="s">
        <v>1409</v>
      </c>
      <c r="B209" s="96">
        <v>2</v>
      </c>
      <c r="C209" s="110">
        <v>0.0018458427063775017</v>
      </c>
      <c r="D209" s="96" t="s">
        <v>1436</v>
      </c>
      <c r="E209" s="96" t="b">
        <v>0</v>
      </c>
      <c r="F209" s="96" t="b">
        <v>0</v>
      </c>
      <c r="G209" s="96" t="b">
        <v>0</v>
      </c>
    </row>
    <row r="210" spans="1:7" ht="15">
      <c r="A210" s="97" t="s">
        <v>1410</v>
      </c>
      <c r="B210" s="96">
        <v>2</v>
      </c>
      <c r="C210" s="110">
        <v>0.0018458427063775017</v>
      </c>
      <c r="D210" s="96" t="s">
        <v>1436</v>
      </c>
      <c r="E210" s="96" t="b">
        <v>0</v>
      </c>
      <c r="F210" s="96" t="b">
        <v>0</v>
      </c>
      <c r="G210" s="96" t="b">
        <v>0</v>
      </c>
    </row>
    <row r="211" spans="1:7" ht="15">
      <c r="A211" s="97" t="s">
        <v>987</v>
      </c>
      <c r="B211" s="96">
        <v>2</v>
      </c>
      <c r="C211" s="110">
        <v>0.0018458427063775017</v>
      </c>
      <c r="D211" s="96" t="s">
        <v>1436</v>
      </c>
      <c r="E211" s="96" t="b">
        <v>0</v>
      </c>
      <c r="F211" s="96" t="b">
        <v>0</v>
      </c>
      <c r="G211" s="96" t="b">
        <v>0</v>
      </c>
    </row>
    <row r="212" spans="1:7" ht="15">
      <c r="A212" s="97" t="s">
        <v>1411</v>
      </c>
      <c r="B212" s="96">
        <v>2</v>
      </c>
      <c r="C212" s="110">
        <v>0.0018458427063775017</v>
      </c>
      <c r="D212" s="96" t="s">
        <v>1436</v>
      </c>
      <c r="E212" s="96" t="b">
        <v>0</v>
      </c>
      <c r="F212" s="96" t="b">
        <v>0</v>
      </c>
      <c r="G212" s="96" t="b">
        <v>0</v>
      </c>
    </row>
    <row r="213" spans="1:7" ht="15">
      <c r="A213" s="97" t="s">
        <v>1412</v>
      </c>
      <c r="B213" s="96">
        <v>2</v>
      </c>
      <c r="C213" s="110">
        <v>0.0018458427063775017</v>
      </c>
      <c r="D213" s="96" t="s">
        <v>1436</v>
      </c>
      <c r="E213" s="96" t="b">
        <v>0</v>
      </c>
      <c r="F213" s="96" t="b">
        <v>0</v>
      </c>
      <c r="G213" s="96" t="b">
        <v>0</v>
      </c>
    </row>
    <row r="214" spans="1:7" ht="15">
      <c r="A214" s="97" t="s">
        <v>1413</v>
      </c>
      <c r="B214" s="96">
        <v>2</v>
      </c>
      <c r="C214" s="110">
        <v>0.0018458427063775017</v>
      </c>
      <c r="D214" s="96" t="s">
        <v>1436</v>
      </c>
      <c r="E214" s="96" t="b">
        <v>0</v>
      </c>
      <c r="F214" s="96" t="b">
        <v>0</v>
      </c>
      <c r="G214" s="96" t="b">
        <v>0</v>
      </c>
    </row>
    <row r="215" spans="1:7" ht="15">
      <c r="A215" s="97" t="s">
        <v>1414</v>
      </c>
      <c r="B215" s="96">
        <v>2</v>
      </c>
      <c r="C215" s="110">
        <v>0.0018458427063775017</v>
      </c>
      <c r="D215" s="96" t="s">
        <v>1436</v>
      </c>
      <c r="E215" s="96" t="b">
        <v>0</v>
      </c>
      <c r="F215" s="96" t="b">
        <v>0</v>
      </c>
      <c r="G215" s="96" t="b">
        <v>0</v>
      </c>
    </row>
    <row r="216" spans="1:7" ht="15">
      <c r="A216" s="97" t="s">
        <v>1415</v>
      </c>
      <c r="B216" s="96">
        <v>2</v>
      </c>
      <c r="C216" s="110">
        <v>0.0018458427063775017</v>
      </c>
      <c r="D216" s="96" t="s">
        <v>1436</v>
      </c>
      <c r="E216" s="96" t="b">
        <v>0</v>
      </c>
      <c r="F216" s="96" t="b">
        <v>0</v>
      </c>
      <c r="G216" s="96" t="b">
        <v>0</v>
      </c>
    </row>
    <row r="217" spans="1:7" ht="15">
      <c r="A217" s="97" t="s">
        <v>1416</v>
      </c>
      <c r="B217" s="96">
        <v>2</v>
      </c>
      <c r="C217" s="110">
        <v>0.0018458427063775017</v>
      </c>
      <c r="D217" s="96" t="s">
        <v>1436</v>
      </c>
      <c r="E217" s="96" t="b">
        <v>0</v>
      </c>
      <c r="F217" s="96" t="b">
        <v>0</v>
      </c>
      <c r="G217" s="96" t="b">
        <v>0</v>
      </c>
    </row>
    <row r="218" spans="1:7" ht="15">
      <c r="A218" s="97" t="s">
        <v>1417</v>
      </c>
      <c r="B218" s="96">
        <v>2</v>
      </c>
      <c r="C218" s="110">
        <v>0.0018458427063775017</v>
      </c>
      <c r="D218" s="96" t="s">
        <v>1436</v>
      </c>
      <c r="E218" s="96" t="b">
        <v>0</v>
      </c>
      <c r="F218" s="96" t="b">
        <v>0</v>
      </c>
      <c r="G218" s="96" t="b">
        <v>0</v>
      </c>
    </row>
    <row r="219" spans="1:7" ht="15">
      <c r="A219" s="97" t="s">
        <v>1418</v>
      </c>
      <c r="B219" s="96">
        <v>2</v>
      </c>
      <c r="C219" s="110">
        <v>0.0018458427063775017</v>
      </c>
      <c r="D219" s="96" t="s">
        <v>1436</v>
      </c>
      <c r="E219" s="96" t="b">
        <v>0</v>
      </c>
      <c r="F219" s="96" t="b">
        <v>0</v>
      </c>
      <c r="G219" s="96" t="b">
        <v>0</v>
      </c>
    </row>
    <row r="220" spans="1:7" ht="15">
      <c r="A220" s="97" t="s">
        <v>298</v>
      </c>
      <c r="B220" s="96">
        <v>2</v>
      </c>
      <c r="C220" s="110">
        <v>0.0018458427063775017</v>
      </c>
      <c r="D220" s="96" t="s">
        <v>1436</v>
      </c>
      <c r="E220" s="96" t="b">
        <v>0</v>
      </c>
      <c r="F220" s="96" t="b">
        <v>0</v>
      </c>
      <c r="G220" s="96" t="b">
        <v>0</v>
      </c>
    </row>
    <row r="221" spans="1:7" ht="15">
      <c r="A221" s="97" t="s">
        <v>1419</v>
      </c>
      <c r="B221" s="96">
        <v>2</v>
      </c>
      <c r="C221" s="110">
        <v>0.0018458427063775017</v>
      </c>
      <c r="D221" s="96" t="s">
        <v>1436</v>
      </c>
      <c r="E221" s="96" t="b">
        <v>0</v>
      </c>
      <c r="F221" s="96" t="b">
        <v>0</v>
      </c>
      <c r="G221" s="96" t="b">
        <v>0</v>
      </c>
    </row>
    <row r="222" spans="1:7" ht="15">
      <c r="A222" s="97" t="s">
        <v>1420</v>
      </c>
      <c r="B222" s="96">
        <v>2</v>
      </c>
      <c r="C222" s="110">
        <v>0.0018458427063775017</v>
      </c>
      <c r="D222" s="96" t="s">
        <v>1436</v>
      </c>
      <c r="E222" s="96" t="b">
        <v>0</v>
      </c>
      <c r="F222" s="96" t="b">
        <v>0</v>
      </c>
      <c r="G222" s="96" t="b">
        <v>0</v>
      </c>
    </row>
    <row r="223" spans="1:7" ht="15">
      <c r="A223" s="97" t="s">
        <v>1421</v>
      </c>
      <c r="B223" s="96">
        <v>2</v>
      </c>
      <c r="C223" s="110">
        <v>0.0018458427063775017</v>
      </c>
      <c r="D223" s="96" t="s">
        <v>1436</v>
      </c>
      <c r="E223" s="96" t="b">
        <v>0</v>
      </c>
      <c r="F223" s="96" t="b">
        <v>0</v>
      </c>
      <c r="G223" s="96" t="b">
        <v>0</v>
      </c>
    </row>
    <row r="224" spans="1:7" ht="15">
      <c r="A224" s="97" t="s">
        <v>1422</v>
      </c>
      <c r="B224" s="96">
        <v>2</v>
      </c>
      <c r="C224" s="110">
        <v>0.0018458427063775017</v>
      </c>
      <c r="D224" s="96" t="s">
        <v>1436</v>
      </c>
      <c r="E224" s="96" t="b">
        <v>0</v>
      </c>
      <c r="F224" s="96" t="b">
        <v>0</v>
      </c>
      <c r="G224" s="96" t="b">
        <v>0</v>
      </c>
    </row>
    <row r="225" spans="1:7" ht="15">
      <c r="A225" s="97" t="s">
        <v>1423</v>
      </c>
      <c r="B225" s="96">
        <v>2</v>
      </c>
      <c r="C225" s="110">
        <v>0.0018458427063775017</v>
      </c>
      <c r="D225" s="96" t="s">
        <v>1436</v>
      </c>
      <c r="E225" s="96" t="b">
        <v>0</v>
      </c>
      <c r="F225" s="96" t="b">
        <v>0</v>
      </c>
      <c r="G225" s="96" t="b">
        <v>0</v>
      </c>
    </row>
    <row r="226" spans="1:7" ht="15">
      <c r="A226" s="97" t="s">
        <v>1424</v>
      </c>
      <c r="B226" s="96">
        <v>2</v>
      </c>
      <c r="C226" s="110">
        <v>0.0018458427063775017</v>
      </c>
      <c r="D226" s="96" t="s">
        <v>1436</v>
      </c>
      <c r="E226" s="96" t="b">
        <v>0</v>
      </c>
      <c r="F226" s="96" t="b">
        <v>0</v>
      </c>
      <c r="G226" s="96" t="b">
        <v>0</v>
      </c>
    </row>
    <row r="227" spans="1:7" ht="15">
      <c r="A227" s="97" t="s">
        <v>1425</v>
      </c>
      <c r="B227" s="96">
        <v>2</v>
      </c>
      <c r="C227" s="110">
        <v>0.0018458427063775017</v>
      </c>
      <c r="D227" s="96" t="s">
        <v>1436</v>
      </c>
      <c r="E227" s="96" t="b">
        <v>1</v>
      </c>
      <c r="F227" s="96" t="b">
        <v>0</v>
      </c>
      <c r="G227" s="96" t="b">
        <v>0</v>
      </c>
    </row>
    <row r="228" spans="1:7" ht="15">
      <c r="A228" s="97" t="s">
        <v>1426</v>
      </c>
      <c r="B228" s="96">
        <v>2</v>
      </c>
      <c r="C228" s="110">
        <v>0.0018458427063775017</v>
      </c>
      <c r="D228" s="96" t="s">
        <v>1436</v>
      </c>
      <c r="E228" s="96" t="b">
        <v>0</v>
      </c>
      <c r="F228" s="96" t="b">
        <v>0</v>
      </c>
      <c r="G228" s="96" t="b">
        <v>0</v>
      </c>
    </row>
    <row r="229" spans="1:7" ht="15">
      <c r="A229" s="97" t="s">
        <v>1427</v>
      </c>
      <c r="B229" s="96">
        <v>2</v>
      </c>
      <c r="C229" s="110">
        <v>0.0018458427063775017</v>
      </c>
      <c r="D229" s="96" t="s">
        <v>1436</v>
      </c>
      <c r="E229" s="96" t="b">
        <v>0</v>
      </c>
      <c r="F229" s="96" t="b">
        <v>0</v>
      </c>
      <c r="G229" s="96" t="b">
        <v>0</v>
      </c>
    </row>
    <row r="230" spans="1:7" ht="15">
      <c r="A230" s="97" t="s">
        <v>1428</v>
      </c>
      <c r="B230" s="96">
        <v>2</v>
      </c>
      <c r="C230" s="110">
        <v>0.0018458427063775017</v>
      </c>
      <c r="D230" s="96" t="s">
        <v>1436</v>
      </c>
      <c r="E230" s="96" t="b">
        <v>0</v>
      </c>
      <c r="F230" s="96" t="b">
        <v>0</v>
      </c>
      <c r="G230" s="96" t="b">
        <v>0</v>
      </c>
    </row>
    <row r="231" spans="1:7" ht="15">
      <c r="A231" s="97" t="s">
        <v>1429</v>
      </c>
      <c r="B231" s="96">
        <v>2</v>
      </c>
      <c r="C231" s="110">
        <v>0.0018458427063775017</v>
      </c>
      <c r="D231" s="96" t="s">
        <v>1436</v>
      </c>
      <c r="E231" s="96" t="b">
        <v>0</v>
      </c>
      <c r="F231" s="96" t="b">
        <v>0</v>
      </c>
      <c r="G231" s="96" t="b">
        <v>0</v>
      </c>
    </row>
    <row r="232" spans="1:7" ht="15">
      <c r="A232" s="97" t="s">
        <v>1430</v>
      </c>
      <c r="B232" s="96">
        <v>2</v>
      </c>
      <c r="C232" s="110">
        <v>0.0018458427063775017</v>
      </c>
      <c r="D232" s="96" t="s">
        <v>1436</v>
      </c>
      <c r="E232" s="96" t="b">
        <v>0</v>
      </c>
      <c r="F232" s="96" t="b">
        <v>0</v>
      </c>
      <c r="G232" s="96" t="b">
        <v>0</v>
      </c>
    </row>
    <row r="233" spans="1:7" ht="15">
      <c r="A233" s="97" t="s">
        <v>1000</v>
      </c>
      <c r="B233" s="96">
        <v>24</v>
      </c>
      <c r="C233" s="110">
        <v>0</v>
      </c>
      <c r="D233" s="96" t="s">
        <v>914</v>
      </c>
      <c r="E233" s="96" t="b">
        <v>0</v>
      </c>
      <c r="F233" s="96" t="b">
        <v>0</v>
      </c>
      <c r="G233" s="96" t="b">
        <v>0</v>
      </c>
    </row>
    <row r="234" spans="1:7" ht="15">
      <c r="A234" s="97" t="s">
        <v>1005</v>
      </c>
      <c r="B234" s="96">
        <v>10</v>
      </c>
      <c r="C234" s="110">
        <v>0.011698807437280186</v>
      </c>
      <c r="D234" s="96" t="s">
        <v>914</v>
      </c>
      <c r="E234" s="96" t="b">
        <v>0</v>
      </c>
      <c r="F234" s="96" t="b">
        <v>0</v>
      </c>
      <c r="G234" s="96" t="b">
        <v>0</v>
      </c>
    </row>
    <row r="235" spans="1:7" ht="15">
      <c r="A235" s="97" t="s">
        <v>1009</v>
      </c>
      <c r="B235" s="96">
        <v>9</v>
      </c>
      <c r="C235" s="110">
        <v>0.014818519431618903</v>
      </c>
      <c r="D235" s="96" t="s">
        <v>914</v>
      </c>
      <c r="E235" s="96" t="b">
        <v>0</v>
      </c>
      <c r="F235" s="96" t="b">
        <v>0</v>
      </c>
      <c r="G235" s="96" t="b">
        <v>0</v>
      </c>
    </row>
    <row r="236" spans="1:7" ht="15">
      <c r="A236" s="97" t="s">
        <v>982</v>
      </c>
      <c r="B236" s="96">
        <v>9</v>
      </c>
      <c r="C236" s="110">
        <v>0.011796057201386247</v>
      </c>
      <c r="D236" s="96" t="s">
        <v>914</v>
      </c>
      <c r="E236" s="96" t="b">
        <v>0</v>
      </c>
      <c r="F236" s="96" t="b">
        <v>0</v>
      </c>
      <c r="G236" s="96" t="b">
        <v>0</v>
      </c>
    </row>
    <row r="237" spans="1:7" ht="15">
      <c r="A237" s="97" t="s">
        <v>1010</v>
      </c>
      <c r="B237" s="96">
        <v>7</v>
      </c>
      <c r="C237" s="110">
        <v>0.012967445967063805</v>
      </c>
      <c r="D237" s="96" t="s">
        <v>914</v>
      </c>
      <c r="E237" s="96" t="b">
        <v>0</v>
      </c>
      <c r="F237" s="96" t="b">
        <v>0</v>
      </c>
      <c r="G237" s="96" t="b">
        <v>0</v>
      </c>
    </row>
    <row r="238" spans="1:7" ht="15">
      <c r="A238" s="97" t="s">
        <v>1001</v>
      </c>
      <c r="B238" s="96">
        <v>7</v>
      </c>
      <c r="C238" s="110">
        <v>0.011525515113481367</v>
      </c>
      <c r="D238" s="96" t="s">
        <v>914</v>
      </c>
      <c r="E238" s="96" t="b">
        <v>0</v>
      </c>
      <c r="F238" s="96" t="b">
        <v>0</v>
      </c>
      <c r="G238" s="96" t="b">
        <v>0</v>
      </c>
    </row>
    <row r="239" spans="1:7" ht="15">
      <c r="A239" s="97" t="s">
        <v>307</v>
      </c>
      <c r="B239" s="96">
        <v>6</v>
      </c>
      <c r="C239" s="110">
        <v>0.01111495368605469</v>
      </c>
      <c r="D239" s="96" t="s">
        <v>914</v>
      </c>
      <c r="E239" s="96" t="b">
        <v>0</v>
      </c>
      <c r="F239" s="96" t="b">
        <v>0</v>
      </c>
      <c r="G239" s="96" t="b">
        <v>0</v>
      </c>
    </row>
    <row r="240" spans="1:7" ht="15">
      <c r="A240" s="97" t="s">
        <v>1003</v>
      </c>
      <c r="B240" s="96">
        <v>6</v>
      </c>
      <c r="C240" s="110">
        <v>0.01111495368605469</v>
      </c>
      <c r="D240" s="96" t="s">
        <v>914</v>
      </c>
      <c r="E240" s="96" t="b">
        <v>0</v>
      </c>
      <c r="F240" s="96" t="b">
        <v>0</v>
      </c>
      <c r="G240" s="96" t="b">
        <v>0</v>
      </c>
    </row>
    <row r="241" spans="1:7" ht="15">
      <c r="A241" s="97" t="s">
        <v>308</v>
      </c>
      <c r="B241" s="96">
        <v>6</v>
      </c>
      <c r="C241" s="110">
        <v>0.01111495368605469</v>
      </c>
      <c r="D241" s="96" t="s">
        <v>914</v>
      </c>
      <c r="E241" s="96" t="b">
        <v>0</v>
      </c>
      <c r="F241" s="96" t="b">
        <v>0</v>
      </c>
      <c r="G241" s="96" t="b">
        <v>0</v>
      </c>
    </row>
    <row r="242" spans="1:7" ht="15">
      <c r="A242" s="97" t="s">
        <v>976</v>
      </c>
      <c r="B242" s="96">
        <v>6</v>
      </c>
      <c r="C242" s="110">
        <v>0.01111495368605469</v>
      </c>
      <c r="D242" s="96" t="s">
        <v>914</v>
      </c>
      <c r="E242" s="96" t="b">
        <v>0</v>
      </c>
      <c r="F242" s="96" t="b">
        <v>0</v>
      </c>
      <c r="G242" s="96" t="b">
        <v>0</v>
      </c>
    </row>
    <row r="243" spans="1:7" ht="15">
      <c r="A243" s="97" t="s">
        <v>305</v>
      </c>
      <c r="B243" s="96">
        <v>6</v>
      </c>
      <c r="C243" s="110">
        <v>0.01111495368605469</v>
      </c>
      <c r="D243" s="96" t="s">
        <v>914</v>
      </c>
      <c r="E243" s="96" t="b">
        <v>0</v>
      </c>
      <c r="F243" s="96" t="b">
        <v>0</v>
      </c>
      <c r="G243" s="96" t="b">
        <v>0</v>
      </c>
    </row>
    <row r="244" spans="1:7" ht="15">
      <c r="A244" s="97" t="s">
        <v>1002</v>
      </c>
      <c r="B244" s="96">
        <v>6</v>
      </c>
      <c r="C244" s="110">
        <v>0.01111495368605469</v>
      </c>
      <c r="D244" s="96" t="s">
        <v>914</v>
      </c>
      <c r="E244" s="96" t="b">
        <v>0</v>
      </c>
      <c r="F244" s="96" t="b">
        <v>0</v>
      </c>
      <c r="G244" s="96" t="b">
        <v>0</v>
      </c>
    </row>
    <row r="245" spans="1:7" ht="15">
      <c r="A245" s="97" t="s">
        <v>1255</v>
      </c>
      <c r="B245" s="96">
        <v>6</v>
      </c>
      <c r="C245" s="110">
        <v>0.01111495368605469</v>
      </c>
      <c r="D245" s="96" t="s">
        <v>914</v>
      </c>
      <c r="E245" s="96" t="b">
        <v>0</v>
      </c>
      <c r="F245" s="96" t="b">
        <v>0</v>
      </c>
      <c r="G245" s="96" t="b">
        <v>0</v>
      </c>
    </row>
    <row r="246" spans="1:7" ht="15">
      <c r="A246" s="97" t="s">
        <v>301</v>
      </c>
      <c r="B246" s="96">
        <v>5</v>
      </c>
      <c r="C246" s="110">
        <v>0.01048063442116288</v>
      </c>
      <c r="D246" s="96" t="s">
        <v>914</v>
      </c>
      <c r="E246" s="96" t="b">
        <v>0</v>
      </c>
      <c r="F246" s="96" t="b">
        <v>0</v>
      </c>
      <c r="G246" s="96" t="b">
        <v>0</v>
      </c>
    </row>
    <row r="247" spans="1:7" ht="15">
      <c r="A247" s="97" t="s">
        <v>1254</v>
      </c>
      <c r="B247" s="96">
        <v>5</v>
      </c>
      <c r="C247" s="110">
        <v>0.01048063442116288</v>
      </c>
      <c r="D247" s="96" t="s">
        <v>914</v>
      </c>
      <c r="E247" s="96" t="b">
        <v>0</v>
      </c>
      <c r="F247" s="96" t="b">
        <v>0</v>
      </c>
      <c r="G247" s="96" t="b">
        <v>0</v>
      </c>
    </row>
    <row r="248" spans="1:7" ht="15">
      <c r="A248" s="97" t="s">
        <v>1004</v>
      </c>
      <c r="B248" s="96">
        <v>5</v>
      </c>
      <c r="C248" s="110">
        <v>0.01048063442116288</v>
      </c>
      <c r="D248" s="96" t="s">
        <v>914</v>
      </c>
      <c r="E248" s="96" t="b">
        <v>0</v>
      </c>
      <c r="F248" s="96" t="b">
        <v>0</v>
      </c>
      <c r="G248" s="96" t="b">
        <v>0</v>
      </c>
    </row>
    <row r="249" spans="1:7" ht="15">
      <c r="A249" s="97" t="s">
        <v>1253</v>
      </c>
      <c r="B249" s="96">
        <v>5</v>
      </c>
      <c r="C249" s="110">
        <v>0.013893692107568363</v>
      </c>
      <c r="D249" s="96" t="s">
        <v>914</v>
      </c>
      <c r="E249" s="96" t="b">
        <v>0</v>
      </c>
      <c r="F249" s="96" t="b">
        <v>0</v>
      </c>
      <c r="G249" s="96" t="b">
        <v>0</v>
      </c>
    </row>
    <row r="250" spans="1:7" ht="15">
      <c r="A250" s="97" t="s">
        <v>310</v>
      </c>
      <c r="B250" s="96">
        <v>4</v>
      </c>
      <c r="C250" s="110">
        <v>0.009577246158567922</v>
      </c>
      <c r="D250" s="96" t="s">
        <v>914</v>
      </c>
      <c r="E250" s="96" t="b">
        <v>0</v>
      </c>
      <c r="F250" s="96" t="b">
        <v>0</v>
      </c>
      <c r="G250" s="96" t="b">
        <v>0</v>
      </c>
    </row>
    <row r="251" spans="1:7" ht="15">
      <c r="A251" s="97" t="s">
        <v>1257</v>
      </c>
      <c r="B251" s="96">
        <v>4</v>
      </c>
      <c r="C251" s="110">
        <v>0.009577246158567922</v>
      </c>
      <c r="D251" s="96" t="s">
        <v>914</v>
      </c>
      <c r="E251" s="96" t="b">
        <v>0</v>
      </c>
      <c r="F251" s="96" t="b">
        <v>0</v>
      </c>
      <c r="G251" s="96" t="b">
        <v>0</v>
      </c>
    </row>
    <row r="252" spans="1:7" ht="15">
      <c r="A252" s="97" t="s">
        <v>309</v>
      </c>
      <c r="B252" s="96">
        <v>4</v>
      </c>
      <c r="C252" s="110">
        <v>0.009577246158567922</v>
      </c>
      <c r="D252" s="96" t="s">
        <v>914</v>
      </c>
      <c r="E252" s="96" t="b">
        <v>0</v>
      </c>
      <c r="F252" s="96" t="b">
        <v>0</v>
      </c>
      <c r="G252" s="96" t="b">
        <v>0</v>
      </c>
    </row>
    <row r="253" spans="1:7" ht="15">
      <c r="A253" s="97" t="s">
        <v>313</v>
      </c>
      <c r="B253" s="96">
        <v>4</v>
      </c>
      <c r="C253" s="110">
        <v>0.009577246158567922</v>
      </c>
      <c r="D253" s="96" t="s">
        <v>914</v>
      </c>
      <c r="E253" s="96" t="b">
        <v>0</v>
      </c>
      <c r="F253" s="96" t="b">
        <v>0</v>
      </c>
      <c r="G253" s="96" t="b">
        <v>0</v>
      </c>
    </row>
    <row r="254" spans="1:7" ht="15">
      <c r="A254" s="97" t="s">
        <v>304</v>
      </c>
      <c r="B254" s="96">
        <v>4</v>
      </c>
      <c r="C254" s="110">
        <v>0.009577246158567922</v>
      </c>
      <c r="D254" s="96" t="s">
        <v>914</v>
      </c>
      <c r="E254" s="96" t="b">
        <v>0</v>
      </c>
      <c r="F254" s="96" t="b">
        <v>0</v>
      </c>
      <c r="G254" s="96" t="b">
        <v>0</v>
      </c>
    </row>
    <row r="255" spans="1:7" ht="15">
      <c r="A255" s="97" t="s">
        <v>296</v>
      </c>
      <c r="B255" s="96">
        <v>4</v>
      </c>
      <c r="C255" s="110">
        <v>0.009577246158567922</v>
      </c>
      <c r="D255" s="96" t="s">
        <v>914</v>
      </c>
      <c r="E255" s="96" t="b">
        <v>0</v>
      </c>
      <c r="F255" s="96" t="b">
        <v>0</v>
      </c>
      <c r="G255" s="96" t="b">
        <v>0</v>
      </c>
    </row>
    <row r="256" spans="1:7" ht="15">
      <c r="A256" s="97" t="s">
        <v>1262</v>
      </c>
      <c r="B256" s="96">
        <v>4</v>
      </c>
      <c r="C256" s="110">
        <v>0.009577246158567922</v>
      </c>
      <c r="D256" s="96" t="s">
        <v>914</v>
      </c>
      <c r="E256" s="96" t="b">
        <v>0</v>
      </c>
      <c r="F256" s="96" t="b">
        <v>0</v>
      </c>
      <c r="G256" s="96" t="b">
        <v>0</v>
      </c>
    </row>
    <row r="257" spans="1:7" ht="15">
      <c r="A257" s="97" t="s">
        <v>1270</v>
      </c>
      <c r="B257" s="96">
        <v>4</v>
      </c>
      <c r="C257" s="110">
        <v>0.009577246158567922</v>
      </c>
      <c r="D257" s="96" t="s">
        <v>914</v>
      </c>
      <c r="E257" s="96" t="b">
        <v>0</v>
      </c>
      <c r="F257" s="96" t="b">
        <v>0</v>
      </c>
      <c r="G257" s="96" t="b">
        <v>0</v>
      </c>
    </row>
    <row r="258" spans="1:7" ht="15">
      <c r="A258" s="97" t="s">
        <v>1260</v>
      </c>
      <c r="B258" s="96">
        <v>4</v>
      </c>
      <c r="C258" s="110">
        <v>0.009577246158567922</v>
      </c>
      <c r="D258" s="96" t="s">
        <v>914</v>
      </c>
      <c r="E258" s="96" t="b">
        <v>0</v>
      </c>
      <c r="F258" s="96" t="b">
        <v>0</v>
      </c>
      <c r="G258" s="96" t="b">
        <v>0</v>
      </c>
    </row>
    <row r="259" spans="1:7" ht="15">
      <c r="A259" s="97" t="s">
        <v>1300</v>
      </c>
      <c r="B259" s="96">
        <v>4</v>
      </c>
      <c r="C259" s="110">
        <v>0.009577246158567922</v>
      </c>
      <c r="D259" s="96" t="s">
        <v>914</v>
      </c>
      <c r="E259" s="96" t="b">
        <v>0</v>
      </c>
      <c r="F259" s="96" t="b">
        <v>0</v>
      </c>
      <c r="G259" s="96" t="b">
        <v>0</v>
      </c>
    </row>
    <row r="260" spans="1:7" ht="15">
      <c r="A260" s="97" t="s">
        <v>311</v>
      </c>
      <c r="B260" s="96">
        <v>4</v>
      </c>
      <c r="C260" s="110">
        <v>0.009577246158567922</v>
      </c>
      <c r="D260" s="96" t="s">
        <v>914</v>
      </c>
      <c r="E260" s="96" t="b">
        <v>0</v>
      </c>
      <c r="F260" s="96" t="b">
        <v>0</v>
      </c>
      <c r="G260" s="96" t="b">
        <v>0</v>
      </c>
    </row>
    <row r="261" spans="1:7" ht="15">
      <c r="A261" s="97" t="s">
        <v>1259</v>
      </c>
      <c r="B261" s="96">
        <v>4</v>
      </c>
      <c r="C261" s="110">
        <v>0.009577246158567922</v>
      </c>
      <c r="D261" s="96" t="s">
        <v>914</v>
      </c>
      <c r="E261" s="96" t="b">
        <v>0</v>
      </c>
      <c r="F261" s="96" t="b">
        <v>0</v>
      </c>
      <c r="G261" s="96" t="b">
        <v>0</v>
      </c>
    </row>
    <row r="262" spans="1:7" ht="15">
      <c r="A262" s="97" t="s">
        <v>302</v>
      </c>
      <c r="B262" s="96">
        <v>4</v>
      </c>
      <c r="C262" s="110">
        <v>0.009577246158567922</v>
      </c>
      <c r="D262" s="96" t="s">
        <v>914</v>
      </c>
      <c r="E262" s="96" t="b">
        <v>0</v>
      </c>
      <c r="F262" s="96" t="b">
        <v>0</v>
      </c>
      <c r="G262" s="96" t="b">
        <v>0</v>
      </c>
    </row>
    <row r="263" spans="1:7" ht="15">
      <c r="A263" s="97" t="s">
        <v>1264</v>
      </c>
      <c r="B263" s="96">
        <v>4</v>
      </c>
      <c r="C263" s="110">
        <v>0.009577246158567922</v>
      </c>
      <c r="D263" s="96" t="s">
        <v>914</v>
      </c>
      <c r="E263" s="96" t="b">
        <v>0</v>
      </c>
      <c r="F263" s="96" t="b">
        <v>0</v>
      </c>
      <c r="G263" s="96" t="b">
        <v>0</v>
      </c>
    </row>
    <row r="264" spans="1:7" ht="15">
      <c r="A264" s="97" t="s">
        <v>312</v>
      </c>
      <c r="B264" s="96">
        <v>4</v>
      </c>
      <c r="C264" s="110">
        <v>0.009577246158567922</v>
      </c>
      <c r="D264" s="96" t="s">
        <v>914</v>
      </c>
      <c r="E264" s="96" t="b">
        <v>0</v>
      </c>
      <c r="F264" s="96" t="b">
        <v>0</v>
      </c>
      <c r="G264" s="96" t="b">
        <v>0</v>
      </c>
    </row>
    <row r="265" spans="1:7" ht="15">
      <c r="A265" s="97" t="s">
        <v>1263</v>
      </c>
      <c r="B265" s="96">
        <v>4</v>
      </c>
      <c r="C265" s="110">
        <v>0.009577246158567922</v>
      </c>
      <c r="D265" s="96" t="s">
        <v>914</v>
      </c>
      <c r="E265" s="96" t="b">
        <v>0</v>
      </c>
      <c r="F265" s="96" t="b">
        <v>0</v>
      </c>
      <c r="G265" s="96" t="b">
        <v>0</v>
      </c>
    </row>
    <row r="266" spans="1:7" ht="15">
      <c r="A266" s="97" t="s">
        <v>299</v>
      </c>
      <c r="B266" s="96">
        <v>4</v>
      </c>
      <c r="C266" s="110">
        <v>0.009577246158567922</v>
      </c>
      <c r="D266" s="96" t="s">
        <v>914</v>
      </c>
      <c r="E266" s="96" t="b">
        <v>0</v>
      </c>
      <c r="F266" s="96" t="b">
        <v>0</v>
      </c>
      <c r="G266" s="96" t="b">
        <v>0</v>
      </c>
    </row>
    <row r="267" spans="1:7" ht="15">
      <c r="A267" s="97" t="s">
        <v>1286</v>
      </c>
      <c r="B267" s="96">
        <v>4</v>
      </c>
      <c r="C267" s="110">
        <v>0.009577246158567922</v>
      </c>
      <c r="D267" s="96" t="s">
        <v>914</v>
      </c>
      <c r="E267" s="96" t="b">
        <v>0</v>
      </c>
      <c r="F267" s="96" t="b">
        <v>0</v>
      </c>
      <c r="G267" s="96" t="b">
        <v>0</v>
      </c>
    </row>
    <row r="268" spans="1:7" ht="15">
      <c r="A268" s="97" t="s">
        <v>1274</v>
      </c>
      <c r="B268" s="96">
        <v>3</v>
      </c>
      <c r="C268" s="110">
        <v>0.008336215264541019</v>
      </c>
      <c r="D268" s="96" t="s">
        <v>914</v>
      </c>
      <c r="E268" s="96" t="b">
        <v>0</v>
      </c>
      <c r="F268" s="96" t="b">
        <v>0</v>
      </c>
      <c r="G268" s="96" t="b">
        <v>0</v>
      </c>
    </row>
    <row r="269" spans="1:7" ht="15">
      <c r="A269" s="97" t="s">
        <v>1258</v>
      </c>
      <c r="B269" s="96">
        <v>3</v>
      </c>
      <c r="C269" s="110">
        <v>0.008336215264541019</v>
      </c>
      <c r="D269" s="96" t="s">
        <v>914</v>
      </c>
      <c r="E269" s="96" t="b">
        <v>0</v>
      </c>
      <c r="F269" s="96" t="b">
        <v>0</v>
      </c>
      <c r="G269" s="96" t="b">
        <v>0</v>
      </c>
    </row>
    <row r="270" spans="1:7" ht="15">
      <c r="A270" s="97" t="s">
        <v>1400</v>
      </c>
      <c r="B270" s="96">
        <v>2</v>
      </c>
      <c r="C270" s="110">
        <v>0.006641115360293076</v>
      </c>
      <c r="D270" s="96" t="s">
        <v>914</v>
      </c>
      <c r="E270" s="96" t="b">
        <v>0</v>
      </c>
      <c r="F270" s="96" t="b">
        <v>0</v>
      </c>
      <c r="G270" s="96" t="b">
        <v>0</v>
      </c>
    </row>
    <row r="271" spans="1:7" ht="15">
      <c r="A271" s="97" t="s">
        <v>1266</v>
      </c>
      <c r="B271" s="96">
        <v>2</v>
      </c>
      <c r="C271" s="110">
        <v>0.006641115360293076</v>
      </c>
      <c r="D271" s="96" t="s">
        <v>914</v>
      </c>
      <c r="E271" s="96" t="b">
        <v>0</v>
      </c>
      <c r="F271" s="96" t="b">
        <v>0</v>
      </c>
      <c r="G271" s="96" t="b">
        <v>0</v>
      </c>
    </row>
    <row r="272" spans="1:7" ht="15">
      <c r="A272" s="97" t="s">
        <v>1284</v>
      </c>
      <c r="B272" s="96">
        <v>2</v>
      </c>
      <c r="C272" s="110">
        <v>0.006641115360293076</v>
      </c>
      <c r="D272" s="96" t="s">
        <v>914</v>
      </c>
      <c r="E272" s="96" t="b">
        <v>0</v>
      </c>
      <c r="F272" s="96" t="b">
        <v>0</v>
      </c>
      <c r="G272" s="96" t="b">
        <v>0</v>
      </c>
    </row>
    <row r="273" spans="1:7" ht="15">
      <c r="A273" s="97" t="s">
        <v>1293</v>
      </c>
      <c r="B273" s="96">
        <v>2</v>
      </c>
      <c r="C273" s="110">
        <v>0.006641115360293076</v>
      </c>
      <c r="D273" s="96" t="s">
        <v>914</v>
      </c>
      <c r="E273" s="96" t="b">
        <v>0</v>
      </c>
      <c r="F273" s="96" t="b">
        <v>0</v>
      </c>
      <c r="G273" s="96" t="b">
        <v>0</v>
      </c>
    </row>
    <row r="274" spans="1:7" ht="15">
      <c r="A274" s="97" t="s">
        <v>300</v>
      </c>
      <c r="B274" s="96">
        <v>2</v>
      </c>
      <c r="C274" s="110">
        <v>0.006641115360293076</v>
      </c>
      <c r="D274" s="96" t="s">
        <v>914</v>
      </c>
      <c r="E274" s="96" t="b">
        <v>0</v>
      </c>
      <c r="F274" s="96" t="b">
        <v>0</v>
      </c>
      <c r="G274" s="96" t="b">
        <v>0</v>
      </c>
    </row>
    <row r="275" spans="1:7" ht="15">
      <c r="A275" s="97" t="s">
        <v>1302</v>
      </c>
      <c r="B275" s="96">
        <v>2</v>
      </c>
      <c r="C275" s="110">
        <v>0.006641115360293076</v>
      </c>
      <c r="D275" s="96" t="s">
        <v>914</v>
      </c>
      <c r="E275" s="96" t="b">
        <v>0</v>
      </c>
      <c r="F275" s="96" t="b">
        <v>0</v>
      </c>
      <c r="G275" s="96" t="b">
        <v>0</v>
      </c>
    </row>
    <row r="276" spans="1:7" ht="15">
      <c r="A276" s="97" t="s">
        <v>1319</v>
      </c>
      <c r="B276" s="96">
        <v>2</v>
      </c>
      <c r="C276" s="110">
        <v>0.006641115360293076</v>
      </c>
      <c r="D276" s="96" t="s">
        <v>914</v>
      </c>
      <c r="E276" s="96" t="b">
        <v>0</v>
      </c>
      <c r="F276" s="96" t="b">
        <v>0</v>
      </c>
      <c r="G276" s="96" t="b">
        <v>0</v>
      </c>
    </row>
    <row r="277" spans="1:7" ht="15">
      <c r="A277" s="97" t="s">
        <v>1350</v>
      </c>
      <c r="B277" s="96">
        <v>2</v>
      </c>
      <c r="C277" s="110">
        <v>0.006641115360293076</v>
      </c>
      <c r="D277" s="96" t="s">
        <v>914</v>
      </c>
      <c r="E277" s="96" t="b">
        <v>0</v>
      </c>
      <c r="F277" s="96" t="b">
        <v>0</v>
      </c>
      <c r="G277" s="96" t="b">
        <v>0</v>
      </c>
    </row>
    <row r="278" spans="1:7" ht="15">
      <c r="A278" s="97" t="s">
        <v>1312</v>
      </c>
      <c r="B278" s="96">
        <v>2</v>
      </c>
      <c r="C278" s="110">
        <v>0.006641115360293076</v>
      </c>
      <c r="D278" s="96" t="s">
        <v>914</v>
      </c>
      <c r="E278" s="96" t="b">
        <v>0</v>
      </c>
      <c r="F278" s="96" t="b">
        <v>0</v>
      </c>
      <c r="G278" s="96" t="b">
        <v>0</v>
      </c>
    </row>
    <row r="279" spans="1:7" ht="15">
      <c r="A279" s="97" t="s">
        <v>1273</v>
      </c>
      <c r="B279" s="96">
        <v>2</v>
      </c>
      <c r="C279" s="110">
        <v>0.006641115360293076</v>
      </c>
      <c r="D279" s="96" t="s">
        <v>914</v>
      </c>
      <c r="E279" s="96" t="b">
        <v>0</v>
      </c>
      <c r="F279" s="96" t="b">
        <v>0</v>
      </c>
      <c r="G279" s="96" t="b">
        <v>0</v>
      </c>
    </row>
    <row r="280" spans="1:7" ht="15">
      <c r="A280" s="97" t="s">
        <v>1331</v>
      </c>
      <c r="B280" s="96">
        <v>2</v>
      </c>
      <c r="C280" s="110">
        <v>0.006641115360293076</v>
      </c>
      <c r="D280" s="96" t="s">
        <v>914</v>
      </c>
      <c r="E280" s="96" t="b">
        <v>1</v>
      </c>
      <c r="F280" s="96" t="b">
        <v>0</v>
      </c>
      <c r="G280" s="96" t="b">
        <v>0</v>
      </c>
    </row>
    <row r="281" spans="1:7" ht="15">
      <c r="A281" s="97" t="s">
        <v>1278</v>
      </c>
      <c r="B281" s="96">
        <v>2</v>
      </c>
      <c r="C281" s="110">
        <v>0.006641115360293076</v>
      </c>
      <c r="D281" s="96" t="s">
        <v>914</v>
      </c>
      <c r="E281" s="96" t="b">
        <v>0</v>
      </c>
      <c r="F281" s="96" t="b">
        <v>0</v>
      </c>
      <c r="G281" s="96" t="b">
        <v>0</v>
      </c>
    </row>
    <row r="282" spans="1:7" ht="15">
      <c r="A282" s="97" t="s">
        <v>1322</v>
      </c>
      <c r="B282" s="96">
        <v>2</v>
      </c>
      <c r="C282" s="110">
        <v>0.006641115360293076</v>
      </c>
      <c r="D282" s="96" t="s">
        <v>914</v>
      </c>
      <c r="E282" s="96" t="b">
        <v>0</v>
      </c>
      <c r="F282" s="96" t="b">
        <v>0</v>
      </c>
      <c r="G282" s="96" t="b">
        <v>0</v>
      </c>
    </row>
    <row r="283" spans="1:7" ht="15">
      <c r="A283" s="97" t="s">
        <v>1333</v>
      </c>
      <c r="B283" s="96">
        <v>2</v>
      </c>
      <c r="C283" s="110">
        <v>0.006641115360293076</v>
      </c>
      <c r="D283" s="96" t="s">
        <v>914</v>
      </c>
      <c r="E283" s="96" t="b">
        <v>0</v>
      </c>
      <c r="F283" s="96" t="b">
        <v>0</v>
      </c>
      <c r="G283" s="96" t="b">
        <v>0</v>
      </c>
    </row>
    <row r="284" spans="1:7" ht="15">
      <c r="A284" s="97" t="s">
        <v>1294</v>
      </c>
      <c r="B284" s="96">
        <v>2</v>
      </c>
      <c r="C284" s="110">
        <v>0.006641115360293076</v>
      </c>
      <c r="D284" s="96" t="s">
        <v>914</v>
      </c>
      <c r="E284" s="96" t="b">
        <v>0</v>
      </c>
      <c r="F284" s="96" t="b">
        <v>0</v>
      </c>
      <c r="G284" s="96" t="b">
        <v>0</v>
      </c>
    </row>
    <row r="285" spans="1:7" ht="15">
      <c r="A285" s="97" t="s">
        <v>1296</v>
      </c>
      <c r="B285" s="96">
        <v>2</v>
      </c>
      <c r="C285" s="110">
        <v>0.006641115360293076</v>
      </c>
      <c r="D285" s="96" t="s">
        <v>914</v>
      </c>
      <c r="E285" s="96" t="b">
        <v>0</v>
      </c>
      <c r="F285" s="96" t="b">
        <v>0</v>
      </c>
      <c r="G285" s="96" t="b">
        <v>0</v>
      </c>
    </row>
    <row r="286" spans="1:7" ht="15">
      <c r="A286" s="97" t="s">
        <v>1015</v>
      </c>
      <c r="B286" s="96">
        <v>2</v>
      </c>
      <c r="C286" s="110">
        <v>0.006641115360293076</v>
      </c>
      <c r="D286" s="96" t="s">
        <v>914</v>
      </c>
      <c r="E286" s="96" t="b">
        <v>0</v>
      </c>
      <c r="F286" s="96" t="b">
        <v>0</v>
      </c>
      <c r="G286" s="96" t="b">
        <v>0</v>
      </c>
    </row>
    <row r="287" spans="1:7" ht="15">
      <c r="A287" s="97" t="s">
        <v>1316</v>
      </c>
      <c r="B287" s="96">
        <v>2</v>
      </c>
      <c r="C287" s="110">
        <v>0.006641115360293076</v>
      </c>
      <c r="D287" s="96" t="s">
        <v>914</v>
      </c>
      <c r="E287" s="96" t="b">
        <v>0</v>
      </c>
      <c r="F287" s="96" t="b">
        <v>0</v>
      </c>
      <c r="G287" s="96" t="b">
        <v>0</v>
      </c>
    </row>
    <row r="288" spans="1:7" ht="15">
      <c r="A288" s="97" t="s">
        <v>1285</v>
      </c>
      <c r="B288" s="96">
        <v>2</v>
      </c>
      <c r="C288" s="110">
        <v>0.006641115360293076</v>
      </c>
      <c r="D288" s="96" t="s">
        <v>914</v>
      </c>
      <c r="E288" s="96" t="b">
        <v>0</v>
      </c>
      <c r="F288" s="96" t="b">
        <v>0</v>
      </c>
      <c r="G288" s="96" t="b">
        <v>0</v>
      </c>
    </row>
    <row r="289" spans="1:7" ht="15">
      <c r="A289" s="97" t="s">
        <v>1339</v>
      </c>
      <c r="B289" s="96">
        <v>2</v>
      </c>
      <c r="C289" s="110">
        <v>0.006641115360293076</v>
      </c>
      <c r="D289" s="96" t="s">
        <v>914</v>
      </c>
      <c r="E289" s="96" t="b">
        <v>0</v>
      </c>
      <c r="F289" s="96" t="b">
        <v>0</v>
      </c>
      <c r="G289" s="96" t="b">
        <v>0</v>
      </c>
    </row>
    <row r="290" spans="1:7" ht="15">
      <c r="A290" s="97" t="s">
        <v>1308</v>
      </c>
      <c r="B290" s="96">
        <v>2</v>
      </c>
      <c r="C290" s="110">
        <v>0.006641115360293076</v>
      </c>
      <c r="D290" s="96" t="s">
        <v>914</v>
      </c>
      <c r="E290" s="96" t="b">
        <v>0</v>
      </c>
      <c r="F290" s="96" t="b">
        <v>0</v>
      </c>
      <c r="G290" s="96" t="b">
        <v>0</v>
      </c>
    </row>
    <row r="291" spans="1:7" ht="15">
      <c r="A291" s="97" t="s">
        <v>1315</v>
      </c>
      <c r="B291" s="96">
        <v>2</v>
      </c>
      <c r="C291" s="110">
        <v>0.006641115360293076</v>
      </c>
      <c r="D291" s="96" t="s">
        <v>914</v>
      </c>
      <c r="E291" s="96" t="b">
        <v>0</v>
      </c>
      <c r="F291" s="96" t="b">
        <v>0</v>
      </c>
      <c r="G291" s="96" t="b">
        <v>0</v>
      </c>
    </row>
    <row r="292" spans="1:7" ht="15">
      <c r="A292" s="97" t="s">
        <v>1282</v>
      </c>
      <c r="B292" s="96">
        <v>2</v>
      </c>
      <c r="C292" s="110">
        <v>0.006641115360293076</v>
      </c>
      <c r="D292" s="96" t="s">
        <v>914</v>
      </c>
      <c r="E292" s="96" t="b">
        <v>0</v>
      </c>
      <c r="F292" s="96" t="b">
        <v>0</v>
      </c>
      <c r="G292" s="96" t="b">
        <v>0</v>
      </c>
    </row>
    <row r="293" spans="1:7" ht="15">
      <c r="A293" s="97" t="s">
        <v>1317</v>
      </c>
      <c r="B293" s="96">
        <v>2</v>
      </c>
      <c r="C293" s="110">
        <v>0.006641115360293076</v>
      </c>
      <c r="D293" s="96" t="s">
        <v>914</v>
      </c>
      <c r="E293" s="96" t="b">
        <v>0</v>
      </c>
      <c r="F293" s="96" t="b">
        <v>0</v>
      </c>
      <c r="G293" s="96" t="b">
        <v>0</v>
      </c>
    </row>
    <row r="294" spans="1:7" ht="15">
      <c r="A294" s="97" t="s">
        <v>1256</v>
      </c>
      <c r="B294" s="96">
        <v>2</v>
      </c>
      <c r="C294" s="110">
        <v>0.006641115360293076</v>
      </c>
      <c r="D294" s="96" t="s">
        <v>914</v>
      </c>
      <c r="E294" s="96" t="b">
        <v>0</v>
      </c>
      <c r="F294" s="96" t="b">
        <v>0</v>
      </c>
      <c r="G294" s="96" t="b">
        <v>0</v>
      </c>
    </row>
    <row r="295" spans="1:7" ht="15">
      <c r="A295" s="97" t="s">
        <v>1330</v>
      </c>
      <c r="B295" s="96">
        <v>2</v>
      </c>
      <c r="C295" s="110">
        <v>0.006641115360293076</v>
      </c>
      <c r="D295" s="96" t="s">
        <v>914</v>
      </c>
      <c r="E295" s="96" t="b">
        <v>0</v>
      </c>
      <c r="F295" s="96" t="b">
        <v>0</v>
      </c>
      <c r="G295" s="96" t="b">
        <v>0</v>
      </c>
    </row>
    <row r="296" spans="1:7" ht="15">
      <c r="A296" s="97" t="s">
        <v>1290</v>
      </c>
      <c r="B296" s="96">
        <v>2</v>
      </c>
      <c r="C296" s="110">
        <v>0.006641115360293076</v>
      </c>
      <c r="D296" s="96" t="s">
        <v>914</v>
      </c>
      <c r="E296" s="96" t="b">
        <v>0</v>
      </c>
      <c r="F296" s="96" t="b">
        <v>0</v>
      </c>
      <c r="G296" s="96" t="b">
        <v>0</v>
      </c>
    </row>
    <row r="297" spans="1:7" ht="15">
      <c r="A297" s="97" t="s">
        <v>1280</v>
      </c>
      <c r="B297" s="96">
        <v>2</v>
      </c>
      <c r="C297" s="110">
        <v>0.006641115360293076</v>
      </c>
      <c r="D297" s="96" t="s">
        <v>914</v>
      </c>
      <c r="E297" s="96" t="b">
        <v>0</v>
      </c>
      <c r="F297" s="96" t="b">
        <v>0</v>
      </c>
      <c r="G297" s="96" t="b">
        <v>0</v>
      </c>
    </row>
    <row r="298" spans="1:7" ht="15">
      <c r="A298" s="97" t="s">
        <v>1000</v>
      </c>
      <c r="B298" s="96">
        <v>49</v>
      </c>
      <c r="C298" s="110">
        <v>0</v>
      </c>
      <c r="D298" s="96" t="s">
        <v>915</v>
      </c>
      <c r="E298" s="96" t="b">
        <v>0</v>
      </c>
      <c r="F298" s="96" t="b">
        <v>0</v>
      </c>
      <c r="G298" s="96" t="b">
        <v>0</v>
      </c>
    </row>
    <row r="299" spans="1:7" ht="15">
      <c r="A299" s="97" t="s">
        <v>1002</v>
      </c>
      <c r="B299" s="96">
        <v>21</v>
      </c>
      <c r="C299" s="110">
        <v>0.010614714960420994</v>
      </c>
      <c r="D299" s="96" t="s">
        <v>915</v>
      </c>
      <c r="E299" s="96" t="b">
        <v>0</v>
      </c>
      <c r="F299" s="96" t="b">
        <v>0</v>
      </c>
      <c r="G299" s="96" t="b">
        <v>0</v>
      </c>
    </row>
    <row r="300" spans="1:7" ht="15">
      <c r="A300" s="97" t="s">
        <v>982</v>
      </c>
      <c r="B300" s="96">
        <v>21</v>
      </c>
      <c r="C300" s="110">
        <v>0.010614714960420994</v>
      </c>
      <c r="D300" s="96" t="s">
        <v>915</v>
      </c>
      <c r="E300" s="96" t="b">
        <v>0</v>
      </c>
      <c r="F300" s="96" t="b">
        <v>0</v>
      </c>
      <c r="G300" s="96" t="b">
        <v>0</v>
      </c>
    </row>
    <row r="301" spans="1:7" ht="15">
      <c r="A301" s="97" t="s">
        <v>1003</v>
      </c>
      <c r="B301" s="96">
        <v>20</v>
      </c>
      <c r="C301" s="110">
        <v>0.010691375944080563</v>
      </c>
      <c r="D301" s="96" t="s">
        <v>915</v>
      </c>
      <c r="E301" s="96" t="b">
        <v>0</v>
      </c>
      <c r="F301" s="96" t="b">
        <v>0</v>
      </c>
      <c r="G301" s="96" t="b">
        <v>0</v>
      </c>
    </row>
    <row r="302" spans="1:7" ht="15">
      <c r="A302" s="97" t="s">
        <v>1001</v>
      </c>
      <c r="B302" s="96">
        <v>19</v>
      </c>
      <c r="C302" s="110">
        <v>0.01073819656928298</v>
      </c>
      <c r="D302" s="96" t="s">
        <v>915</v>
      </c>
      <c r="E302" s="96" t="b">
        <v>0</v>
      </c>
      <c r="F302" s="96" t="b">
        <v>0</v>
      </c>
      <c r="G302" s="96" t="b">
        <v>0</v>
      </c>
    </row>
    <row r="303" spans="1:7" ht="15">
      <c r="A303" s="97" t="s">
        <v>1004</v>
      </c>
      <c r="B303" s="96">
        <v>18</v>
      </c>
      <c r="C303" s="110">
        <v>0.010753604874524364</v>
      </c>
      <c r="D303" s="96" t="s">
        <v>915</v>
      </c>
      <c r="E303" s="96" t="b">
        <v>0</v>
      </c>
      <c r="F303" s="96" t="b">
        <v>0</v>
      </c>
      <c r="G303" s="96" t="b">
        <v>0</v>
      </c>
    </row>
    <row r="304" spans="1:7" ht="15">
      <c r="A304" s="97" t="s">
        <v>875</v>
      </c>
      <c r="B304" s="96">
        <v>17</v>
      </c>
      <c r="C304" s="110">
        <v>0.010735853979469884</v>
      </c>
      <c r="D304" s="96" t="s">
        <v>915</v>
      </c>
      <c r="E304" s="96" t="b">
        <v>0</v>
      </c>
      <c r="F304" s="96" t="b">
        <v>0</v>
      </c>
      <c r="G304" s="96" t="b">
        <v>0</v>
      </c>
    </row>
    <row r="305" spans="1:7" ht="15">
      <c r="A305" s="97" t="s">
        <v>1007</v>
      </c>
      <c r="B305" s="96">
        <v>13</v>
      </c>
      <c r="C305" s="110">
        <v>0.01029022728074423</v>
      </c>
      <c r="D305" s="96" t="s">
        <v>915</v>
      </c>
      <c r="E305" s="96" t="b">
        <v>0</v>
      </c>
      <c r="F305" s="96" t="b">
        <v>0</v>
      </c>
      <c r="G305" s="96" t="b">
        <v>0</v>
      </c>
    </row>
    <row r="306" spans="1:7" ht="15">
      <c r="A306" s="97" t="s">
        <v>1012</v>
      </c>
      <c r="B306" s="96">
        <v>13</v>
      </c>
      <c r="C306" s="110">
        <v>0.01029022728074423</v>
      </c>
      <c r="D306" s="96" t="s">
        <v>915</v>
      </c>
      <c r="E306" s="96" t="b">
        <v>0</v>
      </c>
      <c r="F306" s="96" t="b">
        <v>0</v>
      </c>
      <c r="G306" s="96" t="b">
        <v>0</v>
      </c>
    </row>
    <row r="307" spans="1:7" ht="15">
      <c r="A307" s="97" t="s">
        <v>1013</v>
      </c>
      <c r="B307" s="96">
        <v>13</v>
      </c>
      <c r="C307" s="110">
        <v>0.01029022728074423</v>
      </c>
      <c r="D307" s="96" t="s">
        <v>915</v>
      </c>
      <c r="E307" s="96" t="b">
        <v>0</v>
      </c>
      <c r="F307" s="96" t="b">
        <v>0</v>
      </c>
      <c r="G307" s="96" t="b">
        <v>0</v>
      </c>
    </row>
    <row r="308" spans="1:7" ht="15">
      <c r="A308" s="97" t="s">
        <v>1249</v>
      </c>
      <c r="B308" s="96">
        <v>13</v>
      </c>
      <c r="C308" s="110">
        <v>0.01029022728074423</v>
      </c>
      <c r="D308" s="96" t="s">
        <v>915</v>
      </c>
      <c r="E308" s="96" t="b">
        <v>0</v>
      </c>
      <c r="F308" s="96" t="b">
        <v>0</v>
      </c>
      <c r="G308" s="96" t="b">
        <v>0</v>
      </c>
    </row>
    <row r="309" spans="1:7" ht="15">
      <c r="A309" s="97" t="s">
        <v>1250</v>
      </c>
      <c r="B309" s="96">
        <v>13</v>
      </c>
      <c r="C309" s="110">
        <v>0.01029022728074423</v>
      </c>
      <c r="D309" s="96" t="s">
        <v>915</v>
      </c>
      <c r="E309" s="96" t="b">
        <v>0</v>
      </c>
      <c r="F309" s="96" t="b">
        <v>0</v>
      </c>
      <c r="G309" s="96" t="b">
        <v>0</v>
      </c>
    </row>
    <row r="310" spans="1:7" ht="15">
      <c r="A310" s="97" t="s">
        <v>1251</v>
      </c>
      <c r="B310" s="96">
        <v>13</v>
      </c>
      <c r="C310" s="110">
        <v>0.01029022728074423</v>
      </c>
      <c r="D310" s="96" t="s">
        <v>915</v>
      </c>
      <c r="E310" s="96" t="b">
        <v>0</v>
      </c>
      <c r="F310" s="96" t="b">
        <v>0</v>
      </c>
      <c r="G310" s="96" t="b">
        <v>0</v>
      </c>
    </row>
    <row r="311" spans="1:7" ht="15">
      <c r="A311" s="97" t="s">
        <v>1006</v>
      </c>
      <c r="B311" s="96">
        <v>13</v>
      </c>
      <c r="C311" s="110">
        <v>0.01029022728074423</v>
      </c>
      <c r="D311" s="96" t="s">
        <v>915</v>
      </c>
      <c r="E311" s="96" t="b">
        <v>0</v>
      </c>
      <c r="F311" s="96" t="b">
        <v>0</v>
      </c>
      <c r="G311" s="96" t="b">
        <v>0</v>
      </c>
    </row>
    <row r="312" spans="1:7" ht="15">
      <c r="A312" s="97" t="s">
        <v>1252</v>
      </c>
      <c r="B312" s="96">
        <v>12</v>
      </c>
      <c r="C312" s="110">
        <v>0.01007167308759707</v>
      </c>
      <c r="D312" s="96" t="s">
        <v>915</v>
      </c>
      <c r="E312" s="96" t="b">
        <v>0</v>
      </c>
      <c r="F312" s="96" t="b">
        <v>0</v>
      </c>
      <c r="G312" s="96" t="b">
        <v>0</v>
      </c>
    </row>
    <row r="313" spans="1:7" ht="15">
      <c r="A313" s="97" t="s">
        <v>1005</v>
      </c>
      <c r="B313" s="96">
        <v>12</v>
      </c>
      <c r="C313" s="110">
        <v>0.01007167308759707</v>
      </c>
      <c r="D313" s="96" t="s">
        <v>915</v>
      </c>
      <c r="E313" s="96" t="b">
        <v>0</v>
      </c>
      <c r="F313" s="96" t="b">
        <v>0</v>
      </c>
      <c r="G313" s="96" t="b">
        <v>0</v>
      </c>
    </row>
    <row r="314" spans="1:7" ht="15">
      <c r="A314" s="97" t="s">
        <v>1253</v>
      </c>
      <c r="B314" s="96">
        <v>10</v>
      </c>
      <c r="C314" s="110">
        <v>0.012528088319297664</v>
      </c>
      <c r="D314" s="96" t="s">
        <v>915</v>
      </c>
      <c r="E314" s="96" t="b">
        <v>0</v>
      </c>
      <c r="F314" s="96" t="b">
        <v>0</v>
      </c>
      <c r="G314" s="96" t="b">
        <v>0</v>
      </c>
    </row>
    <row r="315" spans="1:7" ht="15">
      <c r="A315" s="97" t="s">
        <v>1254</v>
      </c>
      <c r="B315" s="96">
        <v>10</v>
      </c>
      <c r="C315" s="110">
        <v>0.009480715385007056</v>
      </c>
      <c r="D315" s="96" t="s">
        <v>915</v>
      </c>
      <c r="E315" s="96" t="b">
        <v>0</v>
      </c>
      <c r="F315" s="96" t="b">
        <v>0</v>
      </c>
      <c r="G315" s="96" t="b">
        <v>0</v>
      </c>
    </row>
    <row r="316" spans="1:7" ht="15">
      <c r="A316" s="97" t="s">
        <v>1010</v>
      </c>
      <c r="B316" s="96">
        <v>8</v>
      </c>
      <c r="C316" s="110">
        <v>0.010022470655438133</v>
      </c>
      <c r="D316" s="96" t="s">
        <v>915</v>
      </c>
      <c r="E316" s="96" t="b">
        <v>0</v>
      </c>
      <c r="F316" s="96" t="b">
        <v>0</v>
      </c>
      <c r="G316" s="96" t="b">
        <v>0</v>
      </c>
    </row>
    <row r="317" spans="1:7" ht="15">
      <c r="A317" s="97" t="s">
        <v>1009</v>
      </c>
      <c r="B317" s="96">
        <v>7</v>
      </c>
      <c r="C317" s="110">
        <v>0.008769661823508365</v>
      </c>
      <c r="D317" s="96" t="s">
        <v>915</v>
      </c>
      <c r="E317" s="96" t="b">
        <v>0</v>
      </c>
      <c r="F317" s="96" t="b">
        <v>0</v>
      </c>
      <c r="G317" s="96" t="b">
        <v>0</v>
      </c>
    </row>
    <row r="318" spans="1:7" ht="15">
      <c r="A318" s="97" t="s">
        <v>1255</v>
      </c>
      <c r="B318" s="96">
        <v>7</v>
      </c>
      <c r="C318" s="110">
        <v>0.008125942692444777</v>
      </c>
      <c r="D318" s="96" t="s">
        <v>915</v>
      </c>
      <c r="E318" s="96" t="b">
        <v>0</v>
      </c>
      <c r="F318" s="96" t="b">
        <v>0</v>
      </c>
      <c r="G318" s="96" t="b">
        <v>0</v>
      </c>
    </row>
    <row r="319" spans="1:7" ht="15">
      <c r="A319" s="97" t="s">
        <v>1257</v>
      </c>
      <c r="B319" s="96">
        <v>6</v>
      </c>
      <c r="C319" s="110">
        <v>0.007516852991578599</v>
      </c>
      <c r="D319" s="96" t="s">
        <v>915</v>
      </c>
      <c r="E319" s="96" t="b">
        <v>0</v>
      </c>
      <c r="F319" s="96" t="b">
        <v>0</v>
      </c>
      <c r="G319" s="96" t="b">
        <v>0</v>
      </c>
    </row>
    <row r="320" spans="1:7" ht="15">
      <c r="A320" s="97" t="s">
        <v>976</v>
      </c>
      <c r="B320" s="96">
        <v>6</v>
      </c>
      <c r="C320" s="110">
        <v>0.007516852991578599</v>
      </c>
      <c r="D320" s="96" t="s">
        <v>915</v>
      </c>
      <c r="E320" s="96" t="b">
        <v>0</v>
      </c>
      <c r="F320" s="96" t="b">
        <v>0</v>
      </c>
      <c r="G320" s="96" t="b">
        <v>0</v>
      </c>
    </row>
    <row r="321" spans="1:7" ht="15">
      <c r="A321" s="97" t="s">
        <v>1256</v>
      </c>
      <c r="B321" s="96">
        <v>6</v>
      </c>
      <c r="C321" s="110">
        <v>0.007516852991578599</v>
      </c>
      <c r="D321" s="96" t="s">
        <v>915</v>
      </c>
      <c r="E321" s="96" t="b">
        <v>0</v>
      </c>
      <c r="F321" s="96" t="b">
        <v>0</v>
      </c>
      <c r="G321" s="96" t="b">
        <v>0</v>
      </c>
    </row>
    <row r="322" spans="1:7" ht="15">
      <c r="A322" s="97" t="s">
        <v>1266</v>
      </c>
      <c r="B322" s="96">
        <v>6</v>
      </c>
      <c r="C322" s="110">
        <v>0.007516852991578599</v>
      </c>
      <c r="D322" s="96" t="s">
        <v>915</v>
      </c>
      <c r="E322" s="96" t="b">
        <v>0</v>
      </c>
      <c r="F322" s="96" t="b">
        <v>0</v>
      </c>
      <c r="G322" s="96" t="b">
        <v>0</v>
      </c>
    </row>
    <row r="323" spans="1:7" ht="15">
      <c r="A323" s="97" t="s">
        <v>307</v>
      </c>
      <c r="B323" s="96">
        <v>5</v>
      </c>
      <c r="C323" s="110">
        <v>0.006807871398986916</v>
      </c>
      <c r="D323" s="96" t="s">
        <v>915</v>
      </c>
      <c r="E323" s="96" t="b">
        <v>0</v>
      </c>
      <c r="F323" s="96" t="b">
        <v>0</v>
      </c>
      <c r="G323" s="96" t="b">
        <v>0</v>
      </c>
    </row>
    <row r="324" spans="1:7" ht="15">
      <c r="A324" s="97" t="s">
        <v>1281</v>
      </c>
      <c r="B324" s="96">
        <v>5</v>
      </c>
      <c r="C324" s="110">
        <v>0.006807871398986916</v>
      </c>
      <c r="D324" s="96" t="s">
        <v>915</v>
      </c>
      <c r="E324" s="96" t="b">
        <v>0</v>
      </c>
      <c r="F324" s="96" t="b">
        <v>0</v>
      </c>
      <c r="G324" s="96" t="b">
        <v>0</v>
      </c>
    </row>
    <row r="325" spans="1:7" ht="15">
      <c r="A325" s="97" t="s">
        <v>1291</v>
      </c>
      <c r="B325" s="96">
        <v>5</v>
      </c>
      <c r="C325" s="110">
        <v>0.006807871398986916</v>
      </c>
      <c r="D325" s="96" t="s">
        <v>915</v>
      </c>
      <c r="E325" s="96" t="b">
        <v>1</v>
      </c>
      <c r="F325" s="96" t="b">
        <v>0</v>
      </c>
      <c r="G325" s="96" t="b">
        <v>0</v>
      </c>
    </row>
    <row r="326" spans="1:7" ht="15">
      <c r="A326" s="97" t="s">
        <v>1259</v>
      </c>
      <c r="B326" s="96">
        <v>5</v>
      </c>
      <c r="C326" s="110">
        <v>0.006807871398986916</v>
      </c>
      <c r="D326" s="96" t="s">
        <v>915</v>
      </c>
      <c r="E326" s="96" t="b">
        <v>0</v>
      </c>
      <c r="F326" s="96" t="b">
        <v>0</v>
      </c>
      <c r="G326" s="96" t="b">
        <v>0</v>
      </c>
    </row>
    <row r="327" spans="1:7" ht="15">
      <c r="A327" s="97" t="s">
        <v>1275</v>
      </c>
      <c r="B327" s="96">
        <v>5</v>
      </c>
      <c r="C327" s="110">
        <v>0.006807871398986916</v>
      </c>
      <c r="D327" s="96" t="s">
        <v>915</v>
      </c>
      <c r="E327" s="96" t="b">
        <v>0</v>
      </c>
      <c r="F327" s="96" t="b">
        <v>0</v>
      </c>
      <c r="G327" s="96" t="b">
        <v>0</v>
      </c>
    </row>
    <row r="328" spans="1:7" ht="15">
      <c r="A328" s="97" t="s">
        <v>1260</v>
      </c>
      <c r="B328" s="96">
        <v>5</v>
      </c>
      <c r="C328" s="110">
        <v>0.006807871398986916</v>
      </c>
      <c r="D328" s="96" t="s">
        <v>915</v>
      </c>
      <c r="E328" s="96" t="b">
        <v>0</v>
      </c>
      <c r="F328" s="96" t="b">
        <v>0</v>
      </c>
      <c r="G328" s="96" t="b">
        <v>0</v>
      </c>
    </row>
    <row r="329" spans="1:7" ht="15">
      <c r="A329" s="97" t="s">
        <v>1299</v>
      </c>
      <c r="B329" s="96">
        <v>5</v>
      </c>
      <c r="C329" s="110">
        <v>0.006807871398986916</v>
      </c>
      <c r="D329" s="96" t="s">
        <v>915</v>
      </c>
      <c r="E329" s="96" t="b">
        <v>0</v>
      </c>
      <c r="F329" s="96" t="b">
        <v>0</v>
      </c>
      <c r="G329" s="96" t="b">
        <v>0</v>
      </c>
    </row>
    <row r="330" spans="1:7" ht="15">
      <c r="A330" s="97" t="s">
        <v>1301</v>
      </c>
      <c r="B330" s="96">
        <v>5</v>
      </c>
      <c r="C330" s="110">
        <v>0.006807871398986916</v>
      </c>
      <c r="D330" s="96" t="s">
        <v>915</v>
      </c>
      <c r="E330" s="96" t="b">
        <v>0</v>
      </c>
      <c r="F330" s="96" t="b">
        <v>0</v>
      </c>
      <c r="G330" s="96" t="b">
        <v>0</v>
      </c>
    </row>
    <row r="331" spans="1:7" ht="15">
      <c r="A331" s="97" t="s">
        <v>1261</v>
      </c>
      <c r="B331" s="96">
        <v>4</v>
      </c>
      <c r="C331" s="110">
        <v>0.005978769718134898</v>
      </c>
      <c r="D331" s="96" t="s">
        <v>915</v>
      </c>
      <c r="E331" s="96" t="b">
        <v>0</v>
      </c>
      <c r="F331" s="96" t="b">
        <v>0</v>
      </c>
      <c r="G331" s="96" t="b">
        <v>0</v>
      </c>
    </row>
    <row r="332" spans="1:7" ht="15">
      <c r="A332" s="97" t="s">
        <v>1282</v>
      </c>
      <c r="B332" s="96">
        <v>4</v>
      </c>
      <c r="C332" s="110">
        <v>0.005978769718134898</v>
      </c>
      <c r="D332" s="96" t="s">
        <v>915</v>
      </c>
      <c r="E332" s="96" t="b">
        <v>0</v>
      </c>
      <c r="F332" s="96" t="b">
        <v>0</v>
      </c>
      <c r="G332" s="96" t="b">
        <v>0</v>
      </c>
    </row>
    <row r="333" spans="1:7" ht="15">
      <c r="A333" s="97" t="s">
        <v>1262</v>
      </c>
      <c r="B333" s="96">
        <v>4</v>
      </c>
      <c r="C333" s="110">
        <v>0.005978769718134898</v>
      </c>
      <c r="D333" s="96" t="s">
        <v>915</v>
      </c>
      <c r="E333" s="96" t="b">
        <v>0</v>
      </c>
      <c r="F333" s="96" t="b">
        <v>0</v>
      </c>
      <c r="G333" s="96" t="b">
        <v>0</v>
      </c>
    </row>
    <row r="334" spans="1:7" ht="15">
      <c r="A334" s="97" t="s">
        <v>308</v>
      </c>
      <c r="B334" s="96">
        <v>4</v>
      </c>
      <c r="C334" s="110">
        <v>0.005978769718134898</v>
      </c>
      <c r="D334" s="96" t="s">
        <v>915</v>
      </c>
      <c r="E334" s="96" t="b">
        <v>0</v>
      </c>
      <c r="F334" s="96" t="b">
        <v>0</v>
      </c>
      <c r="G334" s="96" t="b">
        <v>0</v>
      </c>
    </row>
    <row r="335" spans="1:7" ht="15">
      <c r="A335" s="97" t="s">
        <v>305</v>
      </c>
      <c r="B335" s="96">
        <v>4</v>
      </c>
      <c r="C335" s="110">
        <v>0.005978769718134898</v>
      </c>
      <c r="D335" s="96" t="s">
        <v>915</v>
      </c>
      <c r="E335" s="96" t="b">
        <v>0</v>
      </c>
      <c r="F335" s="96" t="b">
        <v>0</v>
      </c>
      <c r="G335" s="96" t="b">
        <v>0</v>
      </c>
    </row>
    <row r="336" spans="1:7" ht="15">
      <c r="A336" s="97" t="s">
        <v>1258</v>
      </c>
      <c r="B336" s="96">
        <v>4</v>
      </c>
      <c r="C336" s="110">
        <v>0.005978769718134898</v>
      </c>
      <c r="D336" s="96" t="s">
        <v>915</v>
      </c>
      <c r="E336" s="96" t="b">
        <v>0</v>
      </c>
      <c r="F336" s="96" t="b">
        <v>0</v>
      </c>
      <c r="G336" s="96" t="b">
        <v>0</v>
      </c>
    </row>
    <row r="337" spans="1:7" ht="15">
      <c r="A337" s="97" t="s">
        <v>1283</v>
      </c>
      <c r="B337" s="96">
        <v>4</v>
      </c>
      <c r="C337" s="110">
        <v>0.005978769718134898</v>
      </c>
      <c r="D337" s="96" t="s">
        <v>915</v>
      </c>
      <c r="E337" s="96" t="b">
        <v>0</v>
      </c>
      <c r="F337" s="96" t="b">
        <v>0</v>
      </c>
      <c r="G337" s="96" t="b">
        <v>0</v>
      </c>
    </row>
    <row r="338" spans="1:7" ht="15">
      <c r="A338" s="97" t="s">
        <v>1287</v>
      </c>
      <c r="B338" s="96">
        <v>4</v>
      </c>
      <c r="C338" s="110">
        <v>0.005978769718134898</v>
      </c>
      <c r="D338" s="96" t="s">
        <v>915</v>
      </c>
      <c r="E338" s="96" t="b">
        <v>0</v>
      </c>
      <c r="F338" s="96" t="b">
        <v>0</v>
      </c>
      <c r="G338" s="96" t="b">
        <v>0</v>
      </c>
    </row>
    <row r="339" spans="1:7" ht="15">
      <c r="A339" s="97" t="s">
        <v>1284</v>
      </c>
      <c r="B339" s="96">
        <v>4</v>
      </c>
      <c r="C339" s="110">
        <v>0.005978769718134898</v>
      </c>
      <c r="D339" s="96" t="s">
        <v>915</v>
      </c>
      <c r="E339" s="96" t="b">
        <v>0</v>
      </c>
      <c r="F339" s="96" t="b">
        <v>0</v>
      </c>
      <c r="G339" s="96" t="b">
        <v>0</v>
      </c>
    </row>
    <row r="340" spans="1:7" ht="15">
      <c r="A340" s="97" t="s">
        <v>1288</v>
      </c>
      <c r="B340" s="96">
        <v>4</v>
      </c>
      <c r="C340" s="110">
        <v>0.005978769718134898</v>
      </c>
      <c r="D340" s="96" t="s">
        <v>915</v>
      </c>
      <c r="E340" s="96" t="b">
        <v>0</v>
      </c>
      <c r="F340" s="96" t="b">
        <v>0</v>
      </c>
      <c r="G340" s="96" t="b">
        <v>0</v>
      </c>
    </row>
    <row r="341" spans="1:7" ht="15">
      <c r="A341" s="97" t="s">
        <v>1289</v>
      </c>
      <c r="B341" s="96">
        <v>4</v>
      </c>
      <c r="C341" s="110">
        <v>0.005978769718134898</v>
      </c>
      <c r="D341" s="96" t="s">
        <v>915</v>
      </c>
      <c r="E341" s="96" t="b">
        <v>0</v>
      </c>
      <c r="F341" s="96" t="b">
        <v>0</v>
      </c>
      <c r="G341" s="96" t="b">
        <v>0</v>
      </c>
    </row>
    <row r="342" spans="1:7" ht="15">
      <c r="A342" s="97" t="s">
        <v>1285</v>
      </c>
      <c r="B342" s="96">
        <v>4</v>
      </c>
      <c r="C342" s="110">
        <v>0.005978769718134898</v>
      </c>
      <c r="D342" s="96" t="s">
        <v>915</v>
      </c>
      <c r="E342" s="96" t="b">
        <v>0</v>
      </c>
      <c r="F342" s="96" t="b">
        <v>0</v>
      </c>
      <c r="G342" s="96" t="b">
        <v>0</v>
      </c>
    </row>
    <row r="343" spans="1:7" ht="15">
      <c r="A343" s="97" t="s">
        <v>1270</v>
      </c>
      <c r="B343" s="96">
        <v>4</v>
      </c>
      <c r="C343" s="110">
        <v>0.005978769718134898</v>
      </c>
      <c r="D343" s="96" t="s">
        <v>915</v>
      </c>
      <c r="E343" s="96" t="b">
        <v>0</v>
      </c>
      <c r="F343" s="96" t="b">
        <v>0</v>
      </c>
      <c r="G343" s="96" t="b">
        <v>0</v>
      </c>
    </row>
    <row r="344" spans="1:7" ht="15">
      <c r="A344" s="97" t="s">
        <v>1263</v>
      </c>
      <c r="B344" s="96">
        <v>4</v>
      </c>
      <c r="C344" s="110">
        <v>0.005978769718134898</v>
      </c>
      <c r="D344" s="96" t="s">
        <v>915</v>
      </c>
      <c r="E344" s="96" t="b">
        <v>0</v>
      </c>
      <c r="F344" s="96" t="b">
        <v>0</v>
      </c>
      <c r="G344" s="96" t="b">
        <v>0</v>
      </c>
    </row>
    <row r="345" spans="1:7" ht="15">
      <c r="A345" s="97" t="s">
        <v>1264</v>
      </c>
      <c r="B345" s="96">
        <v>4</v>
      </c>
      <c r="C345" s="110">
        <v>0.005978769718134898</v>
      </c>
      <c r="D345" s="96" t="s">
        <v>915</v>
      </c>
      <c r="E345" s="96" t="b">
        <v>0</v>
      </c>
      <c r="F345" s="96" t="b">
        <v>0</v>
      </c>
      <c r="G345" s="96" t="b">
        <v>0</v>
      </c>
    </row>
    <row r="346" spans="1:7" ht="15">
      <c r="A346" s="97" t="s">
        <v>1334</v>
      </c>
      <c r="B346" s="96">
        <v>3</v>
      </c>
      <c r="C346" s="110">
        <v>0.004998934719679332</v>
      </c>
      <c r="D346" s="96" t="s">
        <v>915</v>
      </c>
      <c r="E346" s="96" t="b">
        <v>0</v>
      </c>
      <c r="F346" s="96" t="b">
        <v>0</v>
      </c>
      <c r="G346" s="96" t="b">
        <v>0</v>
      </c>
    </row>
    <row r="347" spans="1:7" ht="15">
      <c r="A347" s="97" t="s">
        <v>1353</v>
      </c>
      <c r="B347" s="96">
        <v>3</v>
      </c>
      <c r="C347" s="110">
        <v>0.004998934719679332</v>
      </c>
      <c r="D347" s="96" t="s">
        <v>915</v>
      </c>
      <c r="E347" s="96" t="b">
        <v>0</v>
      </c>
      <c r="F347" s="96" t="b">
        <v>0</v>
      </c>
      <c r="G347" s="96" t="b">
        <v>0</v>
      </c>
    </row>
    <row r="348" spans="1:7" ht="15">
      <c r="A348" s="97" t="s">
        <v>1335</v>
      </c>
      <c r="B348" s="96">
        <v>3</v>
      </c>
      <c r="C348" s="110">
        <v>0.004998934719679332</v>
      </c>
      <c r="D348" s="96" t="s">
        <v>915</v>
      </c>
      <c r="E348" s="96" t="b">
        <v>0</v>
      </c>
      <c r="F348" s="96" t="b">
        <v>0</v>
      </c>
      <c r="G348" s="96" t="b">
        <v>0</v>
      </c>
    </row>
    <row r="349" spans="1:7" ht="15">
      <c r="A349" s="97" t="s">
        <v>1267</v>
      </c>
      <c r="B349" s="96">
        <v>3</v>
      </c>
      <c r="C349" s="110">
        <v>0.004998934719679332</v>
      </c>
      <c r="D349" s="96" t="s">
        <v>915</v>
      </c>
      <c r="E349" s="96" t="b">
        <v>0</v>
      </c>
      <c r="F349" s="96" t="b">
        <v>0</v>
      </c>
      <c r="G349" s="96" t="b">
        <v>0</v>
      </c>
    </row>
    <row r="350" spans="1:7" ht="15">
      <c r="A350" s="97" t="s">
        <v>1303</v>
      </c>
      <c r="B350" s="96">
        <v>3</v>
      </c>
      <c r="C350" s="110">
        <v>0.004998934719679332</v>
      </c>
      <c r="D350" s="96" t="s">
        <v>915</v>
      </c>
      <c r="E350" s="96" t="b">
        <v>0</v>
      </c>
      <c r="F350" s="96" t="b">
        <v>0</v>
      </c>
      <c r="G350" s="96" t="b">
        <v>0</v>
      </c>
    </row>
    <row r="351" spans="1:7" ht="15">
      <c r="A351" s="97" t="s">
        <v>1305</v>
      </c>
      <c r="B351" s="96">
        <v>3</v>
      </c>
      <c r="C351" s="110">
        <v>0.004998934719679332</v>
      </c>
      <c r="D351" s="96" t="s">
        <v>915</v>
      </c>
      <c r="E351" s="96" t="b">
        <v>0</v>
      </c>
      <c r="F351" s="96" t="b">
        <v>0</v>
      </c>
      <c r="G351" s="96" t="b">
        <v>0</v>
      </c>
    </row>
    <row r="352" spans="1:7" ht="15">
      <c r="A352" s="97" t="s">
        <v>1274</v>
      </c>
      <c r="B352" s="96">
        <v>3</v>
      </c>
      <c r="C352" s="110">
        <v>0.004998934719679332</v>
      </c>
      <c r="D352" s="96" t="s">
        <v>915</v>
      </c>
      <c r="E352" s="96" t="b">
        <v>0</v>
      </c>
      <c r="F352" s="96" t="b">
        <v>0</v>
      </c>
      <c r="G352" s="96" t="b">
        <v>0</v>
      </c>
    </row>
    <row r="353" spans="1:7" ht="15">
      <c r="A353" s="97" t="s">
        <v>1265</v>
      </c>
      <c r="B353" s="96">
        <v>3</v>
      </c>
      <c r="C353" s="110">
        <v>0.004998934719679332</v>
      </c>
      <c r="D353" s="96" t="s">
        <v>915</v>
      </c>
      <c r="E353" s="96" t="b">
        <v>0</v>
      </c>
      <c r="F353" s="96" t="b">
        <v>0</v>
      </c>
      <c r="G353" s="96" t="b">
        <v>0</v>
      </c>
    </row>
    <row r="354" spans="1:7" ht="15">
      <c r="A354" s="97" t="s">
        <v>1268</v>
      </c>
      <c r="B354" s="96">
        <v>3</v>
      </c>
      <c r="C354" s="110">
        <v>0.004998934719679332</v>
      </c>
      <c r="D354" s="96" t="s">
        <v>915</v>
      </c>
      <c r="E354" s="96" t="b">
        <v>0</v>
      </c>
      <c r="F354" s="96" t="b">
        <v>0</v>
      </c>
      <c r="G354" s="96" t="b">
        <v>0</v>
      </c>
    </row>
    <row r="355" spans="1:7" ht="15">
      <c r="A355" s="97" t="s">
        <v>1306</v>
      </c>
      <c r="B355" s="96">
        <v>3</v>
      </c>
      <c r="C355" s="110">
        <v>0.004998934719679332</v>
      </c>
      <c r="D355" s="96" t="s">
        <v>915</v>
      </c>
      <c r="E355" s="96" t="b">
        <v>0</v>
      </c>
      <c r="F355" s="96" t="b">
        <v>0</v>
      </c>
      <c r="G355" s="96" t="b">
        <v>0</v>
      </c>
    </row>
    <row r="356" spans="1:7" ht="15">
      <c r="A356" s="97" t="s">
        <v>1336</v>
      </c>
      <c r="B356" s="96">
        <v>3</v>
      </c>
      <c r="C356" s="110">
        <v>0.004998934719679332</v>
      </c>
      <c r="D356" s="96" t="s">
        <v>915</v>
      </c>
      <c r="E356" s="96" t="b">
        <v>0</v>
      </c>
      <c r="F356" s="96" t="b">
        <v>0</v>
      </c>
      <c r="G356" s="96" t="b">
        <v>0</v>
      </c>
    </row>
    <row r="357" spans="1:7" ht="15">
      <c r="A357" s="97" t="s">
        <v>1269</v>
      </c>
      <c r="B357" s="96">
        <v>3</v>
      </c>
      <c r="C357" s="110">
        <v>0.004998934719679332</v>
      </c>
      <c r="D357" s="96" t="s">
        <v>915</v>
      </c>
      <c r="E357" s="96" t="b">
        <v>0</v>
      </c>
      <c r="F357" s="96" t="b">
        <v>0</v>
      </c>
      <c r="G357" s="96" t="b">
        <v>0</v>
      </c>
    </row>
    <row r="358" spans="1:7" ht="15">
      <c r="A358" s="97" t="s">
        <v>1310</v>
      </c>
      <c r="B358" s="96">
        <v>3</v>
      </c>
      <c r="C358" s="110">
        <v>0.004998934719679332</v>
      </c>
      <c r="D358" s="96" t="s">
        <v>915</v>
      </c>
      <c r="E358" s="96" t="b">
        <v>0</v>
      </c>
      <c r="F358" s="96" t="b">
        <v>0</v>
      </c>
      <c r="G358" s="96" t="b">
        <v>0</v>
      </c>
    </row>
    <row r="359" spans="1:7" ht="15">
      <c r="A359" s="97" t="s">
        <v>1311</v>
      </c>
      <c r="B359" s="96">
        <v>3</v>
      </c>
      <c r="C359" s="110">
        <v>0.004998934719679332</v>
      </c>
      <c r="D359" s="96" t="s">
        <v>915</v>
      </c>
      <c r="E359" s="96" t="b">
        <v>0</v>
      </c>
      <c r="F359" s="96" t="b">
        <v>0</v>
      </c>
      <c r="G359" s="96" t="b">
        <v>0</v>
      </c>
    </row>
    <row r="360" spans="1:7" ht="15">
      <c r="A360" s="97" t="s">
        <v>1313</v>
      </c>
      <c r="B360" s="96">
        <v>3</v>
      </c>
      <c r="C360" s="110">
        <v>0.004998934719679332</v>
      </c>
      <c r="D360" s="96" t="s">
        <v>915</v>
      </c>
      <c r="E360" s="96" t="b">
        <v>0</v>
      </c>
      <c r="F360" s="96" t="b">
        <v>0</v>
      </c>
      <c r="G360" s="96" t="b">
        <v>0</v>
      </c>
    </row>
    <row r="361" spans="1:7" ht="15">
      <c r="A361" s="97" t="s">
        <v>1314</v>
      </c>
      <c r="B361" s="96">
        <v>3</v>
      </c>
      <c r="C361" s="110">
        <v>0.004998934719679332</v>
      </c>
      <c r="D361" s="96" t="s">
        <v>915</v>
      </c>
      <c r="E361" s="96" t="b">
        <v>0</v>
      </c>
      <c r="F361" s="96" t="b">
        <v>0</v>
      </c>
      <c r="G361" s="96" t="b">
        <v>0</v>
      </c>
    </row>
    <row r="362" spans="1:7" ht="15">
      <c r="A362" s="97" t="s">
        <v>1276</v>
      </c>
      <c r="B362" s="96">
        <v>3</v>
      </c>
      <c r="C362" s="110">
        <v>0.004998934719679332</v>
      </c>
      <c r="D362" s="96" t="s">
        <v>915</v>
      </c>
      <c r="E362" s="96" t="b">
        <v>0</v>
      </c>
      <c r="F362" s="96" t="b">
        <v>0</v>
      </c>
      <c r="G362" s="96" t="b">
        <v>0</v>
      </c>
    </row>
    <row r="363" spans="1:7" ht="15">
      <c r="A363" s="97" t="s">
        <v>1277</v>
      </c>
      <c r="B363" s="96">
        <v>3</v>
      </c>
      <c r="C363" s="110">
        <v>0.004998934719679332</v>
      </c>
      <c r="D363" s="96" t="s">
        <v>915</v>
      </c>
      <c r="E363" s="96" t="b">
        <v>0</v>
      </c>
      <c r="F363" s="96" t="b">
        <v>0</v>
      </c>
      <c r="G363" s="96" t="b">
        <v>0</v>
      </c>
    </row>
    <row r="364" spans="1:7" ht="15">
      <c r="A364" s="97" t="s">
        <v>1321</v>
      </c>
      <c r="B364" s="96">
        <v>3</v>
      </c>
      <c r="C364" s="110">
        <v>0.004998934719679332</v>
      </c>
      <c r="D364" s="96" t="s">
        <v>915</v>
      </c>
      <c r="E364" s="96" t="b">
        <v>0</v>
      </c>
      <c r="F364" s="96" t="b">
        <v>0</v>
      </c>
      <c r="G364" s="96" t="b">
        <v>0</v>
      </c>
    </row>
    <row r="365" spans="1:7" ht="15">
      <c r="A365" s="97" t="s">
        <v>1323</v>
      </c>
      <c r="B365" s="96">
        <v>3</v>
      </c>
      <c r="C365" s="110">
        <v>0.004998934719679332</v>
      </c>
      <c r="D365" s="96" t="s">
        <v>915</v>
      </c>
      <c r="E365" s="96" t="b">
        <v>0</v>
      </c>
      <c r="F365" s="96" t="b">
        <v>0</v>
      </c>
      <c r="G365" s="96" t="b">
        <v>0</v>
      </c>
    </row>
    <row r="366" spans="1:7" ht="15">
      <c r="A366" s="97" t="s">
        <v>1344</v>
      </c>
      <c r="B366" s="96">
        <v>3</v>
      </c>
      <c r="C366" s="110">
        <v>0.004998934719679332</v>
      </c>
      <c r="D366" s="96" t="s">
        <v>915</v>
      </c>
      <c r="E366" s="96" t="b">
        <v>0</v>
      </c>
      <c r="F366" s="96" t="b">
        <v>0</v>
      </c>
      <c r="G366" s="96" t="b">
        <v>0</v>
      </c>
    </row>
    <row r="367" spans="1:7" ht="15">
      <c r="A367" s="97" t="s">
        <v>1297</v>
      </c>
      <c r="B367" s="96">
        <v>3</v>
      </c>
      <c r="C367" s="110">
        <v>0.004998934719679332</v>
      </c>
      <c r="D367" s="96" t="s">
        <v>915</v>
      </c>
      <c r="E367" s="96" t="b">
        <v>0</v>
      </c>
      <c r="F367" s="96" t="b">
        <v>0</v>
      </c>
      <c r="G367" s="96" t="b">
        <v>0</v>
      </c>
    </row>
    <row r="368" spans="1:7" ht="15">
      <c r="A368" s="97" t="s">
        <v>1345</v>
      </c>
      <c r="B368" s="96">
        <v>3</v>
      </c>
      <c r="C368" s="110">
        <v>0.004998934719679332</v>
      </c>
      <c r="D368" s="96" t="s">
        <v>915</v>
      </c>
      <c r="E368" s="96" t="b">
        <v>0</v>
      </c>
      <c r="F368" s="96" t="b">
        <v>0</v>
      </c>
      <c r="G368" s="96" t="b">
        <v>0</v>
      </c>
    </row>
    <row r="369" spans="1:7" ht="15">
      <c r="A369" s="97" t="s">
        <v>1378</v>
      </c>
      <c r="B369" s="96">
        <v>3</v>
      </c>
      <c r="C369" s="110">
        <v>0.004998934719679332</v>
      </c>
      <c r="D369" s="96" t="s">
        <v>915</v>
      </c>
      <c r="E369" s="96" t="b">
        <v>0</v>
      </c>
      <c r="F369" s="96" t="b">
        <v>0</v>
      </c>
      <c r="G369" s="96" t="b">
        <v>0</v>
      </c>
    </row>
    <row r="370" spans="1:7" ht="15">
      <c r="A370" s="97" t="s">
        <v>1324</v>
      </c>
      <c r="B370" s="96">
        <v>3</v>
      </c>
      <c r="C370" s="110">
        <v>0.004998934719679332</v>
      </c>
      <c r="D370" s="96" t="s">
        <v>915</v>
      </c>
      <c r="E370" s="96" t="b">
        <v>0</v>
      </c>
      <c r="F370" s="96" t="b">
        <v>0</v>
      </c>
      <c r="G370" s="96" t="b">
        <v>0</v>
      </c>
    </row>
    <row r="371" spans="1:7" ht="15">
      <c r="A371" s="97" t="s">
        <v>1325</v>
      </c>
      <c r="B371" s="96">
        <v>3</v>
      </c>
      <c r="C371" s="110">
        <v>0.004998934719679332</v>
      </c>
      <c r="D371" s="96" t="s">
        <v>915</v>
      </c>
      <c r="E371" s="96" t="b">
        <v>0</v>
      </c>
      <c r="F371" s="96" t="b">
        <v>0</v>
      </c>
      <c r="G371" s="96" t="b">
        <v>0</v>
      </c>
    </row>
    <row r="372" spans="1:7" ht="15">
      <c r="A372" s="97" t="s">
        <v>310</v>
      </c>
      <c r="B372" s="96">
        <v>3</v>
      </c>
      <c r="C372" s="110">
        <v>0.004998934719679332</v>
      </c>
      <c r="D372" s="96" t="s">
        <v>915</v>
      </c>
      <c r="E372" s="96" t="b">
        <v>0</v>
      </c>
      <c r="F372" s="96" t="b">
        <v>0</v>
      </c>
      <c r="G372" s="96" t="b">
        <v>0</v>
      </c>
    </row>
    <row r="373" spans="1:7" ht="15">
      <c r="A373" s="97" t="s">
        <v>1327</v>
      </c>
      <c r="B373" s="96">
        <v>3</v>
      </c>
      <c r="C373" s="110">
        <v>0.004998934719679332</v>
      </c>
      <c r="D373" s="96" t="s">
        <v>915</v>
      </c>
      <c r="E373" s="96" t="b">
        <v>0</v>
      </c>
      <c r="F373" s="96" t="b">
        <v>0</v>
      </c>
      <c r="G373" s="96" t="b">
        <v>0</v>
      </c>
    </row>
    <row r="374" spans="1:7" ht="15">
      <c r="A374" s="97" t="s">
        <v>1279</v>
      </c>
      <c r="B374" s="96">
        <v>3</v>
      </c>
      <c r="C374" s="110">
        <v>0.004998934719679332</v>
      </c>
      <c r="D374" s="96" t="s">
        <v>915</v>
      </c>
      <c r="E374" s="96" t="b">
        <v>0</v>
      </c>
      <c r="F374" s="96" t="b">
        <v>0</v>
      </c>
      <c r="G374" s="96" t="b">
        <v>0</v>
      </c>
    </row>
    <row r="375" spans="1:7" ht="15">
      <c r="A375" s="97" t="s">
        <v>1347</v>
      </c>
      <c r="B375" s="96">
        <v>3</v>
      </c>
      <c r="C375" s="110">
        <v>0.004998934719679332</v>
      </c>
      <c r="D375" s="96" t="s">
        <v>915</v>
      </c>
      <c r="E375" s="96" t="b">
        <v>0</v>
      </c>
      <c r="F375" s="96" t="b">
        <v>0</v>
      </c>
      <c r="G375" s="96" t="b">
        <v>0</v>
      </c>
    </row>
    <row r="376" spans="1:7" ht="15">
      <c r="A376" s="97" t="s">
        <v>1271</v>
      </c>
      <c r="B376" s="96">
        <v>3</v>
      </c>
      <c r="C376" s="110">
        <v>0.004998934719679332</v>
      </c>
      <c r="D376" s="96" t="s">
        <v>915</v>
      </c>
      <c r="E376" s="96" t="b">
        <v>0</v>
      </c>
      <c r="F376" s="96" t="b">
        <v>0</v>
      </c>
      <c r="G376" s="96" t="b">
        <v>0</v>
      </c>
    </row>
    <row r="377" spans="1:7" ht="15">
      <c r="A377" s="97" t="s">
        <v>1328</v>
      </c>
      <c r="B377" s="96">
        <v>3</v>
      </c>
      <c r="C377" s="110">
        <v>0.004998934719679332</v>
      </c>
      <c r="D377" s="96" t="s">
        <v>915</v>
      </c>
      <c r="E377" s="96" t="b">
        <v>0</v>
      </c>
      <c r="F377" s="96" t="b">
        <v>0</v>
      </c>
      <c r="G377" s="96" t="b">
        <v>0</v>
      </c>
    </row>
    <row r="378" spans="1:7" ht="15">
      <c r="A378" s="97" t="s">
        <v>1348</v>
      </c>
      <c r="B378" s="96">
        <v>3</v>
      </c>
      <c r="C378" s="110">
        <v>0.004998934719679332</v>
      </c>
      <c r="D378" s="96" t="s">
        <v>915</v>
      </c>
      <c r="E378" s="96" t="b">
        <v>0</v>
      </c>
      <c r="F378" s="96" t="b">
        <v>0</v>
      </c>
      <c r="G378" s="96" t="b">
        <v>0</v>
      </c>
    </row>
    <row r="379" spans="1:7" ht="15">
      <c r="A379" s="97" t="s">
        <v>1349</v>
      </c>
      <c r="B379" s="96">
        <v>3</v>
      </c>
      <c r="C379" s="110">
        <v>0.004998934719679332</v>
      </c>
      <c r="D379" s="96" t="s">
        <v>915</v>
      </c>
      <c r="E379" s="96" t="b">
        <v>0</v>
      </c>
      <c r="F379" s="96" t="b">
        <v>0</v>
      </c>
      <c r="G379" s="96" t="b">
        <v>0</v>
      </c>
    </row>
    <row r="380" spans="1:7" ht="15">
      <c r="A380" s="97" t="s">
        <v>1332</v>
      </c>
      <c r="B380" s="96">
        <v>3</v>
      </c>
      <c r="C380" s="110">
        <v>0.004998934719679332</v>
      </c>
      <c r="D380" s="96" t="s">
        <v>915</v>
      </c>
      <c r="E380" s="96" t="b">
        <v>0</v>
      </c>
      <c r="F380" s="96" t="b">
        <v>0</v>
      </c>
      <c r="G380" s="96" t="b">
        <v>0</v>
      </c>
    </row>
    <row r="381" spans="1:7" ht="15">
      <c r="A381" s="97" t="s">
        <v>1272</v>
      </c>
      <c r="B381" s="96">
        <v>3</v>
      </c>
      <c r="C381" s="110">
        <v>0.004998934719679332</v>
      </c>
      <c r="D381" s="96" t="s">
        <v>915</v>
      </c>
      <c r="E381" s="96" t="b">
        <v>0</v>
      </c>
      <c r="F381" s="96" t="b">
        <v>0</v>
      </c>
      <c r="G381" s="96" t="b">
        <v>0</v>
      </c>
    </row>
    <row r="382" spans="1:7" ht="15">
      <c r="A382" s="97" t="s">
        <v>1280</v>
      </c>
      <c r="B382" s="96">
        <v>2</v>
      </c>
      <c r="C382" s="110">
        <v>0.0038163903416608036</v>
      </c>
      <c r="D382" s="96" t="s">
        <v>915</v>
      </c>
      <c r="E382" s="96" t="b">
        <v>0</v>
      </c>
      <c r="F382" s="96" t="b">
        <v>0</v>
      </c>
      <c r="G382" s="96" t="b">
        <v>0</v>
      </c>
    </row>
    <row r="383" spans="1:7" ht="15">
      <c r="A383" s="97" t="s">
        <v>1355</v>
      </c>
      <c r="B383" s="96">
        <v>2</v>
      </c>
      <c r="C383" s="110">
        <v>0.0038163903416608036</v>
      </c>
      <c r="D383" s="96" t="s">
        <v>915</v>
      </c>
      <c r="E383" s="96" t="b">
        <v>0</v>
      </c>
      <c r="F383" s="96" t="b">
        <v>0</v>
      </c>
      <c r="G383" s="96" t="b">
        <v>0</v>
      </c>
    </row>
    <row r="384" spans="1:7" ht="15">
      <c r="A384" s="97" t="s">
        <v>301</v>
      </c>
      <c r="B384" s="96">
        <v>2</v>
      </c>
      <c r="C384" s="110">
        <v>0.0038163903416608036</v>
      </c>
      <c r="D384" s="96" t="s">
        <v>915</v>
      </c>
      <c r="E384" s="96" t="b">
        <v>0</v>
      </c>
      <c r="F384" s="96" t="b">
        <v>0</v>
      </c>
      <c r="G384" s="96" t="b">
        <v>0</v>
      </c>
    </row>
    <row r="385" spans="1:7" ht="15">
      <c r="A385" s="97" t="s">
        <v>1358</v>
      </c>
      <c r="B385" s="96">
        <v>2</v>
      </c>
      <c r="C385" s="110">
        <v>0.0038163903416608036</v>
      </c>
      <c r="D385" s="96" t="s">
        <v>915</v>
      </c>
      <c r="E385" s="96" t="b">
        <v>0</v>
      </c>
      <c r="F385" s="96" t="b">
        <v>0</v>
      </c>
      <c r="G385" s="96" t="b">
        <v>0</v>
      </c>
    </row>
    <row r="386" spans="1:7" ht="15">
      <c r="A386" s="97" t="s">
        <v>1304</v>
      </c>
      <c r="B386" s="96">
        <v>2</v>
      </c>
      <c r="C386" s="110">
        <v>0.0038163903416608036</v>
      </c>
      <c r="D386" s="96" t="s">
        <v>915</v>
      </c>
      <c r="E386" s="96" t="b">
        <v>0</v>
      </c>
      <c r="F386" s="96" t="b">
        <v>0</v>
      </c>
      <c r="G386" s="96" t="b">
        <v>0</v>
      </c>
    </row>
    <row r="387" spans="1:7" ht="15">
      <c r="A387" s="97" t="s">
        <v>1391</v>
      </c>
      <c r="B387" s="96">
        <v>2</v>
      </c>
      <c r="C387" s="110">
        <v>0.0038163903416608036</v>
      </c>
      <c r="D387" s="96" t="s">
        <v>915</v>
      </c>
      <c r="E387" s="96" t="b">
        <v>0</v>
      </c>
      <c r="F387" s="96" t="b">
        <v>0</v>
      </c>
      <c r="G387" s="96" t="b">
        <v>0</v>
      </c>
    </row>
    <row r="388" spans="1:7" ht="15">
      <c r="A388" s="97" t="s">
        <v>1015</v>
      </c>
      <c r="B388" s="96">
        <v>2</v>
      </c>
      <c r="C388" s="110">
        <v>0.0038163903416608036</v>
      </c>
      <c r="D388" s="96" t="s">
        <v>915</v>
      </c>
      <c r="E388" s="96" t="b">
        <v>0</v>
      </c>
      <c r="F388" s="96" t="b">
        <v>0</v>
      </c>
      <c r="G388" s="96" t="b">
        <v>0</v>
      </c>
    </row>
    <row r="389" spans="1:7" ht="15">
      <c r="A389" s="97" t="s">
        <v>1307</v>
      </c>
      <c r="B389" s="96">
        <v>2</v>
      </c>
      <c r="C389" s="110">
        <v>0.0038163903416608036</v>
      </c>
      <c r="D389" s="96" t="s">
        <v>915</v>
      </c>
      <c r="E389" s="96" t="b">
        <v>0</v>
      </c>
      <c r="F389" s="96" t="b">
        <v>0</v>
      </c>
      <c r="G389" s="96" t="b">
        <v>0</v>
      </c>
    </row>
    <row r="390" spans="1:7" ht="15">
      <c r="A390" s="97" t="s">
        <v>1362</v>
      </c>
      <c r="B390" s="96">
        <v>2</v>
      </c>
      <c r="C390" s="110">
        <v>0.0038163903416608036</v>
      </c>
      <c r="D390" s="96" t="s">
        <v>915</v>
      </c>
      <c r="E390" s="96" t="b">
        <v>0</v>
      </c>
      <c r="F390" s="96" t="b">
        <v>0</v>
      </c>
      <c r="G390" s="96" t="b">
        <v>0</v>
      </c>
    </row>
    <row r="391" spans="1:7" ht="15">
      <c r="A391" s="97" t="s">
        <v>1309</v>
      </c>
      <c r="B391" s="96">
        <v>2</v>
      </c>
      <c r="C391" s="110">
        <v>0.0038163903416608036</v>
      </c>
      <c r="D391" s="96" t="s">
        <v>915</v>
      </c>
      <c r="E391" s="96" t="b">
        <v>0</v>
      </c>
      <c r="F391" s="96" t="b">
        <v>0</v>
      </c>
      <c r="G391" s="96" t="b">
        <v>0</v>
      </c>
    </row>
    <row r="392" spans="1:7" ht="15">
      <c r="A392" s="97" t="s">
        <v>1397</v>
      </c>
      <c r="B392" s="96">
        <v>2</v>
      </c>
      <c r="C392" s="110">
        <v>0.0038163903416608036</v>
      </c>
      <c r="D392" s="96" t="s">
        <v>915</v>
      </c>
      <c r="E392" s="96" t="b">
        <v>0</v>
      </c>
      <c r="F392" s="96" t="b">
        <v>0</v>
      </c>
      <c r="G392" s="96" t="b">
        <v>0</v>
      </c>
    </row>
    <row r="393" spans="1:7" ht="15">
      <c r="A393" s="97" t="s">
        <v>1367</v>
      </c>
      <c r="B393" s="96">
        <v>2</v>
      </c>
      <c r="C393" s="110">
        <v>0.0038163903416608036</v>
      </c>
      <c r="D393" s="96" t="s">
        <v>915</v>
      </c>
      <c r="E393" s="96" t="b">
        <v>0</v>
      </c>
      <c r="F393" s="96" t="b">
        <v>0</v>
      </c>
      <c r="G393" s="96" t="b">
        <v>0</v>
      </c>
    </row>
    <row r="394" spans="1:7" ht="15">
      <c r="A394" s="97" t="s">
        <v>1340</v>
      </c>
      <c r="B394" s="96">
        <v>2</v>
      </c>
      <c r="C394" s="110">
        <v>0.0038163903416608036</v>
      </c>
      <c r="D394" s="96" t="s">
        <v>915</v>
      </c>
      <c r="E394" s="96" t="b">
        <v>0</v>
      </c>
      <c r="F394" s="96" t="b">
        <v>0</v>
      </c>
      <c r="G394" s="96" t="b">
        <v>0</v>
      </c>
    </row>
    <row r="395" spans="1:7" ht="15">
      <c r="A395" s="97" t="s">
        <v>1020</v>
      </c>
      <c r="B395" s="96">
        <v>2</v>
      </c>
      <c r="C395" s="110">
        <v>0.004643395824254159</v>
      </c>
      <c r="D395" s="96" t="s">
        <v>915</v>
      </c>
      <c r="E395" s="96" t="b">
        <v>0</v>
      </c>
      <c r="F395" s="96" t="b">
        <v>0</v>
      </c>
      <c r="G395" s="96" t="b">
        <v>0</v>
      </c>
    </row>
    <row r="396" spans="1:7" ht="15">
      <c r="A396" s="97" t="s">
        <v>1341</v>
      </c>
      <c r="B396" s="96">
        <v>2</v>
      </c>
      <c r="C396" s="110">
        <v>0.0038163903416608036</v>
      </c>
      <c r="D396" s="96" t="s">
        <v>915</v>
      </c>
      <c r="E396" s="96" t="b">
        <v>0</v>
      </c>
      <c r="F396" s="96" t="b">
        <v>0</v>
      </c>
      <c r="G396" s="96" t="b">
        <v>0</v>
      </c>
    </row>
    <row r="397" spans="1:7" ht="15">
      <c r="A397" s="97" t="s">
        <v>1342</v>
      </c>
      <c r="B397" s="96">
        <v>2</v>
      </c>
      <c r="C397" s="110">
        <v>0.0038163903416608036</v>
      </c>
      <c r="D397" s="96" t="s">
        <v>915</v>
      </c>
      <c r="E397" s="96" t="b">
        <v>0</v>
      </c>
      <c r="F397" s="96" t="b">
        <v>0</v>
      </c>
      <c r="G397" s="96" t="b">
        <v>0</v>
      </c>
    </row>
    <row r="398" spans="1:7" ht="15">
      <c r="A398" s="97" t="s">
        <v>1406</v>
      </c>
      <c r="B398" s="96">
        <v>2</v>
      </c>
      <c r="C398" s="110">
        <v>0.0038163903416608036</v>
      </c>
      <c r="D398" s="96" t="s">
        <v>915</v>
      </c>
      <c r="E398" s="96" t="b">
        <v>0</v>
      </c>
      <c r="F398" s="96" t="b">
        <v>0</v>
      </c>
      <c r="G398" s="96" t="b">
        <v>0</v>
      </c>
    </row>
    <row r="399" spans="1:7" ht="15">
      <c r="A399" s="97" t="s">
        <v>1343</v>
      </c>
      <c r="B399" s="96">
        <v>2</v>
      </c>
      <c r="C399" s="110">
        <v>0.0038163903416608036</v>
      </c>
      <c r="D399" s="96" t="s">
        <v>915</v>
      </c>
      <c r="E399" s="96" t="b">
        <v>0</v>
      </c>
      <c r="F399" s="96" t="b">
        <v>0</v>
      </c>
      <c r="G399" s="96" t="b">
        <v>0</v>
      </c>
    </row>
    <row r="400" spans="1:7" ht="15">
      <c r="A400" s="97" t="s">
        <v>1370</v>
      </c>
      <c r="B400" s="96">
        <v>2</v>
      </c>
      <c r="C400" s="110">
        <v>0.0038163903416608036</v>
      </c>
      <c r="D400" s="96" t="s">
        <v>915</v>
      </c>
      <c r="E400" s="96" t="b">
        <v>0</v>
      </c>
      <c r="F400" s="96" t="b">
        <v>0</v>
      </c>
      <c r="G400" s="96" t="b">
        <v>0</v>
      </c>
    </row>
    <row r="401" spans="1:7" ht="15">
      <c r="A401" s="97" t="s">
        <v>1371</v>
      </c>
      <c r="B401" s="96">
        <v>2</v>
      </c>
      <c r="C401" s="110">
        <v>0.0038163903416608036</v>
      </c>
      <c r="D401" s="96" t="s">
        <v>915</v>
      </c>
      <c r="E401" s="96" t="b">
        <v>0</v>
      </c>
      <c r="F401" s="96" t="b">
        <v>0</v>
      </c>
      <c r="G401" s="96" t="b">
        <v>0</v>
      </c>
    </row>
    <row r="402" spans="1:7" ht="15">
      <c r="A402" s="97" t="s">
        <v>1410</v>
      </c>
      <c r="B402" s="96">
        <v>2</v>
      </c>
      <c r="C402" s="110">
        <v>0.0038163903416608036</v>
      </c>
      <c r="D402" s="96" t="s">
        <v>915</v>
      </c>
      <c r="E402" s="96" t="b">
        <v>0</v>
      </c>
      <c r="F402" s="96" t="b">
        <v>0</v>
      </c>
      <c r="G402" s="96" t="b">
        <v>0</v>
      </c>
    </row>
    <row r="403" spans="1:7" ht="15">
      <c r="A403" s="97" t="s">
        <v>1372</v>
      </c>
      <c r="B403" s="96">
        <v>2</v>
      </c>
      <c r="C403" s="110">
        <v>0.0038163903416608036</v>
      </c>
      <c r="D403" s="96" t="s">
        <v>915</v>
      </c>
      <c r="E403" s="96" t="b">
        <v>0</v>
      </c>
      <c r="F403" s="96" t="b">
        <v>0</v>
      </c>
      <c r="G403" s="96" t="b">
        <v>0</v>
      </c>
    </row>
    <row r="404" spans="1:7" ht="15">
      <c r="A404" s="97" t="s">
        <v>1374</v>
      </c>
      <c r="B404" s="96">
        <v>2</v>
      </c>
      <c r="C404" s="110">
        <v>0.0038163903416608036</v>
      </c>
      <c r="D404" s="96" t="s">
        <v>915</v>
      </c>
      <c r="E404" s="96" t="b">
        <v>0</v>
      </c>
      <c r="F404" s="96" t="b">
        <v>0</v>
      </c>
      <c r="G404" s="96" t="b">
        <v>0</v>
      </c>
    </row>
    <row r="405" spans="1:7" ht="15">
      <c r="A405" s="97" t="s">
        <v>1318</v>
      </c>
      <c r="B405" s="96">
        <v>2</v>
      </c>
      <c r="C405" s="110">
        <v>0.0038163903416608036</v>
      </c>
      <c r="D405" s="96" t="s">
        <v>915</v>
      </c>
      <c r="E405" s="96" t="b">
        <v>0</v>
      </c>
      <c r="F405" s="96" t="b">
        <v>0</v>
      </c>
      <c r="G405" s="96" t="b">
        <v>0</v>
      </c>
    </row>
    <row r="406" spans="1:7" ht="15">
      <c r="A406" s="97" t="s">
        <v>1278</v>
      </c>
      <c r="B406" s="96">
        <v>2</v>
      </c>
      <c r="C406" s="110">
        <v>0.0038163903416608036</v>
      </c>
      <c r="D406" s="96" t="s">
        <v>915</v>
      </c>
      <c r="E406" s="96" t="b">
        <v>0</v>
      </c>
      <c r="F406" s="96" t="b">
        <v>0</v>
      </c>
      <c r="G406" s="96" t="b">
        <v>0</v>
      </c>
    </row>
    <row r="407" spans="1:7" ht="15">
      <c r="A407" s="97" t="s">
        <v>1320</v>
      </c>
      <c r="B407" s="96">
        <v>2</v>
      </c>
      <c r="C407" s="110">
        <v>0.0038163903416608036</v>
      </c>
      <c r="D407" s="96" t="s">
        <v>915</v>
      </c>
      <c r="E407" s="96" t="b">
        <v>0</v>
      </c>
      <c r="F407" s="96" t="b">
        <v>0</v>
      </c>
      <c r="G407" s="96" t="b">
        <v>0</v>
      </c>
    </row>
    <row r="408" spans="1:7" ht="15">
      <c r="A408" s="97" t="s">
        <v>1375</v>
      </c>
      <c r="B408" s="96">
        <v>2</v>
      </c>
      <c r="C408" s="110">
        <v>0.0038163903416608036</v>
      </c>
      <c r="D408" s="96" t="s">
        <v>915</v>
      </c>
      <c r="E408" s="96" t="b">
        <v>0</v>
      </c>
      <c r="F408" s="96" t="b">
        <v>0</v>
      </c>
      <c r="G408" s="96" t="b">
        <v>0</v>
      </c>
    </row>
    <row r="409" spans="1:7" ht="15">
      <c r="A409" s="97" t="s">
        <v>1292</v>
      </c>
      <c r="B409" s="96">
        <v>2</v>
      </c>
      <c r="C409" s="110">
        <v>0.0038163903416608036</v>
      </c>
      <c r="D409" s="96" t="s">
        <v>915</v>
      </c>
      <c r="E409" s="96" t="b">
        <v>0</v>
      </c>
      <c r="F409" s="96" t="b">
        <v>0</v>
      </c>
      <c r="G409" s="96" t="b">
        <v>0</v>
      </c>
    </row>
    <row r="410" spans="1:7" ht="15">
      <c r="A410" s="97" t="s">
        <v>1380</v>
      </c>
      <c r="B410" s="96">
        <v>2</v>
      </c>
      <c r="C410" s="110">
        <v>0.0038163903416608036</v>
      </c>
      <c r="D410" s="96" t="s">
        <v>915</v>
      </c>
      <c r="E410" s="96" t="b">
        <v>0</v>
      </c>
      <c r="F410" s="96" t="b">
        <v>0</v>
      </c>
      <c r="G410" s="96" t="b">
        <v>0</v>
      </c>
    </row>
    <row r="411" spans="1:7" ht="15">
      <c r="A411" s="97" t="s">
        <v>1293</v>
      </c>
      <c r="B411" s="96">
        <v>2</v>
      </c>
      <c r="C411" s="110">
        <v>0.0038163903416608036</v>
      </c>
      <c r="D411" s="96" t="s">
        <v>915</v>
      </c>
      <c r="E411" s="96" t="b">
        <v>0</v>
      </c>
      <c r="F411" s="96" t="b">
        <v>0</v>
      </c>
      <c r="G411" s="96" t="b">
        <v>0</v>
      </c>
    </row>
    <row r="412" spans="1:7" ht="15">
      <c r="A412" s="97" t="s">
        <v>304</v>
      </c>
      <c r="B412" s="96">
        <v>2</v>
      </c>
      <c r="C412" s="110">
        <v>0.0038163903416608036</v>
      </c>
      <c r="D412" s="96" t="s">
        <v>915</v>
      </c>
      <c r="E412" s="96" t="b">
        <v>0</v>
      </c>
      <c r="F412" s="96" t="b">
        <v>0</v>
      </c>
      <c r="G412" s="96" t="b">
        <v>0</v>
      </c>
    </row>
    <row r="413" spans="1:7" ht="15">
      <c r="A413" s="97" t="s">
        <v>1286</v>
      </c>
      <c r="B413" s="96">
        <v>2</v>
      </c>
      <c r="C413" s="110">
        <v>0.0038163903416608036</v>
      </c>
      <c r="D413" s="96" t="s">
        <v>915</v>
      </c>
      <c r="E413" s="96" t="b">
        <v>0</v>
      </c>
      <c r="F413" s="96" t="b">
        <v>0</v>
      </c>
      <c r="G413" s="96" t="b">
        <v>0</v>
      </c>
    </row>
    <row r="414" spans="1:7" ht="15">
      <c r="A414" s="97" t="s">
        <v>1290</v>
      </c>
      <c r="B414" s="96">
        <v>2</v>
      </c>
      <c r="C414" s="110">
        <v>0.0038163903416608036</v>
      </c>
      <c r="D414" s="96" t="s">
        <v>915</v>
      </c>
      <c r="E414" s="96" t="b">
        <v>0</v>
      </c>
      <c r="F414" s="96" t="b">
        <v>0</v>
      </c>
      <c r="G414" s="96" t="b">
        <v>0</v>
      </c>
    </row>
    <row r="415" spans="1:7" ht="15">
      <c r="A415" s="97" t="s">
        <v>1383</v>
      </c>
      <c r="B415" s="96">
        <v>2</v>
      </c>
      <c r="C415" s="110">
        <v>0.0038163903416608036</v>
      </c>
      <c r="D415" s="96" t="s">
        <v>915</v>
      </c>
      <c r="E415" s="96" t="b">
        <v>0</v>
      </c>
      <c r="F415" s="96" t="b">
        <v>0</v>
      </c>
      <c r="G415" s="96" t="b">
        <v>0</v>
      </c>
    </row>
    <row r="416" spans="1:7" ht="15">
      <c r="A416" s="97" t="s">
        <v>1384</v>
      </c>
      <c r="B416" s="96">
        <v>2</v>
      </c>
      <c r="C416" s="110">
        <v>0.0038163903416608036</v>
      </c>
      <c r="D416" s="96" t="s">
        <v>915</v>
      </c>
      <c r="E416" s="96" t="b">
        <v>0</v>
      </c>
      <c r="F416" s="96" t="b">
        <v>0</v>
      </c>
      <c r="G416" s="96" t="b">
        <v>0</v>
      </c>
    </row>
    <row r="417" spans="1:7" ht="15">
      <c r="A417" s="97" t="s">
        <v>300</v>
      </c>
      <c r="B417" s="96">
        <v>2</v>
      </c>
      <c r="C417" s="110">
        <v>0.0038163903416608036</v>
      </c>
      <c r="D417" s="96" t="s">
        <v>915</v>
      </c>
      <c r="E417" s="96" t="b">
        <v>0</v>
      </c>
      <c r="F417" s="96" t="b">
        <v>0</v>
      </c>
      <c r="G417" s="96" t="b">
        <v>0</v>
      </c>
    </row>
    <row r="418" spans="1:7" ht="15">
      <c r="A418" s="97" t="s">
        <v>1294</v>
      </c>
      <c r="B418" s="96">
        <v>2</v>
      </c>
      <c r="C418" s="110">
        <v>0.0038163903416608036</v>
      </c>
      <c r="D418" s="96" t="s">
        <v>915</v>
      </c>
      <c r="E418" s="96" t="b">
        <v>0</v>
      </c>
      <c r="F418" s="96" t="b">
        <v>0</v>
      </c>
      <c r="G418" s="96" t="b">
        <v>0</v>
      </c>
    </row>
    <row r="419" spans="1:7" ht="15">
      <c r="A419" s="97" t="s">
        <v>1273</v>
      </c>
      <c r="B419" s="96">
        <v>2</v>
      </c>
      <c r="C419" s="110">
        <v>0.0038163903416608036</v>
      </c>
      <c r="D419" s="96" t="s">
        <v>915</v>
      </c>
      <c r="E419" s="96" t="b">
        <v>0</v>
      </c>
      <c r="F419" s="96" t="b">
        <v>0</v>
      </c>
      <c r="G419" s="96" t="b">
        <v>0</v>
      </c>
    </row>
    <row r="420" spans="1:7" ht="15">
      <c r="A420" s="97" t="s">
        <v>1351</v>
      </c>
      <c r="B420" s="96">
        <v>2</v>
      </c>
      <c r="C420" s="110">
        <v>0.0038163903416608036</v>
      </c>
      <c r="D420" s="96" t="s">
        <v>915</v>
      </c>
      <c r="E420" s="96" t="b">
        <v>0</v>
      </c>
      <c r="F420" s="96" t="b">
        <v>0</v>
      </c>
      <c r="G420" s="96" t="b">
        <v>0</v>
      </c>
    </row>
    <row r="421" spans="1:7" ht="15">
      <c r="A421" s="97" t="s">
        <v>1000</v>
      </c>
      <c r="B421" s="96">
        <v>12</v>
      </c>
      <c r="C421" s="110">
        <v>0</v>
      </c>
      <c r="D421" s="96" t="s">
        <v>916</v>
      </c>
      <c r="E421" s="96" t="b">
        <v>0</v>
      </c>
      <c r="F421" s="96" t="b">
        <v>0</v>
      </c>
      <c r="G421" s="96" t="b">
        <v>0</v>
      </c>
    </row>
    <row r="422" spans="1:7" ht="15">
      <c r="A422" s="97" t="s">
        <v>1005</v>
      </c>
      <c r="B422" s="96">
        <v>8</v>
      </c>
      <c r="C422" s="110">
        <v>0.008049886128259715</v>
      </c>
      <c r="D422" s="96" t="s">
        <v>916</v>
      </c>
      <c r="E422" s="96" t="b">
        <v>0</v>
      </c>
      <c r="F422" s="96" t="b">
        <v>0</v>
      </c>
      <c r="G422" s="96" t="b">
        <v>0</v>
      </c>
    </row>
    <row r="423" spans="1:7" ht="15">
      <c r="A423" s="97" t="s">
        <v>1009</v>
      </c>
      <c r="B423" s="96">
        <v>6</v>
      </c>
      <c r="C423" s="110">
        <v>0.01303581400154078</v>
      </c>
      <c r="D423" s="96" t="s">
        <v>916</v>
      </c>
      <c r="E423" s="96" t="b">
        <v>0</v>
      </c>
      <c r="F423" s="96" t="b">
        <v>0</v>
      </c>
      <c r="G423" s="96" t="b">
        <v>0</v>
      </c>
    </row>
    <row r="424" spans="1:7" ht="15">
      <c r="A424" s="97" t="s">
        <v>307</v>
      </c>
      <c r="B424" s="96">
        <v>5</v>
      </c>
      <c r="C424" s="110">
        <v>0.010863178334617314</v>
      </c>
      <c r="D424" s="96" t="s">
        <v>916</v>
      </c>
      <c r="E424" s="96" t="b">
        <v>0</v>
      </c>
      <c r="F424" s="96" t="b">
        <v>0</v>
      </c>
      <c r="G424" s="96" t="b">
        <v>0</v>
      </c>
    </row>
    <row r="425" spans="1:7" ht="15">
      <c r="A425" s="97" t="s">
        <v>301</v>
      </c>
      <c r="B425" s="96">
        <v>5</v>
      </c>
      <c r="C425" s="110">
        <v>0.010863178334617314</v>
      </c>
      <c r="D425" s="96" t="s">
        <v>916</v>
      </c>
      <c r="E425" s="96" t="b">
        <v>0</v>
      </c>
      <c r="F425" s="96" t="b">
        <v>0</v>
      </c>
      <c r="G425" s="96" t="b">
        <v>0</v>
      </c>
    </row>
    <row r="426" spans="1:7" ht="15">
      <c r="A426" s="97" t="s">
        <v>305</v>
      </c>
      <c r="B426" s="96">
        <v>5</v>
      </c>
      <c r="C426" s="110">
        <v>0.010863178334617314</v>
      </c>
      <c r="D426" s="96" t="s">
        <v>916</v>
      </c>
      <c r="E426" s="96" t="b">
        <v>0</v>
      </c>
      <c r="F426" s="96" t="b">
        <v>0</v>
      </c>
      <c r="G426" s="96" t="b">
        <v>0</v>
      </c>
    </row>
    <row r="427" spans="1:7" ht="15">
      <c r="A427" s="97" t="s">
        <v>1010</v>
      </c>
      <c r="B427" s="96">
        <v>5</v>
      </c>
      <c r="C427" s="110">
        <v>0.010863178334617314</v>
      </c>
      <c r="D427" s="96" t="s">
        <v>916</v>
      </c>
      <c r="E427" s="96" t="b">
        <v>0</v>
      </c>
      <c r="F427" s="96" t="b">
        <v>0</v>
      </c>
      <c r="G427" s="96" t="b">
        <v>0</v>
      </c>
    </row>
    <row r="428" spans="1:7" ht="15">
      <c r="A428" s="97" t="s">
        <v>308</v>
      </c>
      <c r="B428" s="96">
        <v>5</v>
      </c>
      <c r="C428" s="110">
        <v>0.010863178334617314</v>
      </c>
      <c r="D428" s="96" t="s">
        <v>916</v>
      </c>
      <c r="E428" s="96" t="b">
        <v>0</v>
      </c>
      <c r="F428" s="96" t="b">
        <v>0</v>
      </c>
      <c r="G428" s="96" t="b">
        <v>0</v>
      </c>
    </row>
    <row r="429" spans="1:7" ht="15">
      <c r="A429" s="97" t="s">
        <v>1015</v>
      </c>
      <c r="B429" s="96">
        <v>4</v>
      </c>
      <c r="C429" s="110">
        <v>0.01090562867930657</v>
      </c>
      <c r="D429" s="96" t="s">
        <v>916</v>
      </c>
      <c r="E429" s="96" t="b">
        <v>0</v>
      </c>
      <c r="F429" s="96" t="b">
        <v>0</v>
      </c>
      <c r="G429" s="96" t="b">
        <v>0</v>
      </c>
    </row>
    <row r="430" spans="1:7" ht="15">
      <c r="A430" s="97" t="s">
        <v>1016</v>
      </c>
      <c r="B430" s="96">
        <v>4</v>
      </c>
      <c r="C430" s="110">
        <v>0.01090562867930657</v>
      </c>
      <c r="D430" s="96" t="s">
        <v>916</v>
      </c>
      <c r="E430" s="96" t="b">
        <v>0</v>
      </c>
      <c r="F430" s="96" t="b">
        <v>0</v>
      </c>
      <c r="G430" s="96" t="b">
        <v>0</v>
      </c>
    </row>
    <row r="431" spans="1:7" ht="15">
      <c r="A431" s="97" t="s">
        <v>1278</v>
      </c>
      <c r="B431" s="96">
        <v>4</v>
      </c>
      <c r="C431" s="110">
        <v>0.01090562867930657</v>
      </c>
      <c r="D431" s="96" t="s">
        <v>916</v>
      </c>
      <c r="E431" s="96" t="b">
        <v>0</v>
      </c>
      <c r="F431" s="96" t="b">
        <v>0</v>
      </c>
      <c r="G431" s="96" t="b">
        <v>0</v>
      </c>
    </row>
    <row r="432" spans="1:7" ht="15">
      <c r="A432" s="97" t="s">
        <v>300</v>
      </c>
      <c r="B432" s="96">
        <v>4</v>
      </c>
      <c r="C432" s="110">
        <v>0.01090562867930657</v>
      </c>
      <c r="D432" s="96" t="s">
        <v>916</v>
      </c>
      <c r="E432" s="96" t="b">
        <v>0</v>
      </c>
      <c r="F432" s="96" t="b">
        <v>0</v>
      </c>
      <c r="G432" s="96" t="b">
        <v>0</v>
      </c>
    </row>
    <row r="433" spans="1:7" ht="15">
      <c r="A433" s="97" t="s">
        <v>1280</v>
      </c>
      <c r="B433" s="96">
        <v>4</v>
      </c>
      <c r="C433" s="110">
        <v>0.01090562867930657</v>
      </c>
      <c r="D433" s="96" t="s">
        <v>916</v>
      </c>
      <c r="E433" s="96" t="b">
        <v>0</v>
      </c>
      <c r="F433" s="96" t="b">
        <v>0</v>
      </c>
      <c r="G433" s="96" t="b">
        <v>0</v>
      </c>
    </row>
    <row r="434" spans="1:7" ht="15">
      <c r="A434" s="97" t="s">
        <v>1298</v>
      </c>
      <c r="B434" s="96">
        <v>4</v>
      </c>
      <c r="C434" s="110">
        <v>0.01090562867930657</v>
      </c>
      <c r="D434" s="96" t="s">
        <v>916</v>
      </c>
      <c r="E434" s="96" t="b">
        <v>0</v>
      </c>
      <c r="F434" s="96" t="b">
        <v>0</v>
      </c>
      <c r="G434" s="96" t="b">
        <v>0</v>
      </c>
    </row>
    <row r="435" spans="1:7" ht="15">
      <c r="A435" s="97" t="s">
        <v>1001</v>
      </c>
      <c r="B435" s="96">
        <v>4</v>
      </c>
      <c r="C435" s="110">
        <v>0.01090562867930657</v>
      </c>
      <c r="D435" s="96" t="s">
        <v>916</v>
      </c>
      <c r="E435" s="96" t="b">
        <v>0</v>
      </c>
      <c r="F435" s="96" t="b">
        <v>0</v>
      </c>
      <c r="G435" s="96" t="b">
        <v>0</v>
      </c>
    </row>
    <row r="436" spans="1:7" ht="15">
      <c r="A436" s="97" t="s">
        <v>1258</v>
      </c>
      <c r="B436" s="96">
        <v>4</v>
      </c>
      <c r="C436" s="110">
        <v>0.01090562867930657</v>
      </c>
      <c r="D436" s="96" t="s">
        <v>916</v>
      </c>
      <c r="E436" s="96" t="b">
        <v>0</v>
      </c>
      <c r="F436" s="96" t="b">
        <v>0</v>
      </c>
      <c r="G436" s="96" t="b">
        <v>0</v>
      </c>
    </row>
    <row r="437" spans="1:7" ht="15">
      <c r="A437" s="97" t="s">
        <v>1295</v>
      </c>
      <c r="B437" s="96">
        <v>4</v>
      </c>
      <c r="C437" s="110">
        <v>0.01090562867930657</v>
      </c>
      <c r="D437" s="96" t="s">
        <v>916</v>
      </c>
      <c r="E437" s="96" t="b">
        <v>0</v>
      </c>
      <c r="F437" s="96" t="b">
        <v>0</v>
      </c>
      <c r="G437" s="96" t="b">
        <v>0</v>
      </c>
    </row>
    <row r="438" spans="1:7" ht="15">
      <c r="A438" s="97" t="s">
        <v>1276</v>
      </c>
      <c r="B438" s="96">
        <v>3</v>
      </c>
      <c r="C438" s="110">
        <v>0.01032102842276507</v>
      </c>
      <c r="D438" s="96" t="s">
        <v>916</v>
      </c>
      <c r="E438" s="96" t="b">
        <v>0</v>
      </c>
      <c r="F438" s="96" t="b">
        <v>0</v>
      </c>
      <c r="G438" s="96" t="b">
        <v>0</v>
      </c>
    </row>
    <row r="439" spans="1:7" ht="15">
      <c r="A439" s="97" t="s">
        <v>1003</v>
      </c>
      <c r="B439" s="96">
        <v>3</v>
      </c>
      <c r="C439" s="110">
        <v>0.01032102842276507</v>
      </c>
      <c r="D439" s="96" t="s">
        <v>916</v>
      </c>
      <c r="E439" s="96" t="b">
        <v>0</v>
      </c>
      <c r="F439" s="96" t="b">
        <v>0</v>
      </c>
      <c r="G439" s="96" t="b">
        <v>0</v>
      </c>
    </row>
    <row r="440" spans="1:7" ht="15">
      <c r="A440" s="97" t="s">
        <v>1267</v>
      </c>
      <c r="B440" s="96">
        <v>3</v>
      </c>
      <c r="C440" s="110">
        <v>0.01032102842276507</v>
      </c>
      <c r="D440" s="96" t="s">
        <v>916</v>
      </c>
      <c r="E440" s="96" t="b">
        <v>0</v>
      </c>
      <c r="F440" s="96" t="b">
        <v>0</v>
      </c>
      <c r="G440" s="96" t="b">
        <v>0</v>
      </c>
    </row>
    <row r="441" spans="1:7" ht="15">
      <c r="A441" s="97" t="s">
        <v>1269</v>
      </c>
      <c r="B441" s="96">
        <v>3</v>
      </c>
      <c r="C441" s="110">
        <v>0.01032102842276507</v>
      </c>
      <c r="D441" s="96" t="s">
        <v>916</v>
      </c>
      <c r="E441" s="96" t="b">
        <v>0</v>
      </c>
      <c r="F441" s="96" t="b">
        <v>0</v>
      </c>
      <c r="G441" s="96" t="b">
        <v>0</v>
      </c>
    </row>
    <row r="442" spans="1:7" ht="15">
      <c r="A442" s="97" t="s">
        <v>1265</v>
      </c>
      <c r="B442" s="96">
        <v>3</v>
      </c>
      <c r="C442" s="110">
        <v>0.01032102842276507</v>
      </c>
      <c r="D442" s="96" t="s">
        <v>916</v>
      </c>
      <c r="E442" s="96" t="b">
        <v>0</v>
      </c>
      <c r="F442" s="96" t="b">
        <v>0</v>
      </c>
      <c r="G442" s="96" t="b">
        <v>0</v>
      </c>
    </row>
    <row r="443" spans="1:7" ht="15">
      <c r="A443" s="97" t="s">
        <v>1272</v>
      </c>
      <c r="B443" s="96">
        <v>3</v>
      </c>
      <c r="C443" s="110">
        <v>0.01032102842276507</v>
      </c>
      <c r="D443" s="96" t="s">
        <v>916</v>
      </c>
      <c r="E443" s="96" t="b">
        <v>0</v>
      </c>
      <c r="F443" s="96" t="b">
        <v>0</v>
      </c>
      <c r="G443" s="96" t="b">
        <v>0</v>
      </c>
    </row>
    <row r="444" spans="1:7" ht="15">
      <c r="A444" s="97" t="s">
        <v>1002</v>
      </c>
      <c r="B444" s="96">
        <v>3</v>
      </c>
      <c r="C444" s="110">
        <v>0.01032102842276507</v>
      </c>
      <c r="D444" s="96" t="s">
        <v>916</v>
      </c>
      <c r="E444" s="96" t="b">
        <v>0</v>
      </c>
      <c r="F444" s="96" t="b">
        <v>0</v>
      </c>
      <c r="G444" s="96" t="b">
        <v>0</v>
      </c>
    </row>
    <row r="445" spans="1:7" ht="15">
      <c r="A445" s="97" t="s">
        <v>1279</v>
      </c>
      <c r="B445" s="96">
        <v>3</v>
      </c>
      <c r="C445" s="110">
        <v>0.01032102842276507</v>
      </c>
      <c r="D445" s="96" t="s">
        <v>916</v>
      </c>
      <c r="E445" s="96" t="b">
        <v>0</v>
      </c>
      <c r="F445" s="96" t="b">
        <v>0</v>
      </c>
      <c r="G445" s="96" t="b">
        <v>0</v>
      </c>
    </row>
    <row r="446" spans="1:7" ht="15">
      <c r="A446" s="97" t="s">
        <v>1277</v>
      </c>
      <c r="B446" s="96">
        <v>3</v>
      </c>
      <c r="C446" s="110">
        <v>0.01032102842276507</v>
      </c>
      <c r="D446" s="96" t="s">
        <v>916</v>
      </c>
      <c r="E446" s="96" t="b">
        <v>0</v>
      </c>
      <c r="F446" s="96" t="b">
        <v>0</v>
      </c>
      <c r="G446" s="96" t="b">
        <v>0</v>
      </c>
    </row>
    <row r="447" spans="1:7" ht="15">
      <c r="A447" s="97" t="s">
        <v>1268</v>
      </c>
      <c r="B447" s="96">
        <v>3</v>
      </c>
      <c r="C447" s="110">
        <v>0.01032102842276507</v>
      </c>
      <c r="D447" s="96" t="s">
        <v>916</v>
      </c>
      <c r="E447" s="96" t="b">
        <v>0</v>
      </c>
      <c r="F447" s="96" t="b">
        <v>0</v>
      </c>
      <c r="G447" s="96" t="b">
        <v>0</v>
      </c>
    </row>
    <row r="448" spans="1:7" ht="15">
      <c r="A448" s="97" t="s">
        <v>1271</v>
      </c>
      <c r="B448" s="96">
        <v>3</v>
      </c>
      <c r="C448" s="110">
        <v>0.01032102842276507</v>
      </c>
      <c r="D448" s="96" t="s">
        <v>916</v>
      </c>
      <c r="E448" s="96" t="b">
        <v>0</v>
      </c>
      <c r="F448" s="96" t="b">
        <v>0</v>
      </c>
      <c r="G448" s="96" t="b">
        <v>0</v>
      </c>
    </row>
    <row r="449" spans="1:7" ht="15">
      <c r="A449" s="97" t="s">
        <v>1356</v>
      </c>
      <c r="B449" s="96">
        <v>2</v>
      </c>
      <c r="C449" s="110">
        <v>0.008893157147241641</v>
      </c>
      <c r="D449" s="96" t="s">
        <v>916</v>
      </c>
      <c r="E449" s="96" t="b">
        <v>0</v>
      </c>
      <c r="F449" s="96" t="b">
        <v>0</v>
      </c>
      <c r="G449" s="96" t="b">
        <v>0</v>
      </c>
    </row>
    <row r="450" spans="1:7" ht="15">
      <c r="A450" s="97" t="s">
        <v>1263</v>
      </c>
      <c r="B450" s="96">
        <v>2</v>
      </c>
      <c r="C450" s="110">
        <v>0.008893157147241641</v>
      </c>
      <c r="D450" s="96" t="s">
        <v>916</v>
      </c>
      <c r="E450" s="96" t="b">
        <v>0</v>
      </c>
      <c r="F450" s="96" t="b">
        <v>0</v>
      </c>
      <c r="G450" s="96" t="b">
        <v>0</v>
      </c>
    </row>
    <row r="451" spans="1:7" ht="15">
      <c r="A451" s="97" t="s">
        <v>1262</v>
      </c>
      <c r="B451" s="96">
        <v>2</v>
      </c>
      <c r="C451" s="110">
        <v>0.008893157147241641</v>
      </c>
      <c r="D451" s="96" t="s">
        <v>916</v>
      </c>
      <c r="E451" s="96" t="b">
        <v>0</v>
      </c>
      <c r="F451" s="96" t="b">
        <v>0</v>
      </c>
      <c r="G451" s="96" t="b">
        <v>0</v>
      </c>
    </row>
    <row r="452" spans="1:7" ht="15">
      <c r="A452" s="97" t="s">
        <v>1264</v>
      </c>
      <c r="B452" s="96">
        <v>2</v>
      </c>
      <c r="C452" s="110">
        <v>0.008893157147241641</v>
      </c>
      <c r="D452" s="96" t="s">
        <v>916</v>
      </c>
      <c r="E452" s="96" t="b">
        <v>0</v>
      </c>
      <c r="F452" s="96" t="b">
        <v>0</v>
      </c>
      <c r="G452" s="96" t="b">
        <v>0</v>
      </c>
    </row>
    <row r="453" spans="1:7" ht="15">
      <c r="A453" s="97" t="s">
        <v>982</v>
      </c>
      <c r="B453" s="96">
        <v>2</v>
      </c>
      <c r="C453" s="110">
        <v>0.008893157147241641</v>
      </c>
      <c r="D453" s="96" t="s">
        <v>916</v>
      </c>
      <c r="E453" s="96" t="b">
        <v>0</v>
      </c>
      <c r="F453" s="96" t="b">
        <v>0</v>
      </c>
      <c r="G453" s="96" t="b">
        <v>0</v>
      </c>
    </row>
    <row r="454" spans="1:7" ht="15">
      <c r="A454" s="97" t="s">
        <v>1255</v>
      </c>
      <c r="B454" s="96">
        <v>2</v>
      </c>
      <c r="C454" s="110">
        <v>0.008893157147241641</v>
      </c>
      <c r="D454" s="96" t="s">
        <v>916</v>
      </c>
      <c r="E454" s="96" t="b">
        <v>0</v>
      </c>
      <c r="F454" s="96" t="b">
        <v>0</v>
      </c>
      <c r="G454" s="96" t="b">
        <v>0</v>
      </c>
    </row>
    <row r="455" spans="1:7" ht="15">
      <c r="A455" s="97" t="s">
        <v>1253</v>
      </c>
      <c r="B455" s="96">
        <v>2</v>
      </c>
      <c r="C455" s="110">
        <v>0.01233349995483</v>
      </c>
      <c r="D455" s="96" t="s">
        <v>916</v>
      </c>
      <c r="E455" s="96" t="b">
        <v>0</v>
      </c>
      <c r="F455" s="96" t="b">
        <v>0</v>
      </c>
      <c r="G455" s="96" t="b">
        <v>0</v>
      </c>
    </row>
    <row r="456" spans="1:7" ht="15">
      <c r="A456" s="97" t="s">
        <v>1000</v>
      </c>
      <c r="B456" s="96">
        <v>42</v>
      </c>
      <c r="C456" s="110">
        <v>0</v>
      </c>
      <c r="D456" s="96" t="s">
        <v>917</v>
      </c>
      <c r="E456" s="96" t="b">
        <v>0</v>
      </c>
      <c r="F456" s="96" t="b">
        <v>0</v>
      </c>
      <c r="G456" s="96" t="b">
        <v>0</v>
      </c>
    </row>
    <row r="457" spans="1:7" ht="15">
      <c r="A457" s="97" t="s">
        <v>982</v>
      </c>
      <c r="B457" s="96">
        <v>22</v>
      </c>
      <c r="C457" s="110">
        <v>0.01143122951401444</v>
      </c>
      <c r="D457" s="96" t="s">
        <v>917</v>
      </c>
      <c r="E457" s="96" t="b">
        <v>0</v>
      </c>
      <c r="F457" s="96" t="b">
        <v>0</v>
      </c>
      <c r="G457" s="96" t="b">
        <v>0</v>
      </c>
    </row>
    <row r="458" spans="1:7" ht="15">
      <c r="A458" s="97" t="s">
        <v>1001</v>
      </c>
      <c r="B458" s="96">
        <v>20</v>
      </c>
      <c r="C458" s="110">
        <v>0.009720039056830145</v>
      </c>
      <c r="D458" s="96" t="s">
        <v>917</v>
      </c>
      <c r="E458" s="96" t="b">
        <v>0</v>
      </c>
      <c r="F458" s="96" t="b">
        <v>0</v>
      </c>
      <c r="G458" s="96" t="b">
        <v>0</v>
      </c>
    </row>
    <row r="459" spans="1:7" ht="15">
      <c r="A459" s="97" t="s">
        <v>1002</v>
      </c>
      <c r="B459" s="96">
        <v>20</v>
      </c>
      <c r="C459" s="110">
        <v>0.010392026830922219</v>
      </c>
      <c r="D459" s="96" t="s">
        <v>917</v>
      </c>
      <c r="E459" s="96" t="b">
        <v>0</v>
      </c>
      <c r="F459" s="96" t="b">
        <v>0</v>
      </c>
      <c r="G459" s="96" t="b">
        <v>0</v>
      </c>
    </row>
    <row r="460" spans="1:7" ht="15">
      <c r="A460" s="97" t="s">
        <v>875</v>
      </c>
      <c r="B460" s="96">
        <v>20</v>
      </c>
      <c r="C460" s="110">
        <v>0.009720039056830145</v>
      </c>
      <c r="D460" s="96" t="s">
        <v>917</v>
      </c>
      <c r="E460" s="96" t="b">
        <v>0</v>
      </c>
      <c r="F460" s="96" t="b">
        <v>0</v>
      </c>
      <c r="G460" s="96" t="b">
        <v>0</v>
      </c>
    </row>
    <row r="461" spans="1:7" ht="15">
      <c r="A461" s="97" t="s">
        <v>1003</v>
      </c>
      <c r="B461" s="96">
        <v>20</v>
      </c>
      <c r="C461" s="110">
        <v>0.009720039056830145</v>
      </c>
      <c r="D461" s="96" t="s">
        <v>917</v>
      </c>
      <c r="E461" s="96" t="b">
        <v>0</v>
      </c>
      <c r="F461" s="96" t="b">
        <v>0</v>
      </c>
      <c r="G461" s="96" t="b">
        <v>0</v>
      </c>
    </row>
    <row r="462" spans="1:7" ht="15">
      <c r="A462" s="97" t="s">
        <v>1004</v>
      </c>
      <c r="B462" s="96">
        <v>17</v>
      </c>
      <c r="C462" s="110">
        <v>0.010071804333836578</v>
      </c>
      <c r="D462" s="96" t="s">
        <v>917</v>
      </c>
      <c r="E462" s="96" t="b">
        <v>0</v>
      </c>
      <c r="F462" s="96" t="b">
        <v>0</v>
      </c>
      <c r="G462" s="96" t="b">
        <v>0</v>
      </c>
    </row>
    <row r="463" spans="1:7" ht="15">
      <c r="A463" s="97" t="s">
        <v>1006</v>
      </c>
      <c r="B463" s="96">
        <v>16</v>
      </c>
      <c r="C463" s="110">
        <v>0.01011473442514572</v>
      </c>
      <c r="D463" s="96" t="s">
        <v>917</v>
      </c>
      <c r="E463" s="96" t="b">
        <v>0</v>
      </c>
      <c r="F463" s="96" t="b">
        <v>0</v>
      </c>
      <c r="G463" s="96" t="b">
        <v>0</v>
      </c>
    </row>
    <row r="464" spans="1:7" ht="15">
      <c r="A464" s="97" t="s">
        <v>1007</v>
      </c>
      <c r="B464" s="96">
        <v>15</v>
      </c>
      <c r="C464" s="110">
        <v>0.010116697541679168</v>
      </c>
      <c r="D464" s="96" t="s">
        <v>917</v>
      </c>
      <c r="E464" s="96" t="b">
        <v>0</v>
      </c>
      <c r="F464" s="96" t="b">
        <v>0</v>
      </c>
      <c r="G464" s="96" t="b">
        <v>0</v>
      </c>
    </row>
    <row r="465" spans="1:7" ht="15">
      <c r="A465" s="97" t="s">
        <v>1013</v>
      </c>
      <c r="B465" s="96">
        <v>15</v>
      </c>
      <c r="C465" s="110">
        <v>0.010116697541679168</v>
      </c>
      <c r="D465" s="96" t="s">
        <v>917</v>
      </c>
      <c r="E465" s="96" t="b">
        <v>0</v>
      </c>
      <c r="F465" s="96" t="b">
        <v>0</v>
      </c>
      <c r="G465" s="96" t="b">
        <v>0</v>
      </c>
    </row>
    <row r="466" spans="1:7" ht="15">
      <c r="A466" s="97" t="s">
        <v>1249</v>
      </c>
      <c r="B466" s="96">
        <v>15</v>
      </c>
      <c r="C466" s="110">
        <v>0.010116697541679168</v>
      </c>
      <c r="D466" s="96" t="s">
        <v>917</v>
      </c>
      <c r="E466" s="96" t="b">
        <v>0</v>
      </c>
      <c r="F466" s="96" t="b">
        <v>0</v>
      </c>
      <c r="G466" s="96" t="b">
        <v>0</v>
      </c>
    </row>
    <row r="467" spans="1:7" ht="15">
      <c r="A467" s="97" t="s">
        <v>1250</v>
      </c>
      <c r="B467" s="96">
        <v>15</v>
      </c>
      <c r="C467" s="110">
        <v>0.010116697541679168</v>
      </c>
      <c r="D467" s="96" t="s">
        <v>917</v>
      </c>
      <c r="E467" s="96" t="b">
        <v>0</v>
      </c>
      <c r="F467" s="96" t="b">
        <v>0</v>
      </c>
      <c r="G467" s="96" t="b">
        <v>0</v>
      </c>
    </row>
    <row r="468" spans="1:7" ht="15">
      <c r="A468" s="97" t="s">
        <v>1251</v>
      </c>
      <c r="B468" s="96">
        <v>15</v>
      </c>
      <c r="C468" s="110">
        <v>0.010116697541679168</v>
      </c>
      <c r="D468" s="96" t="s">
        <v>917</v>
      </c>
      <c r="E468" s="96" t="b">
        <v>0</v>
      </c>
      <c r="F468" s="96" t="b">
        <v>0</v>
      </c>
      <c r="G468" s="96" t="b">
        <v>0</v>
      </c>
    </row>
    <row r="469" spans="1:7" ht="15">
      <c r="A469" s="97" t="s">
        <v>1012</v>
      </c>
      <c r="B469" s="96">
        <v>14</v>
      </c>
      <c r="C469" s="110">
        <v>0.010074958621531334</v>
      </c>
      <c r="D469" s="96" t="s">
        <v>917</v>
      </c>
      <c r="E469" s="96" t="b">
        <v>0</v>
      </c>
      <c r="F469" s="96" t="b">
        <v>0</v>
      </c>
      <c r="G469" s="96" t="b">
        <v>0</v>
      </c>
    </row>
    <row r="470" spans="1:7" ht="15">
      <c r="A470" s="97" t="s">
        <v>1252</v>
      </c>
      <c r="B470" s="96">
        <v>13</v>
      </c>
      <c r="C470" s="110">
        <v>0.009986390942962034</v>
      </c>
      <c r="D470" s="96" t="s">
        <v>917</v>
      </c>
      <c r="E470" s="96" t="b">
        <v>0</v>
      </c>
      <c r="F470" s="96" t="b">
        <v>0</v>
      </c>
      <c r="G470" s="96" t="b">
        <v>0</v>
      </c>
    </row>
    <row r="471" spans="1:7" ht="15">
      <c r="A471" s="97" t="s">
        <v>1253</v>
      </c>
      <c r="B471" s="96">
        <v>9</v>
      </c>
      <c r="C471" s="110">
        <v>0.010563139145479326</v>
      </c>
      <c r="D471" s="96" t="s">
        <v>917</v>
      </c>
      <c r="E471" s="96" t="b">
        <v>0</v>
      </c>
      <c r="F471" s="96" t="b">
        <v>0</v>
      </c>
      <c r="G471" s="96" t="b">
        <v>0</v>
      </c>
    </row>
    <row r="472" spans="1:7" ht="15">
      <c r="A472" s="97" t="s">
        <v>1256</v>
      </c>
      <c r="B472" s="96">
        <v>9</v>
      </c>
      <c r="C472" s="110">
        <v>0.009081540013012339</v>
      </c>
      <c r="D472" s="96" t="s">
        <v>917</v>
      </c>
      <c r="E472" s="96" t="b">
        <v>0</v>
      </c>
      <c r="F472" s="96" t="b">
        <v>0</v>
      </c>
      <c r="G472" s="96" t="b">
        <v>0</v>
      </c>
    </row>
    <row r="473" spans="1:7" ht="15">
      <c r="A473" s="97" t="s">
        <v>1261</v>
      </c>
      <c r="B473" s="96">
        <v>8</v>
      </c>
      <c r="C473" s="110">
        <v>0.008689705018473085</v>
      </c>
      <c r="D473" s="96" t="s">
        <v>917</v>
      </c>
      <c r="E473" s="96" t="b">
        <v>0</v>
      </c>
      <c r="F473" s="96" t="b">
        <v>0</v>
      </c>
      <c r="G473" s="96" t="b">
        <v>0</v>
      </c>
    </row>
    <row r="474" spans="1:7" ht="15">
      <c r="A474" s="97" t="s">
        <v>1273</v>
      </c>
      <c r="B474" s="96">
        <v>7</v>
      </c>
      <c r="C474" s="110">
        <v>0.008922603740723678</v>
      </c>
      <c r="D474" s="96" t="s">
        <v>917</v>
      </c>
      <c r="E474" s="96" t="b">
        <v>0</v>
      </c>
      <c r="F474" s="96" t="b">
        <v>0</v>
      </c>
      <c r="G474" s="96" t="b">
        <v>0</v>
      </c>
    </row>
    <row r="475" spans="1:7" ht="15">
      <c r="A475" s="97" t="s">
        <v>1259</v>
      </c>
      <c r="B475" s="96">
        <v>6</v>
      </c>
      <c r="C475" s="110">
        <v>0.007647946063477438</v>
      </c>
      <c r="D475" s="96" t="s">
        <v>917</v>
      </c>
      <c r="E475" s="96" t="b">
        <v>0</v>
      </c>
      <c r="F475" s="96" t="b">
        <v>0</v>
      </c>
      <c r="G475" s="96" t="b">
        <v>0</v>
      </c>
    </row>
    <row r="476" spans="1:7" ht="15">
      <c r="A476" s="97" t="s">
        <v>1257</v>
      </c>
      <c r="B476" s="96">
        <v>5</v>
      </c>
      <c r="C476" s="110">
        <v>0.006970432021582818</v>
      </c>
      <c r="D476" s="96" t="s">
        <v>917</v>
      </c>
      <c r="E476" s="96" t="b">
        <v>0</v>
      </c>
      <c r="F476" s="96" t="b">
        <v>0</v>
      </c>
      <c r="G476" s="96" t="b">
        <v>0</v>
      </c>
    </row>
    <row r="477" spans="1:7" ht="15">
      <c r="A477" s="97" t="s">
        <v>1254</v>
      </c>
      <c r="B477" s="96">
        <v>5</v>
      </c>
      <c r="C477" s="110">
        <v>0.006970432021582818</v>
      </c>
      <c r="D477" s="96" t="s">
        <v>917</v>
      </c>
      <c r="E477" s="96" t="b">
        <v>0</v>
      </c>
      <c r="F477" s="96" t="b">
        <v>0</v>
      </c>
      <c r="G477" s="96" t="b">
        <v>0</v>
      </c>
    </row>
    <row r="478" spans="1:7" ht="15">
      <c r="A478" s="97" t="s">
        <v>1009</v>
      </c>
      <c r="B478" s="96">
        <v>5</v>
      </c>
      <c r="C478" s="110">
        <v>0.0077012767652333185</v>
      </c>
      <c r="D478" s="96" t="s">
        <v>917</v>
      </c>
      <c r="E478" s="96" t="b">
        <v>0</v>
      </c>
      <c r="F478" s="96" t="b">
        <v>0</v>
      </c>
      <c r="G478" s="96" t="b">
        <v>0</v>
      </c>
    </row>
    <row r="479" spans="1:7" ht="15">
      <c r="A479" s="97" t="s">
        <v>1283</v>
      </c>
      <c r="B479" s="96">
        <v>5</v>
      </c>
      <c r="C479" s="110">
        <v>0.006970432021582818</v>
      </c>
      <c r="D479" s="96" t="s">
        <v>917</v>
      </c>
      <c r="E479" s="96" t="b">
        <v>0</v>
      </c>
      <c r="F479" s="96" t="b">
        <v>0</v>
      </c>
      <c r="G479" s="96" t="b">
        <v>0</v>
      </c>
    </row>
    <row r="480" spans="1:7" ht="15">
      <c r="A480" s="97" t="s">
        <v>1005</v>
      </c>
      <c r="B480" s="96">
        <v>5</v>
      </c>
      <c r="C480" s="110">
        <v>0.006970432021582818</v>
      </c>
      <c r="D480" s="96" t="s">
        <v>917</v>
      </c>
      <c r="E480" s="96" t="b">
        <v>0</v>
      </c>
      <c r="F480" s="96" t="b">
        <v>0</v>
      </c>
      <c r="G480" s="96" t="b">
        <v>0</v>
      </c>
    </row>
    <row r="481" spans="1:7" ht="15">
      <c r="A481" s="97" t="s">
        <v>976</v>
      </c>
      <c r="B481" s="96">
        <v>4</v>
      </c>
      <c r="C481" s="110">
        <v>0.0061610214121866555</v>
      </c>
      <c r="D481" s="96" t="s">
        <v>917</v>
      </c>
      <c r="E481" s="96" t="b">
        <v>0</v>
      </c>
      <c r="F481" s="96" t="b">
        <v>0</v>
      </c>
      <c r="G481" s="96" t="b">
        <v>0</v>
      </c>
    </row>
    <row r="482" spans="1:7" ht="15">
      <c r="A482" s="97" t="s">
        <v>1265</v>
      </c>
      <c r="B482" s="96">
        <v>4</v>
      </c>
      <c r="C482" s="110">
        <v>0.0061610214121866555</v>
      </c>
      <c r="D482" s="96" t="s">
        <v>917</v>
      </c>
      <c r="E482" s="96" t="b">
        <v>0</v>
      </c>
      <c r="F482" s="96" t="b">
        <v>0</v>
      </c>
      <c r="G482" s="96" t="b">
        <v>0</v>
      </c>
    </row>
    <row r="483" spans="1:7" ht="15">
      <c r="A483" s="97" t="s">
        <v>1260</v>
      </c>
      <c r="B483" s="96">
        <v>4</v>
      </c>
      <c r="C483" s="110">
        <v>0.0061610214121866555</v>
      </c>
      <c r="D483" s="96" t="s">
        <v>917</v>
      </c>
      <c r="E483" s="96" t="b">
        <v>0</v>
      </c>
      <c r="F483" s="96" t="b">
        <v>0</v>
      </c>
      <c r="G483" s="96" t="b">
        <v>0</v>
      </c>
    </row>
    <row r="484" spans="1:7" ht="15">
      <c r="A484" s="97" t="s">
        <v>1289</v>
      </c>
      <c r="B484" s="96">
        <v>4</v>
      </c>
      <c r="C484" s="110">
        <v>0.0061610214121866555</v>
      </c>
      <c r="D484" s="96" t="s">
        <v>917</v>
      </c>
      <c r="E484" s="96" t="b">
        <v>0</v>
      </c>
      <c r="F484" s="96" t="b">
        <v>0</v>
      </c>
      <c r="G484" s="96" t="b">
        <v>0</v>
      </c>
    </row>
    <row r="485" spans="1:7" ht="15">
      <c r="A485" s="97" t="s">
        <v>1290</v>
      </c>
      <c r="B485" s="96">
        <v>4</v>
      </c>
      <c r="C485" s="110">
        <v>0.0061610214121866555</v>
      </c>
      <c r="D485" s="96" t="s">
        <v>917</v>
      </c>
      <c r="E485" s="96" t="b">
        <v>0</v>
      </c>
      <c r="F485" s="96" t="b">
        <v>0</v>
      </c>
      <c r="G485" s="96" t="b">
        <v>0</v>
      </c>
    </row>
    <row r="486" spans="1:7" ht="15">
      <c r="A486" s="97" t="s">
        <v>1010</v>
      </c>
      <c r="B486" s="96">
        <v>4</v>
      </c>
      <c r="C486" s="110">
        <v>0.006914799611935071</v>
      </c>
      <c r="D486" s="96" t="s">
        <v>917</v>
      </c>
      <c r="E486" s="96" t="b">
        <v>0</v>
      </c>
      <c r="F486" s="96" t="b">
        <v>0</v>
      </c>
      <c r="G486" s="96" t="b">
        <v>0</v>
      </c>
    </row>
    <row r="487" spans="1:7" ht="15">
      <c r="A487" s="97" t="s">
        <v>1267</v>
      </c>
      <c r="B487" s="96">
        <v>3</v>
      </c>
      <c r="C487" s="110">
        <v>0.0051860997089513035</v>
      </c>
      <c r="D487" s="96" t="s">
        <v>917</v>
      </c>
      <c r="E487" s="96" t="b">
        <v>0</v>
      </c>
      <c r="F487" s="96" t="b">
        <v>0</v>
      </c>
      <c r="G487" s="96" t="b">
        <v>0</v>
      </c>
    </row>
    <row r="488" spans="1:7" ht="15">
      <c r="A488" s="97" t="s">
        <v>1274</v>
      </c>
      <c r="B488" s="96">
        <v>3</v>
      </c>
      <c r="C488" s="110">
        <v>0.0051860997089513035</v>
      </c>
      <c r="D488" s="96" t="s">
        <v>917</v>
      </c>
      <c r="E488" s="96" t="b">
        <v>0</v>
      </c>
      <c r="F488" s="96" t="b">
        <v>0</v>
      </c>
      <c r="G488" s="96" t="b">
        <v>0</v>
      </c>
    </row>
    <row r="489" spans="1:7" ht="15">
      <c r="A489" s="97" t="s">
        <v>1268</v>
      </c>
      <c r="B489" s="96">
        <v>3</v>
      </c>
      <c r="C489" s="110">
        <v>0.0051860997089513035</v>
      </c>
      <c r="D489" s="96" t="s">
        <v>917</v>
      </c>
      <c r="E489" s="96" t="b">
        <v>0</v>
      </c>
      <c r="F489" s="96" t="b">
        <v>0</v>
      </c>
      <c r="G489" s="96" t="b">
        <v>0</v>
      </c>
    </row>
    <row r="490" spans="1:7" ht="15">
      <c r="A490" s="97" t="s">
        <v>1269</v>
      </c>
      <c r="B490" s="96">
        <v>3</v>
      </c>
      <c r="C490" s="110">
        <v>0.0051860997089513035</v>
      </c>
      <c r="D490" s="96" t="s">
        <v>917</v>
      </c>
      <c r="E490" s="96" t="b">
        <v>0</v>
      </c>
      <c r="F490" s="96" t="b">
        <v>0</v>
      </c>
      <c r="G490" s="96" t="b">
        <v>0</v>
      </c>
    </row>
    <row r="491" spans="1:7" ht="15">
      <c r="A491" s="97" t="s">
        <v>1262</v>
      </c>
      <c r="B491" s="96">
        <v>3</v>
      </c>
      <c r="C491" s="110">
        <v>0.0051860997089513035</v>
      </c>
      <c r="D491" s="96" t="s">
        <v>917</v>
      </c>
      <c r="E491" s="96" t="b">
        <v>0</v>
      </c>
      <c r="F491" s="96" t="b">
        <v>0</v>
      </c>
      <c r="G491" s="96" t="b">
        <v>0</v>
      </c>
    </row>
    <row r="492" spans="1:7" ht="15">
      <c r="A492" s="97" t="s">
        <v>1366</v>
      </c>
      <c r="B492" s="96">
        <v>3</v>
      </c>
      <c r="C492" s="110">
        <v>0.0051860997089513035</v>
      </c>
      <c r="D492" s="96" t="s">
        <v>917</v>
      </c>
      <c r="E492" s="96" t="b">
        <v>0</v>
      </c>
      <c r="F492" s="96" t="b">
        <v>0</v>
      </c>
      <c r="G492" s="96" t="b">
        <v>0</v>
      </c>
    </row>
    <row r="493" spans="1:7" ht="15">
      <c r="A493" s="97" t="s">
        <v>1337</v>
      </c>
      <c r="B493" s="96">
        <v>3</v>
      </c>
      <c r="C493" s="110">
        <v>0.0051860997089513035</v>
      </c>
      <c r="D493" s="96" t="s">
        <v>917</v>
      </c>
      <c r="E493" s="96" t="b">
        <v>0</v>
      </c>
      <c r="F493" s="96" t="b">
        <v>0</v>
      </c>
      <c r="G493" s="96" t="b">
        <v>0</v>
      </c>
    </row>
    <row r="494" spans="1:7" ht="15">
      <c r="A494" s="97" t="s">
        <v>1338</v>
      </c>
      <c r="B494" s="96">
        <v>3</v>
      </c>
      <c r="C494" s="110">
        <v>0.0051860997089513035</v>
      </c>
      <c r="D494" s="96" t="s">
        <v>917</v>
      </c>
      <c r="E494" s="96" t="b">
        <v>0</v>
      </c>
      <c r="F494" s="96" t="b">
        <v>0</v>
      </c>
      <c r="G494" s="96" t="b">
        <v>0</v>
      </c>
    </row>
    <row r="495" spans="1:7" ht="15">
      <c r="A495" s="97" t="s">
        <v>1258</v>
      </c>
      <c r="B495" s="96">
        <v>3</v>
      </c>
      <c r="C495" s="110">
        <v>0.0051860997089513035</v>
      </c>
      <c r="D495" s="96" t="s">
        <v>917</v>
      </c>
      <c r="E495" s="96" t="b">
        <v>0</v>
      </c>
      <c r="F495" s="96" t="b">
        <v>0</v>
      </c>
      <c r="G495" s="96" t="b">
        <v>0</v>
      </c>
    </row>
    <row r="496" spans="1:7" ht="15">
      <c r="A496" s="97" t="s">
        <v>1287</v>
      </c>
      <c r="B496" s="96">
        <v>3</v>
      </c>
      <c r="C496" s="110">
        <v>0.0051860997089513035</v>
      </c>
      <c r="D496" s="96" t="s">
        <v>917</v>
      </c>
      <c r="E496" s="96" t="b">
        <v>0</v>
      </c>
      <c r="F496" s="96" t="b">
        <v>0</v>
      </c>
      <c r="G496" s="96" t="b">
        <v>0</v>
      </c>
    </row>
    <row r="497" spans="1:7" ht="15">
      <c r="A497" s="97" t="s">
        <v>1275</v>
      </c>
      <c r="B497" s="96">
        <v>3</v>
      </c>
      <c r="C497" s="110">
        <v>0.0051860997089513035</v>
      </c>
      <c r="D497" s="96" t="s">
        <v>917</v>
      </c>
      <c r="E497" s="96" t="b">
        <v>0</v>
      </c>
      <c r="F497" s="96" t="b">
        <v>0</v>
      </c>
      <c r="G497" s="96" t="b">
        <v>0</v>
      </c>
    </row>
    <row r="498" spans="1:7" ht="15">
      <c r="A498" s="97" t="s">
        <v>1288</v>
      </c>
      <c r="B498" s="96">
        <v>3</v>
      </c>
      <c r="C498" s="110">
        <v>0.0051860997089513035</v>
      </c>
      <c r="D498" s="96" t="s">
        <v>917</v>
      </c>
      <c r="E498" s="96" t="b">
        <v>0</v>
      </c>
      <c r="F498" s="96" t="b">
        <v>0</v>
      </c>
      <c r="G498" s="96" t="b">
        <v>0</v>
      </c>
    </row>
    <row r="499" spans="1:7" ht="15">
      <c r="A499" s="97" t="s">
        <v>1266</v>
      </c>
      <c r="B499" s="96">
        <v>3</v>
      </c>
      <c r="C499" s="110">
        <v>0.0051860997089513035</v>
      </c>
      <c r="D499" s="96" t="s">
        <v>917</v>
      </c>
      <c r="E499" s="96" t="b">
        <v>0</v>
      </c>
      <c r="F499" s="96" t="b">
        <v>0</v>
      </c>
      <c r="G499" s="96" t="b">
        <v>0</v>
      </c>
    </row>
    <row r="500" spans="1:7" ht="15">
      <c r="A500" s="97" t="s">
        <v>1297</v>
      </c>
      <c r="B500" s="96">
        <v>3</v>
      </c>
      <c r="C500" s="110">
        <v>0.0051860997089513035</v>
      </c>
      <c r="D500" s="96" t="s">
        <v>917</v>
      </c>
      <c r="E500" s="96" t="b">
        <v>0</v>
      </c>
      <c r="F500" s="96" t="b">
        <v>0</v>
      </c>
      <c r="G500" s="96" t="b">
        <v>0</v>
      </c>
    </row>
    <row r="501" spans="1:7" ht="15">
      <c r="A501" s="97" t="s">
        <v>1255</v>
      </c>
      <c r="B501" s="96">
        <v>3</v>
      </c>
      <c r="C501" s="110">
        <v>0.0051860997089513035</v>
      </c>
      <c r="D501" s="96" t="s">
        <v>917</v>
      </c>
      <c r="E501" s="96" t="b">
        <v>0</v>
      </c>
      <c r="F501" s="96" t="b">
        <v>0</v>
      </c>
      <c r="G501" s="96" t="b">
        <v>0</v>
      </c>
    </row>
    <row r="502" spans="1:7" ht="15">
      <c r="A502" s="97" t="s">
        <v>1263</v>
      </c>
      <c r="B502" s="96">
        <v>3</v>
      </c>
      <c r="C502" s="110">
        <v>0.0051860997089513035</v>
      </c>
      <c r="D502" s="96" t="s">
        <v>917</v>
      </c>
      <c r="E502" s="96" t="b">
        <v>0</v>
      </c>
      <c r="F502" s="96" t="b">
        <v>0</v>
      </c>
      <c r="G502" s="96" t="b">
        <v>0</v>
      </c>
    </row>
    <row r="503" spans="1:7" ht="15">
      <c r="A503" s="97" t="s">
        <v>1326</v>
      </c>
      <c r="B503" s="96">
        <v>3</v>
      </c>
      <c r="C503" s="110">
        <v>0.0051860997089513035</v>
      </c>
      <c r="D503" s="96" t="s">
        <v>917</v>
      </c>
      <c r="E503" s="96" t="b">
        <v>0</v>
      </c>
      <c r="F503" s="96" t="b">
        <v>0</v>
      </c>
      <c r="G503" s="96" t="b">
        <v>0</v>
      </c>
    </row>
    <row r="504" spans="1:7" ht="15">
      <c r="A504" s="97" t="s">
        <v>1271</v>
      </c>
      <c r="B504" s="96">
        <v>3</v>
      </c>
      <c r="C504" s="110">
        <v>0.0051860997089513035</v>
      </c>
      <c r="D504" s="96" t="s">
        <v>917</v>
      </c>
      <c r="E504" s="96" t="b">
        <v>0</v>
      </c>
      <c r="F504" s="96" t="b">
        <v>0</v>
      </c>
      <c r="G504" s="96" t="b">
        <v>0</v>
      </c>
    </row>
    <row r="505" spans="1:7" ht="15">
      <c r="A505" s="97" t="s">
        <v>1329</v>
      </c>
      <c r="B505" s="96">
        <v>3</v>
      </c>
      <c r="C505" s="110">
        <v>0.0051860997089513035</v>
      </c>
      <c r="D505" s="96" t="s">
        <v>917</v>
      </c>
      <c r="E505" s="96" t="b">
        <v>0</v>
      </c>
      <c r="F505" s="96" t="b">
        <v>0</v>
      </c>
      <c r="G505" s="96" t="b">
        <v>0</v>
      </c>
    </row>
    <row r="506" spans="1:7" ht="15">
      <c r="A506" s="97" t="s">
        <v>1294</v>
      </c>
      <c r="B506" s="96">
        <v>3</v>
      </c>
      <c r="C506" s="110">
        <v>0.0051860997089513035</v>
      </c>
      <c r="D506" s="96" t="s">
        <v>917</v>
      </c>
      <c r="E506" s="96" t="b">
        <v>0</v>
      </c>
      <c r="F506" s="96" t="b">
        <v>0</v>
      </c>
      <c r="G506" s="96" t="b">
        <v>0</v>
      </c>
    </row>
    <row r="507" spans="1:7" ht="15">
      <c r="A507" s="97" t="s">
        <v>1264</v>
      </c>
      <c r="B507" s="96">
        <v>3</v>
      </c>
      <c r="C507" s="110">
        <v>0.0051860997089513035</v>
      </c>
      <c r="D507" s="96" t="s">
        <v>917</v>
      </c>
      <c r="E507" s="96" t="b">
        <v>0</v>
      </c>
      <c r="F507" s="96" t="b">
        <v>0</v>
      </c>
      <c r="G507" s="96" t="b">
        <v>0</v>
      </c>
    </row>
    <row r="508" spans="1:7" ht="15">
      <c r="A508" s="97" t="s">
        <v>1272</v>
      </c>
      <c r="B508" s="96">
        <v>3</v>
      </c>
      <c r="C508" s="110">
        <v>0.0051860997089513035</v>
      </c>
      <c r="D508" s="96" t="s">
        <v>917</v>
      </c>
      <c r="E508" s="96" t="b">
        <v>0</v>
      </c>
      <c r="F508" s="96" t="b">
        <v>0</v>
      </c>
      <c r="G508" s="96" t="b">
        <v>0</v>
      </c>
    </row>
    <row r="509" spans="1:7" ht="15">
      <c r="A509" s="97" t="s">
        <v>1281</v>
      </c>
      <c r="B509" s="96">
        <v>2</v>
      </c>
      <c r="C509" s="110">
        <v>0.003988595157568384</v>
      </c>
      <c r="D509" s="96" t="s">
        <v>917</v>
      </c>
      <c r="E509" s="96" t="b">
        <v>0</v>
      </c>
      <c r="F509" s="96" t="b">
        <v>0</v>
      </c>
      <c r="G509" s="96" t="b">
        <v>0</v>
      </c>
    </row>
    <row r="510" spans="1:7" ht="15">
      <c r="A510" s="97" t="s">
        <v>1303</v>
      </c>
      <c r="B510" s="96">
        <v>2</v>
      </c>
      <c r="C510" s="110">
        <v>0.003988595157568384</v>
      </c>
      <c r="D510" s="96" t="s">
        <v>917</v>
      </c>
      <c r="E510" s="96" t="b">
        <v>0</v>
      </c>
      <c r="F510" s="96" t="b">
        <v>0</v>
      </c>
      <c r="G510" s="96" t="b">
        <v>0</v>
      </c>
    </row>
    <row r="511" spans="1:7" ht="15">
      <c r="A511" s="97" t="s">
        <v>1304</v>
      </c>
      <c r="B511" s="96">
        <v>2</v>
      </c>
      <c r="C511" s="110">
        <v>0.003988595157568384</v>
      </c>
      <c r="D511" s="96" t="s">
        <v>917</v>
      </c>
      <c r="E511" s="96" t="b">
        <v>0</v>
      </c>
      <c r="F511" s="96" t="b">
        <v>0</v>
      </c>
      <c r="G511" s="96" t="b">
        <v>0</v>
      </c>
    </row>
    <row r="512" spans="1:7" ht="15">
      <c r="A512" s="97" t="s">
        <v>1305</v>
      </c>
      <c r="B512" s="96">
        <v>2</v>
      </c>
      <c r="C512" s="110">
        <v>0.003988595157568384</v>
      </c>
      <c r="D512" s="96" t="s">
        <v>917</v>
      </c>
      <c r="E512" s="96" t="b">
        <v>0</v>
      </c>
      <c r="F512" s="96" t="b">
        <v>0</v>
      </c>
      <c r="G512" s="96" t="b">
        <v>0</v>
      </c>
    </row>
    <row r="513" spans="1:7" ht="15">
      <c r="A513" s="97" t="s">
        <v>1282</v>
      </c>
      <c r="B513" s="96">
        <v>2</v>
      </c>
      <c r="C513" s="110">
        <v>0.003988595157568384</v>
      </c>
      <c r="D513" s="96" t="s">
        <v>917</v>
      </c>
      <c r="E513" s="96" t="b">
        <v>0</v>
      </c>
      <c r="F513" s="96" t="b">
        <v>0</v>
      </c>
      <c r="G513" s="96" t="b">
        <v>0</v>
      </c>
    </row>
    <row r="514" spans="1:7" ht="15">
      <c r="A514" s="97" t="s">
        <v>1015</v>
      </c>
      <c r="B514" s="96">
        <v>2</v>
      </c>
      <c r="C514" s="110">
        <v>0.003988595157568384</v>
      </c>
      <c r="D514" s="96" t="s">
        <v>917</v>
      </c>
      <c r="E514" s="96" t="b">
        <v>0</v>
      </c>
      <c r="F514" s="96" t="b">
        <v>0</v>
      </c>
      <c r="G514" s="96" t="b">
        <v>0</v>
      </c>
    </row>
    <row r="515" spans="1:7" ht="15">
      <c r="A515" s="97" t="s">
        <v>1306</v>
      </c>
      <c r="B515" s="96">
        <v>2</v>
      </c>
      <c r="C515" s="110">
        <v>0.003988595157568384</v>
      </c>
      <c r="D515" s="96" t="s">
        <v>917</v>
      </c>
      <c r="E515" s="96" t="b">
        <v>0</v>
      </c>
      <c r="F515" s="96" t="b">
        <v>0</v>
      </c>
      <c r="G515" s="96" t="b">
        <v>0</v>
      </c>
    </row>
    <row r="516" spans="1:7" ht="15">
      <c r="A516" s="97" t="s">
        <v>1307</v>
      </c>
      <c r="B516" s="96">
        <v>2</v>
      </c>
      <c r="C516" s="110">
        <v>0.003988595157568384</v>
      </c>
      <c r="D516" s="96" t="s">
        <v>917</v>
      </c>
      <c r="E516" s="96" t="b">
        <v>0</v>
      </c>
      <c r="F516" s="96" t="b">
        <v>0</v>
      </c>
      <c r="G516" s="96" t="b">
        <v>0</v>
      </c>
    </row>
    <row r="517" spans="1:7" ht="15">
      <c r="A517" s="97" t="s">
        <v>1363</v>
      </c>
      <c r="B517" s="96">
        <v>2</v>
      </c>
      <c r="C517" s="110">
        <v>0.003988595157568384</v>
      </c>
      <c r="D517" s="96" t="s">
        <v>917</v>
      </c>
      <c r="E517" s="96" t="b">
        <v>0</v>
      </c>
      <c r="F517" s="96" t="b">
        <v>0</v>
      </c>
      <c r="G517" s="96" t="b">
        <v>0</v>
      </c>
    </row>
    <row r="518" spans="1:7" ht="15">
      <c r="A518" s="97" t="s">
        <v>1395</v>
      </c>
      <c r="B518" s="96">
        <v>2</v>
      </c>
      <c r="C518" s="110">
        <v>0.003988595157568384</v>
      </c>
      <c r="D518" s="96" t="s">
        <v>917</v>
      </c>
      <c r="E518" s="96" t="b">
        <v>0</v>
      </c>
      <c r="F518" s="96" t="b">
        <v>0</v>
      </c>
      <c r="G518" s="96" t="b">
        <v>0</v>
      </c>
    </row>
    <row r="519" spans="1:7" ht="15">
      <c r="A519" s="97" t="s">
        <v>1309</v>
      </c>
      <c r="B519" s="96">
        <v>2</v>
      </c>
      <c r="C519" s="110">
        <v>0.003988595157568384</v>
      </c>
      <c r="D519" s="96" t="s">
        <v>917</v>
      </c>
      <c r="E519" s="96" t="b">
        <v>0</v>
      </c>
      <c r="F519" s="96" t="b">
        <v>0</v>
      </c>
      <c r="G519" s="96" t="b">
        <v>0</v>
      </c>
    </row>
    <row r="520" spans="1:7" ht="15">
      <c r="A520" s="97" t="s">
        <v>1310</v>
      </c>
      <c r="B520" s="96">
        <v>2</v>
      </c>
      <c r="C520" s="110">
        <v>0.003988595157568384</v>
      </c>
      <c r="D520" s="96" t="s">
        <v>917</v>
      </c>
      <c r="E520" s="96" t="b">
        <v>0</v>
      </c>
      <c r="F520" s="96" t="b">
        <v>0</v>
      </c>
      <c r="G520" s="96" t="b">
        <v>0</v>
      </c>
    </row>
    <row r="521" spans="1:7" ht="15">
      <c r="A521" s="97" t="s">
        <v>1311</v>
      </c>
      <c r="B521" s="96">
        <v>2</v>
      </c>
      <c r="C521" s="110">
        <v>0.003988595157568384</v>
      </c>
      <c r="D521" s="96" t="s">
        <v>917</v>
      </c>
      <c r="E521" s="96" t="b">
        <v>0</v>
      </c>
      <c r="F521" s="96" t="b">
        <v>0</v>
      </c>
      <c r="G521" s="96" t="b">
        <v>0</v>
      </c>
    </row>
    <row r="522" spans="1:7" ht="15">
      <c r="A522" s="97" t="s">
        <v>1402</v>
      </c>
      <c r="B522" s="96">
        <v>2</v>
      </c>
      <c r="C522" s="110">
        <v>0.003988595157568384</v>
      </c>
      <c r="D522" s="96" t="s">
        <v>917</v>
      </c>
      <c r="E522" s="96" t="b">
        <v>0</v>
      </c>
      <c r="F522" s="96" t="b">
        <v>0</v>
      </c>
      <c r="G522" s="96" t="b">
        <v>0</v>
      </c>
    </row>
    <row r="523" spans="1:7" ht="15">
      <c r="A523" s="97" t="s">
        <v>1403</v>
      </c>
      <c r="B523" s="96">
        <v>2</v>
      </c>
      <c r="C523" s="110">
        <v>0.004896679609043441</v>
      </c>
      <c r="D523" s="96" t="s">
        <v>917</v>
      </c>
      <c r="E523" s="96" t="b">
        <v>0</v>
      </c>
      <c r="F523" s="96" t="b">
        <v>0</v>
      </c>
      <c r="G523" s="96" t="b">
        <v>0</v>
      </c>
    </row>
    <row r="524" spans="1:7" ht="15">
      <c r="A524" s="97" t="s">
        <v>1313</v>
      </c>
      <c r="B524" s="96">
        <v>2</v>
      </c>
      <c r="C524" s="110">
        <v>0.003988595157568384</v>
      </c>
      <c r="D524" s="96" t="s">
        <v>917</v>
      </c>
      <c r="E524" s="96" t="b">
        <v>0</v>
      </c>
      <c r="F524" s="96" t="b">
        <v>0</v>
      </c>
      <c r="G524" s="96" t="b">
        <v>0</v>
      </c>
    </row>
    <row r="525" spans="1:7" ht="15">
      <c r="A525" s="97" t="s">
        <v>1314</v>
      </c>
      <c r="B525" s="96">
        <v>2</v>
      </c>
      <c r="C525" s="110">
        <v>0.003988595157568384</v>
      </c>
      <c r="D525" s="96" t="s">
        <v>917</v>
      </c>
      <c r="E525" s="96" t="b">
        <v>0</v>
      </c>
      <c r="F525" s="96" t="b">
        <v>0</v>
      </c>
      <c r="G525" s="96" t="b">
        <v>0</v>
      </c>
    </row>
    <row r="526" spans="1:7" ht="15">
      <c r="A526" s="97" t="s">
        <v>1404</v>
      </c>
      <c r="B526" s="96">
        <v>2</v>
      </c>
      <c r="C526" s="110">
        <v>0.003988595157568384</v>
      </c>
      <c r="D526" s="96" t="s">
        <v>917</v>
      </c>
      <c r="E526" s="96" t="b">
        <v>0</v>
      </c>
      <c r="F526" s="96" t="b">
        <v>0</v>
      </c>
      <c r="G526" s="96" t="b">
        <v>0</v>
      </c>
    </row>
    <row r="527" spans="1:7" ht="15">
      <c r="A527" s="97" t="s">
        <v>1284</v>
      </c>
      <c r="B527" s="96">
        <v>2</v>
      </c>
      <c r="C527" s="110">
        <v>0.003988595157568384</v>
      </c>
      <c r="D527" s="96" t="s">
        <v>917</v>
      </c>
      <c r="E527" s="96" t="b">
        <v>0</v>
      </c>
      <c r="F527" s="96" t="b">
        <v>0</v>
      </c>
      <c r="G527" s="96" t="b">
        <v>0</v>
      </c>
    </row>
    <row r="528" spans="1:7" ht="15">
      <c r="A528" s="97" t="s">
        <v>1276</v>
      </c>
      <c r="B528" s="96">
        <v>2</v>
      </c>
      <c r="C528" s="110">
        <v>0.003988595157568384</v>
      </c>
      <c r="D528" s="96" t="s">
        <v>917</v>
      </c>
      <c r="E528" s="96" t="b">
        <v>0</v>
      </c>
      <c r="F528" s="96" t="b">
        <v>0</v>
      </c>
      <c r="G528" s="96" t="b">
        <v>0</v>
      </c>
    </row>
    <row r="529" spans="1:7" ht="15">
      <c r="A529" s="97" t="s">
        <v>1316</v>
      </c>
      <c r="B529" s="96">
        <v>2</v>
      </c>
      <c r="C529" s="110">
        <v>0.003988595157568384</v>
      </c>
      <c r="D529" s="96" t="s">
        <v>917</v>
      </c>
      <c r="E529" s="96" t="b">
        <v>0</v>
      </c>
      <c r="F529" s="96" t="b">
        <v>0</v>
      </c>
      <c r="G529" s="96" t="b">
        <v>0</v>
      </c>
    </row>
    <row r="530" spans="1:7" ht="15">
      <c r="A530" s="97" t="s">
        <v>1408</v>
      </c>
      <c r="B530" s="96">
        <v>2</v>
      </c>
      <c r="C530" s="110">
        <v>0.003988595157568384</v>
      </c>
      <c r="D530" s="96" t="s">
        <v>917</v>
      </c>
      <c r="E530" s="96" t="b">
        <v>0</v>
      </c>
      <c r="F530" s="96" t="b">
        <v>0</v>
      </c>
      <c r="G530" s="96" t="b">
        <v>0</v>
      </c>
    </row>
    <row r="531" spans="1:7" ht="15">
      <c r="A531" s="97" t="s">
        <v>1409</v>
      </c>
      <c r="B531" s="96">
        <v>2</v>
      </c>
      <c r="C531" s="110">
        <v>0.003988595157568384</v>
      </c>
      <c r="D531" s="96" t="s">
        <v>917</v>
      </c>
      <c r="E531" s="96" t="b">
        <v>0</v>
      </c>
      <c r="F531" s="96" t="b">
        <v>0</v>
      </c>
      <c r="G531" s="96" t="b">
        <v>0</v>
      </c>
    </row>
    <row r="532" spans="1:7" ht="15">
      <c r="A532" s="97" t="s">
        <v>1277</v>
      </c>
      <c r="B532" s="96">
        <v>2</v>
      </c>
      <c r="C532" s="110">
        <v>0.003988595157568384</v>
      </c>
      <c r="D532" s="96" t="s">
        <v>917</v>
      </c>
      <c r="E532" s="96" t="b">
        <v>0</v>
      </c>
      <c r="F532" s="96" t="b">
        <v>0</v>
      </c>
      <c r="G532" s="96" t="b">
        <v>0</v>
      </c>
    </row>
    <row r="533" spans="1:7" ht="15">
      <c r="A533" s="97" t="s">
        <v>1285</v>
      </c>
      <c r="B533" s="96">
        <v>2</v>
      </c>
      <c r="C533" s="110">
        <v>0.003988595157568384</v>
      </c>
      <c r="D533" s="96" t="s">
        <v>917</v>
      </c>
      <c r="E533" s="96" t="b">
        <v>0</v>
      </c>
      <c r="F533" s="96" t="b">
        <v>0</v>
      </c>
      <c r="G533" s="96" t="b">
        <v>0</v>
      </c>
    </row>
    <row r="534" spans="1:7" ht="15">
      <c r="A534" s="97" t="s">
        <v>1373</v>
      </c>
      <c r="B534" s="96">
        <v>2</v>
      </c>
      <c r="C534" s="110">
        <v>0.003988595157568384</v>
      </c>
      <c r="D534" s="96" t="s">
        <v>917</v>
      </c>
      <c r="E534" s="96" t="b">
        <v>0</v>
      </c>
      <c r="F534" s="96" t="b">
        <v>0</v>
      </c>
      <c r="G534" s="96" t="b">
        <v>0</v>
      </c>
    </row>
    <row r="535" spans="1:7" ht="15">
      <c r="A535" s="97" t="s">
        <v>1318</v>
      </c>
      <c r="B535" s="96">
        <v>2</v>
      </c>
      <c r="C535" s="110">
        <v>0.003988595157568384</v>
      </c>
      <c r="D535" s="96" t="s">
        <v>917</v>
      </c>
      <c r="E535" s="96" t="b">
        <v>0</v>
      </c>
      <c r="F535" s="96" t="b">
        <v>0</v>
      </c>
      <c r="G535" s="96" t="b">
        <v>0</v>
      </c>
    </row>
    <row r="536" spans="1:7" ht="15">
      <c r="A536" s="97" t="s">
        <v>1278</v>
      </c>
      <c r="B536" s="96">
        <v>2</v>
      </c>
      <c r="C536" s="110">
        <v>0.003988595157568384</v>
      </c>
      <c r="D536" s="96" t="s">
        <v>917</v>
      </c>
      <c r="E536" s="96" t="b">
        <v>0</v>
      </c>
      <c r="F536" s="96" t="b">
        <v>0</v>
      </c>
      <c r="G536" s="96" t="b">
        <v>0</v>
      </c>
    </row>
    <row r="537" spans="1:7" ht="15">
      <c r="A537" s="97" t="s">
        <v>987</v>
      </c>
      <c r="B537" s="96">
        <v>2</v>
      </c>
      <c r="C537" s="110">
        <v>0.003988595157568384</v>
      </c>
      <c r="D537" s="96" t="s">
        <v>917</v>
      </c>
      <c r="E537" s="96" t="b">
        <v>0</v>
      </c>
      <c r="F537" s="96" t="b">
        <v>0</v>
      </c>
      <c r="G537" s="96" t="b">
        <v>0</v>
      </c>
    </row>
    <row r="538" spans="1:7" ht="15">
      <c r="A538" s="97" t="s">
        <v>1320</v>
      </c>
      <c r="B538" s="96">
        <v>2</v>
      </c>
      <c r="C538" s="110">
        <v>0.003988595157568384</v>
      </c>
      <c r="D538" s="96" t="s">
        <v>917</v>
      </c>
      <c r="E538" s="96" t="b">
        <v>0</v>
      </c>
      <c r="F538" s="96" t="b">
        <v>0</v>
      </c>
      <c r="G538" s="96" t="b">
        <v>0</v>
      </c>
    </row>
    <row r="539" spans="1:7" ht="15">
      <c r="A539" s="97" t="s">
        <v>1270</v>
      </c>
      <c r="B539" s="96">
        <v>2</v>
      </c>
      <c r="C539" s="110">
        <v>0.003988595157568384</v>
      </c>
      <c r="D539" s="96" t="s">
        <v>917</v>
      </c>
      <c r="E539" s="96" t="b">
        <v>0</v>
      </c>
      <c r="F539" s="96" t="b">
        <v>0</v>
      </c>
      <c r="G539" s="96" t="b">
        <v>0</v>
      </c>
    </row>
    <row r="540" spans="1:7" ht="15">
      <c r="A540" s="97" t="s">
        <v>1321</v>
      </c>
      <c r="B540" s="96">
        <v>2</v>
      </c>
      <c r="C540" s="110">
        <v>0.003988595157568384</v>
      </c>
      <c r="D540" s="96" t="s">
        <v>917</v>
      </c>
      <c r="E540" s="96" t="b">
        <v>0</v>
      </c>
      <c r="F540" s="96" t="b">
        <v>0</v>
      </c>
      <c r="G540" s="96" t="b">
        <v>0</v>
      </c>
    </row>
    <row r="541" spans="1:7" ht="15">
      <c r="A541" s="97" t="s">
        <v>1296</v>
      </c>
      <c r="B541" s="96">
        <v>2</v>
      </c>
      <c r="C541" s="110">
        <v>0.003988595157568384</v>
      </c>
      <c r="D541" s="96" t="s">
        <v>917</v>
      </c>
      <c r="E541" s="96" t="b">
        <v>0</v>
      </c>
      <c r="F541" s="96" t="b">
        <v>0</v>
      </c>
      <c r="G541" s="96" t="b">
        <v>0</v>
      </c>
    </row>
    <row r="542" spans="1:7" ht="15">
      <c r="A542" s="97" t="s">
        <v>1323</v>
      </c>
      <c r="B542" s="96">
        <v>2</v>
      </c>
      <c r="C542" s="110">
        <v>0.003988595157568384</v>
      </c>
      <c r="D542" s="96" t="s">
        <v>917</v>
      </c>
      <c r="E542" s="96" t="b">
        <v>0</v>
      </c>
      <c r="F542" s="96" t="b">
        <v>0</v>
      </c>
      <c r="G542" s="96" t="b">
        <v>0</v>
      </c>
    </row>
    <row r="543" spans="1:7" ht="15">
      <c r="A543" s="97" t="s">
        <v>1377</v>
      </c>
      <c r="B543" s="96">
        <v>2</v>
      </c>
      <c r="C543" s="110">
        <v>0.003988595157568384</v>
      </c>
      <c r="D543" s="96" t="s">
        <v>917</v>
      </c>
      <c r="E543" s="96" t="b">
        <v>0</v>
      </c>
      <c r="F543" s="96" t="b">
        <v>0</v>
      </c>
      <c r="G543" s="96" t="b">
        <v>0</v>
      </c>
    </row>
    <row r="544" spans="1:7" ht="15">
      <c r="A544" s="97" t="s">
        <v>1292</v>
      </c>
      <c r="B544" s="96">
        <v>2</v>
      </c>
      <c r="C544" s="110">
        <v>0.003988595157568384</v>
      </c>
      <c r="D544" s="96" t="s">
        <v>917</v>
      </c>
      <c r="E544" s="96" t="b">
        <v>0</v>
      </c>
      <c r="F544" s="96" t="b">
        <v>0</v>
      </c>
      <c r="G544" s="96" t="b">
        <v>0</v>
      </c>
    </row>
    <row r="545" spans="1:7" ht="15">
      <c r="A545" s="97" t="s">
        <v>1324</v>
      </c>
      <c r="B545" s="96">
        <v>2</v>
      </c>
      <c r="C545" s="110">
        <v>0.003988595157568384</v>
      </c>
      <c r="D545" s="96" t="s">
        <v>917</v>
      </c>
      <c r="E545" s="96" t="b">
        <v>0</v>
      </c>
      <c r="F545" s="96" t="b">
        <v>0</v>
      </c>
      <c r="G545" s="96" t="b">
        <v>0</v>
      </c>
    </row>
    <row r="546" spans="1:7" ht="15">
      <c r="A546" s="97" t="s">
        <v>1325</v>
      </c>
      <c r="B546" s="96">
        <v>2</v>
      </c>
      <c r="C546" s="110">
        <v>0.003988595157568384</v>
      </c>
      <c r="D546" s="96" t="s">
        <v>917</v>
      </c>
      <c r="E546" s="96" t="b">
        <v>0</v>
      </c>
      <c r="F546" s="96" t="b">
        <v>0</v>
      </c>
      <c r="G546" s="96" t="b">
        <v>0</v>
      </c>
    </row>
    <row r="547" spans="1:7" ht="15">
      <c r="A547" s="97" t="s">
        <v>1415</v>
      </c>
      <c r="B547" s="96">
        <v>2</v>
      </c>
      <c r="C547" s="110">
        <v>0.003988595157568384</v>
      </c>
      <c r="D547" s="96" t="s">
        <v>917</v>
      </c>
      <c r="E547" s="96" t="b">
        <v>0</v>
      </c>
      <c r="F547" s="96" t="b">
        <v>0</v>
      </c>
      <c r="G547" s="96" t="b">
        <v>0</v>
      </c>
    </row>
    <row r="548" spans="1:7" ht="15">
      <c r="A548" s="97" t="s">
        <v>1293</v>
      </c>
      <c r="B548" s="96">
        <v>2</v>
      </c>
      <c r="C548" s="110">
        <v>0.003988595157568384</v>
      </c>
      <c r="D548" s="96" t="s">
        <v>917</v>
      </c>
      <c r="E548" s="96" t="b">
        <v>0</v>
      </c>
      <c r="F548" s="96" t="b">
        <v>0</v>
      </c>
      <c r="G548" s="96" t="b">
        <v>0</v>
      </c>
    </row>
    <row r="549" spans="1:7" ht="15">
      <c r="A549" s="97" t="s">
        <v>1286</v>
      </c>
      <c r="B549" s="96">
        <v>2</v>
      </c>
      <c r="C549" s="110">
        <v>0.003988595157568384</v>
      </c>
      <c r="D549" s="96" t="s">
        <v>917</v>
      </c>
      <c r="E549" s="96" t="b">
        <v>0</v>
      </c>
      <c r="F549" s="96" t="b">
        <v>0</v>
      </c>
      <c r="G549" s="96" t="b">
        <v>0</v>
      </c>
    </row>
    <row r="550" spans="1:7" ht="15">
      <c r="A550" s="97" t="s">
        <v>1327</v>
      </c>
      <c r="B550" s="96">
        <v>2</v>
      </c>
      <c r="C550" s="110">
        <v>0.003988595157568384</v>
      </c>
      <c r="D550" s="96" t="s">
        <v>917</v>
      </c>
      <c r="E550" s="96" t="b">
        <v>0</v>
      </c>
      <c r="F550" s="96" t="b">
        <v>0</v>
      </c>
      <c r="G550" s="96" t="b">
        <v>0</v>
      </c>
    </row>
    <row r="551" spans="1:7" ht="15">
      <c r="A551" s="97" t="s">
        <v>1346</v>
      </c>
      <c r="B551" s="96">
        <v>2</v>
      </c>
      <c r="C551" s="110">
        <v>0.003988595157568384</v>
      </c>
      <c r="D551" s="96" t="s">
        <v>917</v>
      </c>
      <c r="E551" s="96" t="b">
        <v>0</v>
      </c>
      <c r="F551" s="96" t="b">
        <v>0</v>
      </c>
      <c r="G551" s="96" t="b">
        <v>0</v>
      </c>
    </row>
    <row r="552" spans="1:7" ht="15">
      <c r="A552" s="97" t="s">
        <v>1279</v>
      </c>
      <c r="B552" s="96">
        <v>2</v>
      </c>
      <c r="C552" s="110">
        <v>0.003988595157568384</v>
      </c>
      <c r="D552" s="96" t="s">
        <v>917</v>
      </c>
      <c r="E552" s="96" t="b">
        <v>0</v>
      </c>
      <c r="F552" s="96" t="b">
        <v>0</v>
      </c>
      <c r="G552" s="96" t="b">
        <v>0</v>
      </c>
    </row>
    <row r="553" spans="1:7" ht="15">
      <c r="A553" s="97" t="s">
        <v>1421</v>
      </c>
      <c r="B553" s="96">
        <v>2</v>
      </c>
      <c r="C553" s="110">
        <v>0.003988595157568384</v>
      </c>
      <c r="D553" s="96" t="s">
        <v>917</v>
      </c>
      <c r="E553" s="96" t="b">
        <v>0</v>
      </c>
      <c r="F553" s="96" t="b">
        <v>0</v>
      </c>
      <c r="G553" s="96" t="b">
        <v>0</v>
      </c>
    </row>
    <row r="554" spans="1:7" ht="15">
      <c r="A554" s="97" t="s">
        <v>1328</v>
      </c>
      <c r="B554" s="96">
        <v>2</v>
      </c>
      <c r="C554" s="110">
        <v>0.003988595157568384</v>
      </c>
      <c r="D554" s="96" t="s">
        <v>917</v>
      </c>
      <c r="E554" s="96" t="b">
        <v>0</v>
      </c>
      <c r="F554" s="96" t="b">
        <v>0</v>
      </c>
      <c r="G554" s="96" t="b">
        <v>0</v>
      </c>
    </row>
    <row r="555" spans="1:7" ht="15">
      <c r="A555" s="97" t="s">
        <v>1332</v>
      </c>
      <c r="B555" s="96">
        <v>2</v>
      </c>
      <c r="C555" s="110">
        <v>0.003988595157568384</v>
      </c>
      <c r="D555" s="96" t="s">
        <v>917</v>
      </c>
      <c r="E555" s="96" t="b">
        <v>0</v>
      </c>
      <c r="F555" s="96" t="b">
        <v>0</v>
      </c>
      <c r="G555" s="96" t="b">
        <v>0</v>
      </c>
    </row>
    <row r="556" spans="1:7" ht="15">
      <c r="A556" s="97" t="s">
        <v>1425</v>
      </c>
      <c r="B556" s="96">
        <v>2</v>
      </c>
      <c r="C556" s="110">
        <v>0.003988595157568384</v>
      </c>
      <c r="D556" s="96" t="s">
        <v>917</v>
      </c>
      <c r="E556" s="96" t="b">
        <v>1</v>
      </c>
      <c r="F556" s="96" t="b">
        <v>0</v>
      </c>
      <c r="G556" s="96" t="b">
        <v>0</v>
      </c>
    </row>
    <row r="557" spans="1:7" ht="15">
      <c r="A557" s="97" t="s">
        <v>1352</v>
      </c>
      <c r="B557" s="96">
        <v>2</v>
      </c>
      <c r="C557" s="110">
        <v>0.003988595157568384</v>
      </c>
      <c r="D557" s="96" t="s">
        <v>917</v>
      </c>
      <c r="E557" s="96" t="b">
        <v>0</v>
      </c>
      <c r="F557" s="96" t="b">
        <v>0</v>
      </c>
      <c r="G557" s="96" t="b">
        <v>0</v>
      </c>
    </row>
    <row r="558" spans="1:7" ht="15">
      <c r="A558" s="97" t="s">
        <v>1000</v>
      </c>
      <c r="B558" s="96">
        <v>10</v>
      </c>
      <c r="C558" s="110">
        <v>0</v>
      </c>
      <c r="D558" s="96" t="s">
        <v>918</v>
      </c>
      <c r="E558" s="96" t="b">
        <v>0</v>
      </c>
      <c r="F558" s="96" t="b">
        <v>0</v>
      </c>
      <c r="G558" s="96" t="b">
        <v>0</v>
      </c>
    </row>
    <row r="559" spans="1:7" ht="15">
      <c r="A559" s="97" t="s">
        <v>1022</v>
      </c>
      <c r="B559" s="96">
        <v>4</v>
      </c>
      <c r="C559" s="110">
        <v>0.016242449333552553</v>
      </c>
      <c r="D559" s="96" t="s">
        <v>918</v>
      </c>
      <c r="E559" s="96" t="b">
        <v>0</v>
      </c>
      <c r="F559" s="96" t="b">
        <v>0</v>
      </c>
      <c r="G559" s="96" t="b">
        <v>0</v>
      </c>
    </row>
    <row r="560" spans="1:7" ht="15">
      <c r="A560" s="97" t="s">
        <v>1023</v>
      </c>
      <c r="B560" s="96">
        <v>4</v>
      </c>
      <c r="C560" s="110">
        <v>0.016242449333552553</v>
      </c>
      <c r="D560" s="96" t="s">
        <v>918</v>
      </c>
      <c r="E560" s="96" t="b">
        <v>0</v>
      </c>
      <c r="F560" s="96" t="b">
        <v>0</v>
      </c>
      <c r="G560" s="96" t="b">
        <v>0</v>
      </c>
    </row>
    <row r="561" spans="1:7" ht="15">
      <c r="A561" s="97" t="s">
        <v>1021</v>
      </c>
      <c r="B561" s="96">
        <v>4</v>
      </c>
      <c r="C561" s="110">
        <v>0.016242449333552553</v>
      </c>
      <c r="D561" s="96" t="s">
        <v>918</v>
      </c>
      <c r="E561" s="96" t="b">
        <v>0</v>
      </c>
      <c r="F561" s="96" t="b">
        <v>0</v>
      </c>
      <c r="G561" s="96" t="b">
        <v>0</v>
      </c>
    </row>
    <row r="562" spans="1:7" ht="15">
      <c r="A562" s="97" t="s">
        <v>982</v>
      </c>
      <c r="B562" s="96">
        <v>4</v>
      </c>
      <c r="C562" s="110">
        <v>0.016242449333552553</v>
      </c>
      <c r="D562" s="96" t="s">
        <v>918</v>
      </c>
      <c r="E562" s="96" t="b">
        <v>0</v>
      </c>
      <c r="F562" s="96" t="b">
        <v>0</v>
      </c>
      <c r="G562" s="96" t="b">
        <v>0</v>
      </c>
    </row>
    <row r="563" spans="1:7" ht="15">
      <c r="A563" s="97" t="s">
        <v>1020</v>
      </c>
      <c r="B563" s="96">
        <v>4</v>
      </c>
      <c r="C563" s="110">
        <v>0.0285293879320824</v>
      </c>
      <c r="D563" s="96" t="s">
        <v>918</v>
      </c>
      <c r="E563" s="96" t="b">
        <v>0</v>
      </c>
      <c r="F563" s="96" t="b">
        <v>0</v>
      </c>
      <c r="G563" s="96" t="b">
        <v>0</v>
      </c>
    </row>
    <row r="564" spans="1:7" ht="15">
      <c r="A564" s="97" t="s">
        <v>1019</v>
      </c>
      <c r="B564" s="96">
        <v>4</v>
      </c>
      <c r="C564" s="110">
        <v>0.016242449333552553</v>
      </c>
      <c r="D564" s="96" t="s">
        <v>918</v>
      </c>
      <c r="E564" s="96" t="b">
        <v>0</v>
      </c>
      <c r="F564" s="96" t="b">
        <v>0</v>
      </c>
      <c r="G564" s="96" t="b">
        <v>0</v>
      </c>
    </row>
    <row r="565" spans="1:7" ht="15">
      <c r="A565" s="97" t="s">
        <v>1360</v>
      </c>
      <c r="B565" s="96">
        <v>2</v>
      </c>
      <c r="C565" s="110">
        <v>0.0142646939660412</v>
      </c>
      <c r="D565" s="96" t="s">
        <v>918</v>
      </c>
      <c r="E565" s="96" t="b">
        <v>0</v>
      </c>
      <c r="F565" s="96" t="b">
        <v>0</v>
      </c>
      <c r="G565" s="96" t="b">
        <v>0</v>
      </c>
    </row>
    <row r="566" spans="1:7" ht="15">
      <c r="A566" s="97" t="s">
        <v>1003</v>
      </c>
      <c r="B566" s="96">
        <v>2</v>
      </c>
      <c r="C566" s="110">
        <v>0.0142646939660412</v>
      </c>
      <c r="D566" s="96" t="s">
        <v>918</v>
      </c>
      <c r="E566" s="96" t="b">
        <v>0</v>
      </c>
      <c r="F566" s="96" t="b">
        <v>0</v>
      </c>
      <c r="G566" s="96" t="b">
        <v>0</v>
      </c>
    </row>
    <row r="567" spans="1:7" ht="15">
      <c r="A567" s="97" t="s">
        <v>1369</v>
      </c>
      <c r="B567" s="96">
        <v>2</v>
      </c>
      <c r="C567" s="110">
        <v>0.0142646939660412</v>
      </c>
      <c r="D567" s="96" t="s">
        <v>918</v>
      </c>
      <c r="E567" s="96" t="b">
        <v>0</v>
      </c>
      <c r="F567" s="96" t="b">
        <v>0</v>
      </c>
      <c r="G567" s="96" t="b">
        <v>0</v>
      </c>
    </row>
    <row r="568" spans="1:7" ht="15">
      <c r="A568" s="97" t="s">
        <v>1354</v>
      </c>
      <c r="B568" s="96">
        <v>2</v>
      </c>
      <c r="C568" s="110">
        <v>0.0142646939660412</v>
      </c>
      <c r="D568" s="96" t="s">
        <v>918</v>
      </c>
      <c r="E568" s="96" t="b">
        <v>0</v>
      </c>
      <c r="F568" s="96" t="b">
        <v>0</v>
      </c>
      <c r="G568" s="96" t="b">
        <v>0</v>
      </c>
    </row>
    <row r="569" spans="1:7" ht="15">
      <c r="A569" s="97" t="s">
        <v>1024</v>
      </c>
      <c r="B569" s="96">
        <v>2</v>
      </c>
      <c r="C569" s="110">
        <v>0.0142646939660412</v>
      </c>
      <c r="D569" s="96" t="s">
        <v>918</v>
      </c>
      <c r="E569" s="96" t="b">
        <v>0</v>
      </c>
      <c r="F569" s="96" t="b">
        <v>0</v>
      </c>
      <c r="G569" s="96" t="b">
        <v>0</v>
      </c>
    </row>
    <row r="570" spans="1:7" ht="15">
      <c r="A570" s="97" t="s">
        <v>1381</v>
      </c>
      <c r="B570" s="96">
        <v>2</v>
      </c>
      <c r="C570" s="110">
        <v>0.0142646939660412</v>
      </c>
      <c r="D570" s="96" t="s">
        <v>918</v>
      </c>
      <c r="E570" s="96" t="b">
        <v>0</v>
      </c>
      <c r="F570" s="96" t="b">
        <v>0</v>
      </c>
      <c r="G570" s="96" t="b">
        <v>0</v>
      </c>
    </row>
    <row r="571" spans="1:7" ht="15">
      <c r="A571" s="97" t="s">
        <v>1002</v>
      </c>
      <c r="B571" s="96">
        <v>2</v>
      </c>
      <c r="C571" s="110">
        <v>0.0142646939660412</v>
      </c>
      <c r="D571" s="96" t="s">
        <v>918</v>
      </c>
      <c r="E571" s="96" t="b">
        <v>0</v>
      </c>
      <c r="F571" s="96" t="b">
        <v>0</v>
      </c>
      <c r="G571" s="96" t="b">
        <v>0</v>
      </c>
    </row>
    <row r="572" spans="1:7" ht="15">
      <c r="A572" s="97" t="s">
        <v>1361</v>
      </c>
      <c r="B572" s="96">
        <v>2</v>
      </c>
      <c r="C572" s="110">
        <v>0.0142646939660412</v>
      </c>
      <c r="D572" s="96" t="s">
        <v>918</v>
      </c>
      <c r="E572" s="96" t="b">
        <v>0</v>
      </c>
      <c r="F572" s="96" t="b">
        <v>0</v>
      </c>
      <c r="G572" s="96" t="b">
        <v>0</v>
      </c>
    </row>
    <row r="573" spans="1:7" ht="15">
      <c r="A573" s="97" t="s">
        <v>1359</v>
      </c>
      <c r="B573" s="96">
        <v>2</v>
      </c>
      <c r="C573" s="110">
        <v>0.0142646939660412</v>
      </c>
      <c r="D573" s="96" t="s">
        <v>918</v>
      </c>
      <c r="E573" s="96" t="b">
        <v>0</v>
      </c>
      <c r="F573" s="96" t="b">
        <v>0</v>
      </c>
      <c r="G573" s="96" t="b">
        <v>0</v>
      </c>
    </row>
    <row r="574" spans="1:7" ht="15">
      <c r="A574" s="97" t="s">
        <v>1357</v>
      </c>
      <c r="B574" s="96">
        <v>2</v>
      </c>
      <c r="C574" s="110">
        <v>0.0142646939660412</v>
      </c>
      <c r="D574" s="96" t="s">
        <v>918</v>
      </c>
      <c r="E574" s="96" t="b">
        <v>0</v>
      </c>
      <c r="F574" s="96" t="b">
        <v>0</v>
      </c>
      <c r="G574" s="96" t="b">
        <v>0</v>
      </c>
    </row>
    <row r="575" spans="1:7" ht="15">
      <c r="A575" s="97" t="s">
        <v>1382</v>
      </c>
      <c r="B575" s="96">
        <v>2</v>
      </c>
      <c r="C575" s="110">
        <v>0.0142646939660412</v>
      </c>
      <c r="D575" s="96" t="s">
        <v>918</v>
      </c>
      <c r="E575" s="96" t="b">
        <v>0</v>
      </c>
      <c r="F575" s="96" t="b">
        <v>0</v>
      </c>
      <c r="G575" s="96" t="b">
        <v>0</v>
      </c>
    </row>
    <row r="576" spans="1:7" ht="15">
      <c r="A576" s="97" t="s">
        <v>1001</v>
      </c>
      <c r="B576" s="96">
        <v>2</v>
      </c>
      <c r="C576" s="110">
        <v>0.0142646939660412</v>
      </c>
      <c r="D576" s="96" t="s">
        <v>918</v>
      </c>
      <c r="E576" s="96" t="b">
        <v>0</v>
      </c>
      <c r="F576" s="96" t="b">
        <v>0</v>
      </c>
      <c r="G576" s="96" t="b">
        <v>0</v>
      </c>
    </row>
    <row r="577" spans="1:7" ht="15">
      <c r="A577" s="97" t="s">
        <v>1386</v>
      </c>
      <c r="B577" s="96">
        <v>2</v>
      </c>
      <c r="C577" s="110">
        <v>0.0142646939660412</v>
      </c>
      <c r="D577" s="96" t="s">
        <v>918</v>
      </c>
      <c r="E577" s="96" t="b">
        <v>0</v>
      </c>
      <c r="F577" s="96" t="b">
        <v>0</v>
      </c>
      <c r="G577" s="96" t="b">
        <v>0</v>
      </c>
    </row>
    <row r="578" spans="1:7" ht="15">
      <c r="A578" s="97" t="s">
        <v>1025</v>
      </c>
      <c r="B578" s="96">
        <v>2</v>
      </c>
      <c r="C578" s="110">
        <v>0.0142646939660412</v>
      </c>
      <c r="D578" s="96" t="s">
        <v>918</v>
      </c>
      <c r="E578" s="96" t="b">
        <v>0</v>
      </c>
      <c r="F578" s="96" t="b">
        <v>0</v>
      </c>
      <c r="G578" s="96" t="b">
        <v>0</v>
      </c>
    </row>
    <row r="579" spans="1:7" ht="15">
      <c r="A579" s="97" t="s">
        <v>1368</v>
      </c>
      <c r="B579" s="96">
        <v>2</v>
      </c>
      <c r="C579" s="110">
        <v>0.0142646939660412</v>
      </c>
      <c r="D579" s="96" t="s">
        <v>918</v>
      </c>
      <c r="E579" s="96" t="b">
        <v>0</v>
      </c>
      <c r="F579" s="96" t="b">
        <v>0</v>
      </c>
      <c r="G579" s="96" t="b">
        <v>0</v>
      </c>
    </row>
    <row r="580" spans="1:7" ht="15">
      <c r="A580" s="97" t="s">
        <v>1258</v>
      </c>
      <c r="B580" s="96">
        <v>2</v>
      </c>
      <c r="C580" s="110">
        <v>0.0142646939660412</v>
      </c>
      <c r="D580" s="96" t="s">
        <v>918</v>
      </c>
      <c r="E580" s="96" t="b">
        <v>0</v>
      </c>
      <c r="F580" s="96" t="b">
        <v>0</v>
      </c>
      <c r="G580" s="96" t="b">
        <v>0</v>
      </c>
    </row>
    <row r="581" spans="1:7" ht="15">
      <c r="A581" s="97" t="s">
        <v>1365</v>
      </c>
      <c r="B581" s="96">
        <v>2</v>
      </c>
      <c r="C581" s="110">
        <v>0.0142646939660412</v>
      </c>
      <c r="D581" s="96" t="s">
        <v>918</v>
      </c>
      <c r="E581" s="96" t="b">
        <v>0</v>
      </c>
      <c r="F581" s="96" t="b">
        <v>0</v>
      </c>
      <c r="G581" s="9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A006A-F854-425C-8B2D-01584EDCC40C}">
  <dimension ref="A1:L63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1440</v>
      </c>
      <c r="B1" s="7" t="s">
        <v>1441</v>
      </c>
      <c r="C1" s="7" t="s">
        <v>1431</v>
      </c>
      <c r="D1" s="7" t="s">
        <v>1435</v>
      </c>
      <c r="E1" s="7" t="s">
        <v>1442</v>
      </c>
      <c r="F1" s="7" t="s">
        <v>144</v>
      </c>
      <c r="G1" s="7" t="s">
        <v>1443</v>
      </c>
      <c r="H1" s="7" t="s">
        <v>1444</v>
      </c>
      <c r="I1" s="7" t="s">
        <v>1445</v>
      </c>
      <c r="J1" s="7" t="s">
        <v>1446</v>
      </c>
      <c r="K1" s="7" t="s">
        <v>1447</v>
      </c>
      <c r="L1" s="7" t="s">
        <v>1448</v>
      </c>
    </row>
    <row r="2" spans="1:12" ht="15">
      <c r="A2" s="96" t="s">
        <v>982</v>
      </c>
      <c r="B2" s="96" t="s">
        <v>1003</v>
      </c>
      <c r="C2" s="96">
        <v>41</v>
      </c>
      <c r="D2" s="110">
        <v>0.010800103131173213</v>
      </c>
      <c r="E2" s="110">
        <v>1.4094266694047775</v>
      </c>
      <c r="F2" s="96" t="s">
        <v>1436</v>
      </c>
      <c r="G2" s="96" t="b">
        <v>0</v>
      </c>
      <c r="H2" s="96" t="b">
        <v>0</v>
      </c>
      <c r="I2" s="96" t="b">
        <v>0</v>
      </c>
      <c r="J2" s="96" t="b">
        <v>0</v>
      </c>
      <c r="K2" s="96" t="b">
        <v>0</v>
      </c>
      <c r="L2" s="96" t="b">
        <v>0</v>
      </c>
    </row>
    <row r="3" spans="1:12" ht="15">
      <c r="A3" s="97" t="s">
        <v>1003</v>
      </c>
      <c r="B3" s="96" t="s">
        <v>1004</v>
      </c>
      <c r="C3" s="96">
        <v>41</v>
      </c>
      <c r="D3" s="110">
        <v>0.010800103131173213</v>
      </c>
      <c r="E3" s="110">
        <v>1.5600708062479793</v>
      </c>
      <c r="F3" s="96" t="s">
        <v>1436</v>
      </c>
      <c r="G3" s="96" t="b">
        <v>0</v>
      </c>
      <c r="H3" s="96" t="b">
        <v>0</v>
      </c>
      <c r="I3" s="96" t="b">
        <v>0</v>
      </c>
      <c r="J3" s="96" t="b">
        <v>0</v>
      </c>
      <c r="K3" s="96" t="b">
        <v>0</v>
      </c>
      <c r="L3" s="96" t="b">
        <v>0</v>
      </c>
    </row>
    <row r="4" spans="1:12" ht="15">
      <c r="A4" s="97" t="s">
        <v>1001</v>
      </c>
      <c r="B4" s="96" t="s">
        <v>1002</v>
      </c>
      <c r="C4" s="96">
        <v>40</v>
      </c>
      <c r="D4" s="110">
        <v>0.010752349438480531</v>
      </c>
      <c r="E4" s="110">
        <v>1.45472762570306</v>
      </c>
      <c r="F4" s="96" t="s">
        <v>1436</v>
      </c>
      <c r="G4" s="96" t="b">
        <v>0</v>
      </c>
      <c r="H4" s="96" t="b">
        <v>0</v>
      </c>
      <c r="I4" s="96" t="b">
        <v>0</v>
      </c>
      <c r="J4" s="96" t="b">
        <v>0</v>
      </c>
      <c r="K4" s="96" t="b">
        <v>0</v>
      </c>
      <c r="L4" s="96" t="b">
        <v>0</v>
      </c>
    </row>
    <row r="5" spans="1:12" ht="15">
      <c r="A5" s="97" t="s">
        <v>1000</v>
      </c>
      <c r="B5" s="96" t="s">
        <v>982</v>
      </c>
      <c r="C5" s="96">
        <v>36</v>
      </c>
      <c r="D5" s="110">
        <v>0.010505304369033838</v>
      </c>
      <c r="E5" s="110">
        <v>0.9790936823065639</v>
      </c>
      <c r="F5" s="96" t="s">
        <v>1436</v>
      </c>
      <c r="G5" s="96" t="b">
        <v>0</v>
      </c>
      <c r="H5" s="96" t="b">
        <v>0</v>
      </c>
      <c r="I5" s="96" t="b">
        <v>0</v>
      </c>
      <c r="J5" s="96" t="b">
        <v>0</v>
      </c>
      <c r="K5" s="96" t="b">
        <v>0</v>
      </c>
      <c r="L5" s="96" t="b">
        <v>0</v>
      </c>
    </row>
    <row r="6" spans="1:12" ht="15">
      <c r="A6" s="97" t="s">
        <v>1004</v>
      </c>
      <c r="B6" s="96" t="s">
        <v>1001</v>
      </c>
      <c r="C6" s="96">
        <v>30</v>
      </c>
      <c r="D6" s="110">
        <v>0.009948707578231438</v>
      </c>
      <c r="E6" s="110">
        <v>1.4159750367110433</v>
      </c>
      <c r="F6" s="96" t="s">
        <v>1436</v>
      </c>
      <c r="G6" s="96" t="b">
        <v>0</v>
      </c>
      <c r="H6" s="96" t="b">
        <v>0</v>
      </c>
      <c r="I6" s="96" t="b">
        <v>0</v>
      </c>
      <c r="J6" s="96" t="b">
        <v>0</v>
      </c>
      <c r="K6" s="96" t="b">
        <v>0</v>
      </c>
      <c r="L6" s="96" t="b">
        <v>0</v>
      </c>
    </row>
    <row r="7" spans="1:12" ht="15">
      <c r="A7" s="97" t="s">
        <v>1006</v>
      </c>
      <c r="B7" s="96" t="s">
        <v>875</v>
      </c>
      <c r="C7" s="96">
        <v>30</v>
      </c>
      <c r="D7" s="110">
        <v>0.009948707578231438</v>
      </c>
      <c r="E7" s="110">
        <v>1.7093324988810297</v>
      </c>
      <c r="F7" s="96" t="s">
        <v>1436</v>
      </c>
      <c r="G7" s="96" t="b">
        <v>0</v>
      </c>
      <c r="H7" s="96" t="b">
        <v>0</v>
      </c>
      <c r="I7" s="96" t="b">
        <v>0</v>
      </c>
      <c r="J7" s="96" t="b">
        <v>0</v>
      </c>
      <c r="K7" s="96" t="b">
        <v>0</v>
      </c>
      <c r="L7" s="96" t="b">
        <v>0</v>
      </c>
    </row>
    <row r="8" spans="1:12" ht="15">
      <c r="A8" s="97" t="s">
        <v>1013</v>
      </c>
      <c r="B8" s="96" t="s">
        <v>1007</v>
      </c>
      <c r="C8" s="96">
        <v>30</v>
      </c>
      <c r="D8" s="110">
        <v>0.009948707578231438</v>
      </c>
      <c r="E8" s="110">
        <v>1.790519727626253</v>
      </c>
      <c r="F8" s="96" t="s">
        <v>1436</v>
      </c>
      <c r="G8" s="96" t="b">
        <v>0</v>
      </c>
      <c r="H8" s="96" t="b">
        <v>0</v>
      </c>
      <c r="I8" s="96" t="b">
        <v>0</v>
      </c>
      <c r="J8" s="96" t="b">
        <v>0</v>
      </c>
      <c r="K8" s="96" t="b">
        <v>0</v>
      </c>
      <c r="L8" s="96" t="b">
        <v>0</v>
      </c>
    </row>
    <row r="9" spans="1:12" ht="15">
      <c r="A9" s="97" t="s">
        <v>875</v>
      </c>
      <c r="B9" s="96" t="s">
        <v>1013</v>
      </c>
      <c r="C9" s="96">
        <v>30</v>
      </c>
      <c r="D9" s="110">
        <v>0.009948707578231438</v>
      </c>
      <c r="E9" s="110">
        <v>1.6765763753194165</v>
      </c>
      <c r="F9" s="96" t="s">
        <v>1436</v>
      </c>
      <c r="G9" s="96" t="b">
        <v>0</v>
      </c>
      <c r="H9" s="96" t="b">
        <v>0</v>
      </c>
      <c r="I9" s="96" t="b">
        <v>0</v>
      </c>
      <c r="J9" s="96" t="b">
        <v>0</v>
      </c>
      <c r="K9" s="96" t="b">
        <v>0</v>
      </c>
      <c r="L9" s="96" t="b">
        <v>0</v>
      </c>
    </row>
    <row r="10" spans="1:12" ht="15">
      <c r="A10" s="97" t="s">
        <v>1251</v>
      </c>
      <c r="B10" s="96" t="s">
        <v>1006</v>
      </c>
      <c r="C10" s="96">
        <v>30</v>
      </c>
      <c r="D10" s="110">
        <v>0.009948707578231438</v>
      </c>
      <c r="E10" s="110">
        <v>1.7762792885116427</v>
      </c>
      <c r="F10" s="96" t="s">
        <v>1436</v>
      </c>
      <c r="G10" s="96" t="b">
        <v>0</v>
      </c>
      <c r="H10" s="96" t="b">
        <v>0</v>
      </c>
      <c r="I10" s="96" t="b">
        <v>0</v>
      </c>
      <c r="J10" s="96" t="b">
        <v>0</v>
      </c>
      <c r="K10" s="96" t="b">
        <v>0</v>
      </c>
      <c r="L10" s="96" t="b">
        <v>0</v>
      </c>
    </row>
    <row r="11" spans="1:12" ht="15">
      <c r="A11" s="97" t="s">
        <v>1012</v>
      </c>
      <c r="B11" s="96" t="s">
        <v>1250</v>
      </c>
      <c r="C11" s="96">
        <v>29</v>
      </c>
      <c r="D11" s="110">
        <v>0.009831751889625978</v>
      </c>
      <c r="E11" s="110">
        <v>1.790519727626253</v>
      </c>
      <c r="F11" s="96" t="s">
        <v>1436</v>
      </c>
      <c r="G11" s="96" t="b">
        <v>0</v>
      </c>
      <c r="H11" s="96" t="b">
        <v>0</v>
      </c>
      <c r="I11" s="96" t="b">
        <v>0</v>
      </c>
      <c r="J11" s="96" t="b">
        <v>0</v>
      </c>
      <c r="K11" s="96" t="b">
        <v>0</v>
      </c>
      <c r="L11" s="96" t="b">
        <v>0</v>
      </c>
    </row>
    <row r="12" spans="1:12" ht="15">
      <c r="A12" s="97" t="s">
        <v>1007</v>
      </c>
      <c r="B12" s="96" t="s">
        <v>1012</v>
      </c>
      <c r="C12" s="96">
        <v>29</v>
      </c>
      <c r="D12" s="110">
        <v>0.009831751889625978</v>
      </c>
      <c r="E12" s="110">
        <v>1.790519727626253</v>
      </c>
      <c r="F12" s="96" t="s">
        <v>1436</v>
      </c>
      <c r="G12" s="96" t="b">
        <v>0</v>
      </c>
      <c r="H12" s="96" t="b">
        <v>0</v>
      </c>
      <c r="I12" s="96" t="b">
        <v>0</v>
      </c>
      <c r="J12" s="96" t="b">
        <v>0</v>
      </c>
      <c r="K12" s="96" t="b">
        <v>0</v>
      </c>
      <c r="L12" s="96" t="b">
        <v>0</v>
      </c>
    </row>
    <row r="13" spans="1:12" ht="15">
      <c r="A13" s="97" t="s">
        <v>1250</v>
      </c>
      <c r="B13" s="96" t="s">
        <v>1249</v>
      </c>
      <c r="C13" s="96">
        <v>29</v>
      </c>
      <c r="D13" s="110">
        <v>0.009831751889625978</v>
      </c>
      <c r="E13" s="110">
        <v>1.7757964708055465</v>
      </c>
      <c r="F13" s="96" t="s">
        <v>1436</v>
      </c>
      <c r="G13" s="96" t="b">
        <v>0</v>
      </c>
      <c r="H13" s="96" t="b">
        <v>0</v>
      </c>
      <c r="I13" s="96" t="b">
        <v>0</v>
      </c>
      <c r="J13" s="96" t="b">
        <v>0</v>
      </c>
      <c r="K13" s="96" t="b">
        <v>0</v>
      </c>
      <c r="L13" s="96" t="b">
        <v>0</v>
      </c>
    </row>
    <row r="14" spans="1:12" ht="15">
      <c r="A14" s="97" t="s">
        <v>1252</v>
      </c>
      <c r="B14" s="96" t="s">
        <v>1251</v>
      </c>
      <c r="C14" s="96">
        <v>26</v>
      </c>
      <c r="D14" s="110">
        <v>0.009434604172360639</v>
      </c>
      <c r="E14" s="110">
        <v>1.7741293114380836</v>
      </c>
      <c r="F14" s="96" t="s">
        <v>1436</v>
      </c>
      <c r="G14" s="96" t="b">
        <v>0</v>
      </c>
      <c r="H14" s="96" t="b">
        <v>0</v>
      </c>
      <c r="I14" s="96" t="b">
        <v>0</v>
      </c>
      <c r="J14" s="96" t="b">
        <v>0</v>
      </c>
      <c r="K14" s="96" t="b">
        <v>0</v>
      </c>
      <c r="L14" s="96" t="b">
        <v>0</v>
      </c>
    </row>
    <row r="15" spans="1:12" ht="15">
      <c r="A15" s="97" t="s">
        <v>1000</v>
      </c>
      <c r="B15" s="96" t="s">
        <v>1009</v>
      </c>
      <c r="C15" s="96">
        <v>18</v>
      </c>
      <c r="D15" s="110">
        <v>0.007976905538942088</v>
      </c>
      <c r="E15" s="110">
        <v>1.0406117202257787</v>
      </c>
      <c r="F15" s="96" t="s">
        <v>1436</v>
      </c>
      <c r="G15" s="96" t="b">
        <v>0</v>
      </c>
      <c r="H15" s="96" t="b">
        <v>0</v>
      </c>
      <c r="I15" s="96" t="b">
        <v>0</v>
      </c>
      <c r="J15" s="96" t="b">
        <v>0</v>
      </c>
      <c r="K15" s="96" t="b">
        <v>0</v>
      </c>
      <c r="L15" s="96" t="b">
        <v>0</v>
      </c>
    </row>
    <row r="16" spans="1:12" ht="15">
      <c r="A16" s="97" t="s">
        <v>1263</v>
      </c>
      <c r="B16" s="96" t="s">
        <v>1262</v>
      </c>
      <c r="C16" s="96">
        <v>13</v>
      </c>
      <c r="D16" s="110">
        <v>0.006684818397709608</v>
      </c>
      <c r="E16" s="110">
        <v>2.153697630039079</v>
      </c>
      <c r="F16" s="96" t="s">
        <v>1436</v>
      </c>
      <c r="G16" s="96" t="b">
        <v>0</v>
      </c>
      <c r="H16" s="96" t="b">
        <v>0</v>
      </c>
      <c r="I16" s="96" t="b">
        <v>0</v>
      </c>
      <c r="J16" s="96" t="b">
        <v>0</v>
      </c>
      <c r="K16" s="96" t="b">
        <v>0</v>
      </c>
      <c r="L16" s="96" t="b">
        <v>0</v>
      </c>
    </row>
    <row r="17" spans="1:12" ht="15">
      <c r="A17" s="97" t="s">
        <v>1262</v>
      </c>
      <c r="B17" s="96" t="s">
        <v>1264</v>
      </c>
      <c r="C17" s="96">
        <v>13</v>
      </c>
      <c r="D17" s="110">
        <v>0.006684818397709608</v>
      </c>
      <c r="E17" s="110">
        <v>2.153697630039079</v>
      </c>
      <c r="F17" s="96" t="s">
        <v>1436</v>
      </c>
      <c r="G17" s="96" t="b">
        <v>0</v>
      </c>
      <c r="H17" s="96" t="b">
        <v>0</v>
      </c>
      <c r="I17" s="96" t="b">
        <v>0</v>
      </c>
      <c r="J17" s="96" t="b">
        <v>0</v>
      </c>
      <c r="K17" s="96" t="b">
        <v>0</v>
      </c>
      <c r="L17" s="96" t="b">
        <v>0</v>
      </c>
    </row>
    <row r="18" spans="1:12" ht="15">
      <c r="A18" s="97" t="s">
        <v>1002</v>
      </c>
      <c r="B18" s="96" t="s">
        <v>1265</v>
      </c>
      <c r="C18" s="96">
        <v>12</v>
      </c>
      <c r="D18" s="110">
        <v>0.006380327729163089</v>
      </c>
      <c r="E18" s="110">
        <v>1.5516376387111164</v>
      </c>
      <c r="F18" s="96" t="s">
        <v>1436</v>
      </c>
      <c r="G18" s="96" t="b">
        <v>0</v>
      </c>
      <c r="H18" s="96" t="b">
        <v>0</v>
      </c>
      <c r="I18" s="96" t="b">
        <v>0</v>
      </c>
      <c r="J18" s="96" t="b">
        <v>0</v>
      </c>
      <c r="K18" s="96" t="b">
        <v>0</v>
      </c>
      <c r="L18" s="96" t="b">
        <v>0</v>
      </c>
    </row>
    <row r="19" spans="1:12" ht="15">
      <c r="A19" s="97" t="s">
        <v>1269</v>
      </c>
      <c r="B19" s="96" t="s">
        <v>1271</v>
      </c>
      <c r="C19" s="96">
        <v>11</v>
      </c>
      <c r="D19" s="110">
        <v>0.006057620262433384</v>
      </c>
      <c r="E19" s="110">
        <v>2.2262482971876905</v>
      </c>
      <c r="F19" s="96" t="s">
        <v>1436</v>
      </c>
      <c r="G19" s="96" t="b">
        <v>0</v>
      </c>
      <c r="H19" s="96" t="b">
        <v>0</v>
      </c>
      <c r="I19" s="96" t="b">
        <v>0</v>
      </c>
      <c r="J19" s="96" t="b">
        <v>0</v>
      </c>
      <c r="K19" s="96" t="b">
        <v>0</v>
      </c>
      <c r="L19" s="96" t="b">
        <v>0</v>
      </c>
    </row>
    <row r="20" spans="1:12" ht="15">
      <c r="A20" s="97" t="s">
        <v>1271</v>
      </c>
      <c r="B20" s="96" t="s">
        <v>1272</v>
      </c>
      <c r="C20" s="96">
        <v>11</v>
      </c>
      <c r="D20" s="110">
        <v>0.006057620262433384</v>
      </c>
      <c r="E20" s="110">
        <v>2.2262482971876905</v>
      </c>
      <c r="F20" s="96" t="s">
        <v>1436</v>
      </c>
      <c r="G20" s="96" t="b">
        <v>0</v>
      </c>
      <c r="H20" s="96" t="b">
        <v>0</v>
      </c>
      <c r="I20" s="96" t="b">
        <v>0</v>
      </c>
      <c r="J20" s="96" t="b">
        <v>0</v>
      </c>
      <c r="K20" s="96" t="b">
        <v>0</v>
      </c>
      <c r="L20" s="96" t="b">
        <v>0</v>
      </c>
    </row>
    <row r="21" spans="1:12" ht="15">
      <c r="A21" s="97" t="s">
        <v>1268</v>
      </c>
      <c r="B21" s="96" t="s">
        <v>1258</v>
      </c>
      <c r="C21" s="96">
        <v>11</v>
      </c>
      <c r="D21" s="110">
        <v>0.006057620262433384</v>
      </c>
      <c r="E21" s="110">
        <v>2.063520999689991</v>
      </c>
      <c r="F21" s="96" t="s">
        <v>1436</v>
      </c>
      <c r="G21" s="96" t="b">
        <v>0</v>
      </c>
      <c r="H21" s="96" t="b">
        <v>0</v>
      </c>
      <c r="I21" s="96" t="b">
        <v>0</v>
      </c>
      <c r="J21" s="96" t="b">
        <v>0</v>
      </c>
      <c r="K21" s="96" t="b">
        <v>0</v>
      </c>
      <c r="L21" s="96" t="b">
        <v>0</v>
      </c>
    </row>
    <row r="22" spans="1:12" ht="15">
      <c r="A22" s="97" t="s">
        <v>1258</v>
      </c>
      <c r="B22" s="96" t="s">
        <v>1267</v>
      </c>
      <c r="C22" s="96">
        <v>11</v>
      </c>
      <c r="D22" s="110">
        <v>0.006057620262433384</v>
      </c>
      <c r="E22" s="110">
        <v>2.063520999689991</v>
      </c>
      <c r="F22" s="96" t="s">
        <v>1436</v>
      </c>
      <c r="G22" s="96" t="b">
        <v>0</v>
      </c>
      <c r="H22" s="96" t="b">
        <v>0</v>
      </c>
      <c r="I22" s="96" t="b">
        <v>0</v>
      </c>
      <c r="J22" s="96" t="b">
        <v>0</v>
      </c>
      <c r="K22" s="96" t="b">
        <v>0</v>
      </c>
      <c r="L22" s="96" t="b">
        <v>0</v>
      </c>
    </row>
    <row r="23" spans="1:12" ht="15">
      <c r="A23" s="97" t="s">
        <v>1279</v>
      </c>
      <c r="B23" s="96" t="s">
        <v>1269</v>
      </c>
      <c r="C23" s="96">
        <v>10</v>
      </c>
      <c r="D23" s="110">
        <v>0.005715035531203654</v>
      </c>
      <c r="E23" s="110">
        <v>2.2262482971876905</v>
      </c>
      <c r="F23" s="96" t="s">
        <v>1436</v>
      </c>
      <c r="G23" s="96" t="b">
        <v>0</v>
      </c>
      <c r="H23" s="96" t="b">
        <v>0</v>
      </c>
      <c r="I23" s="96" t="b">
        <v>0</v>
      </c>
      <c r="J23" s="96" t="b">
        <v>0</v>
      </c>
      <c r="K23" s="96" t="b">
        <v>0</v>
      </c>
      <c r="L23" s="96" t="b">
        <v>0</v>
      </c>
    </row>
    <row r="24" spans="1:12" ht="15">
      <c r="A24" s="97" t="s">
        <v>1004</v>
      </c>
      <c r="B24" s="96" t="s">
        <v>976</v>
      </c>
      <c r="C24" s="96">
        <v>10</v>
      </c>
      <c r="D24" s="110">
        <v>0.005715035531203654</v>
      </c>
      <c r="E24" s="110">
        <v>1.424408204247906</v>
      </c>
      <c r="F24" s="96" t="s">
        <v>1436</v>
      </c>
      <c r="G24" s="96" t="b">
        <v>0</v>
      </c>
      <c r="H24" s="96" t="b">
        <v>0</v>
      </c>
      <c r="I24" s="96" t="b">
        <v>0</v>
      </c>
      <c r="J24" s="96" t="b">
        <v>0</v>
      </c>
      <c r="K24" s="96" t="b">
        <v>0</v>
      </c>
      <c r="L24" s="96" t="b">
        <v>0</v>
      </c>
    </row>
    <row r="25" spans="1:12" ht="15">
      <c r="A25" s="97" t="s">
        <v>1275</v>
      </c>
      <c r="B25" s="96" t="s">
        <v>1255</v>
      </c>
      <c r="C25" s="96">
        <v>10</v>
      </c>
      <c r="D25" s="110">
        <v>0.005715035531203654</v>
      </c>
      <c r="E25" s="110">
        <v>2.0123684772426094</v>
      </c>
      <c r="F25" s="96" t="s">
        <v>1436</v>
      </c>
      <c r="G25" s="96" t="b">
        <v>0</v>
      </c>
      <c r="H25" s="96" t="b">
        <v>0</v>
      </c>
      <c r="I25" s="96" t="b">
        <v>0</v>
      </c>
      <c r="J25" s="96" t="b">
        <v>0</v>
      </c>
      <c r="K25" s="96" t="b">
        <v>0</v>
      </c>
      <c r="L25" s="96" t="b">
        <v>0</v>
      </c>
    </row>
    <row r="26" spans="1:12" ht="15">
      <c r="A26" s="97" t="s">
        <v>1005</v>
      </c>
      <c r="B26" s="96" t="s">
        <v>1254</v>
      </c>
      <c r="C26" s="96">
        <v>10</v>
      </c>
      <c r="D26" s="110">
        <v>0.005715035531203654</v>
      </c>
      <c r="E26" s="110">
        <v>1.7149727662337222</v>
      </c>
      <c r="F26" s="96" t="s">
        <v>1436</v>
      </c>
      <c r="G26" s="96" t="b">
        <v>0</v>
      </c>
      <c r="H26" s="96" t="b">
        <v>0</v>
      </c>
      <c r="I26" s="96" t="b">
        <v>0</v>
      </c>
      <c r="J26" s="96" t="b">
        <v>0</v>
      </c>
      <c r="K26" s="96" t="b">
        <v>0</v>
      </c>
      <c r="L26" s="96" t="b">
        <v>0</v>
      </c>
    </row>
    <row r="27" spans="1:12" ht="15">
      <c r="A27" s="97" t="s">
        <v>1276</v>
      </c>
      <c r="B27" s="96" t="s">
        <v>1277</v>
      </c>
      <c r="C27" s="96">
        <v>10</v>
      </c>
      <c r="D27" s="110">
        <v>0.005715035531203654</v>
      </c>
      <c r="E27" s="110">
        <v>2.2676409823459154</v>
      </c>
      <c r="F27" s="96" t="s">
        <v>1436</v>
      </c>
      <c r="G27" s="96" t="b">
        <v>0</v>
      </c>
      <c r="H27" s="96" t="b">
        <v>0</v>
      </c>
      <c r="I27" s="96" t="b">
        <v>0</v>
      </c>
      <c r="J27" s="96" t="b">
        <v>0</v>
      </c>
      <c r="K27" s="96" t="b">
        <v>0</v>
      </c>
      <c r="L27" s="96" t="b">
        <v>0</v>
      </c>
    </row>
    <row r="28" spans="1:12" ht="15">
      <c r="A28" s="97" t="s">
        <v>1010</v>
      </c>
      <c r="B28" s="96" t="s">
        <v>1005</v>
      </c>
      <c r="C28" s="96">
        <v>10</v>
      </c>
      <c r="D28" s="110">
        <v>0.005715035531203654</v>
      </c>
      <c r="E28" s="110">
        <v>1.368915800756422</v>
      </c>
      <c r="F28" s="96" t="s">
        <v>1436</v>
      </c>
      <c r="G28" s="96" t="b">
        <v>0</v>
      </c>
      <c r="H28" s="96" t="b">
        <v>0</v>
      </c>
      <c r="I28" s="96" t="b">
        <v>0</v>
      </c>
      <c r="J28" s="96" t="b">
        <v>0</v>
      </c>
      <c r="K28" s="96" t="b">
        <v>0</v>
      </c>
      <c r="L28" s="96" t="b">
        <v>0</v>
      </c>
    </row>
    <row r="29" spans="1:12" ht="15">
      <c r="A29" s="97" t="s">
        <v>1272</v>
      </c>
      <c r="B29" s="96" t="s">
        <v>1268</v>
      </c>
      <c r="C29" s="96">
        <v>10</v>
      </c>
      <c r="D29" s="110">
        <v>0.005715035531203654</v>
      </c>
      <c r="E29" s="110">
        <v>2.1848556120294655</v>
      </c>
      <c r="F29" s="96" t="s">
        <v>1436</v>
      </c>
      <c r="G29" s="96" t="b">
        <v>0</v>
      </c>
      <c r="H29" s="96" t="b">
        <v>0</v>
      </c>
      <c r="I29" s="96" t="b">
        <v>0</v>
      </c>
      <c r="J29" s="96" t="b">
        <v>0</v>
      </c>
      <c r="K29" s="96" t="b">
        <v>0</v>
      </c>
      <c r="L29" s="96" t="b">
        <v>0</v>
      </c>
    </row>
    <row r="30" spans="1:12" ht="15">
      <c r="A30" s="97" t="s">
        <v>976</v>
      </c>
      <c r="B30" s="96" t="s">
        <v>1002</v>
      </c>
      <c r="C30" s="96">
        <v>10</v>
      </c>
      <c r="D30" s="110">
        <v>0.005715035531203654</v>
      </c>
      <c r="E30" s="110">
        <v>1.3211887173328425</v>
      </c>
      <c r="F30" s="96" t="s">
        <v>1436</v>
      </c>
      <c r="G30" s="96" t="b">
        <v>0</v>
      </c>
      <c r="H30" s="96" t="b">
        <v>0</v>
      </c>
      <c r="I30" s="96" t="b">
        <v>0</v>
      </c>
      <c r="J30" s="96" t="b">
        <v>0</v>
      </c>
      <c r="K30" s="96" t="b">
        <v>0</v>
      </c>
      <c r="L30" s="96" t="b">
        <v>0</v>
      </c>
    </row>
    <row r="31" spans="1:12" ht="15">
      <c r="A31" s="97" t="s">
        <v>1265</v>
      </c>
      <c r="B31" s="96" t="s">
        <v>1279</v>
      </c>
      <c r="C31" s="96">
        <v>10</v>
      </c>
      <c r="D31" s="110">
        <v>0.005715035531203654</v>
      </c>
      <c r="E31" s="110">
        <v>2.1884597362982907</v>
      </c>
      <c r="F31" s="96" t="s">
        <v>1436</v>
      </c>
      <c r="G31" s="96" t="b">
        <v>0</v>
      </c>
      <c r="H31" s="96" t="b">
        <v>0</v>
      </c>
      <c r="I31" s="96" t="b">
        <v>0</v>
      </c>
      <c r="J31" s="96" t="b">
        <v>0</v>
      </c>
      <c r="K31" s="96" t="b">
        <v>0</v>
      </c>
      <c r="L31" s="96" t="b">
        <v>0</v>
      </c>
    </row>
    <row r="32" spans="1:12" ht="15">
      <c r="A32" s="97" t="s">
        <v>1015</v>
      </c>
      <c r="B32" s="96" t="s">
        <v>1278</v>
      </c>
      <c r="C32" s="96">
        <v>10</v>
      </c>
      <c r="D32" s="110">
        <v>0.005715035531203654</v>
      </c>
      <c r="E32" s="110">
        <v>2.2676409823459154</v>
      </c>
      <c r="F32" s="96" t="s">
        <v>1436</v>
      </c>
      <c r="G32" s="96" t="b">
        <v>0</v>
      </c>
      <c r="H32" s="96" t="b">
        <v>0</v>
      </c>
      <c r="I32" s="96" t="b">
        <v>0</v>
      </c>
      <c r="J32" s="96" t="b">
        <v>0</v>
      </c>
      <c r="K32" s="96" t="b">
        <v>0</v>
      </c>
      <c r="L32" s="96" t="b">
        <v>0</v>
      </c>
    </row>
    <row r="33" spans="1:12" ht="15">
      <c r="A33" s="97" t="s">
        <v>1267</v>
      </c>
      <c r="B33" s="96" t="s">
        <v>1276</v>
      </c>
      <c r="C33" s="96">
        <v>10</v>
      </c>
      <c r="D33" s="110">
        <v>0.005715035531203654</v>
      </c>
      <c r="E33" s="110">
        <v>2.2262482971876905</v>
      </c>
      <c r="F33" s="96" t="s">
        <v>1436</v>
      </c>
      <c r="G33" s="96" t="b">
        <v>0</v>
      </c>
      <c r="H33" s="96" t="b">
        <v>0</v>
      </c>
      <c r="I33" s="96" t="b">
        <v>0</v>
      </c>
      <c r="J33" s="96" t="b">
        <v>0</v>
      </c>
      <c r="K33" s="96" t="b">
        <v>0</v>
      </c>
      <c r="L33" s="96" t="b">
        <v>0</v>
      </c>
    </row>
    <row r="34" spans="1:12" ht="15">
      <c r="A34" s="97" t="s">
        <v>1002</v>
      </c>
      <c r="B34" s="96" t="s">
        <v>1005</v>
      </c>
      <c r="C34" s="96">
        <v>10</v>
      </c>
      <c r="D34" s="110">
        <v>0.005715035531203654</v>
      </c>
      <c r="E34" s="110">
        <v>0.9953351379438291</v>
      </c>
      <c r="F34" s="96" t="s">
        <v>1436</v>
      </c>
      <c r="G34" s="96" t="b">
        <v>0</v>
      </c>
      <c r="H34" s="96" t="b">
        <v>0</v>
      </c>
      <c r="I34" s="96" t="b">
        <v>0</v>
      </c>
      <c r="J34" s="96" t="b">
        <v>0</v>
      </c>
      <c r="K34" s="96" t="b">
        <v>0</v>
      </c>
      <c r="L34" s="96" t="b">
        <v>0</v>
      </c>
    </row>
    <row r="35" spans="1:12" ht="15">
      <c r="A35" s="97" t="s">
        <v>1000</v>
      </c>
      <c r="B35" s="96" t="s">
        <v>1254</v>
      </c>
      <c r="C35" s="96">
        <v>10</v>
      </c>
      <c r="D35" s="110">
        <v>0.005715035531203654</v>
      </c>
      <c r="E35" s="110">
        <v>0.8248477564061463</v>
      </c>
      <c r="F35" s="96" t="s">
        <v>1436</v>
      </c>
      <c r="G35" s="96" t="b">
        <v>0</v>
      </c>
      <c r="H35" s="96" t="b">
        <v>0</v>
      </c>
      <c r="I35" s="96" t="b">
        <v>0</v>
      </c>
      <c r="J35" s="96" t="b">
        <v>0</v>
      </c>
      <c r="K35" s="96" t="b">
        <v>0</v>
      </c>
      <c r="L35" s="96" t="b">
        <v>0</v>
      </c>
    </row>
    <row r="36" spans="1:12" ht="15">
      <c r="A36" s="97" t="s">
        <v>1009</v>
      </c>
      <c r="B36" s="96" t="s">
        <v>1280</v>
      </c>
      <c r="C36" s="96">
        <v>9</v>
      </c>
      <c r="D36" s="110">
        <v>0.005350579446683629</v>
      </c>
      <c r="E36" s="110">
        <v>1.8362772181869282</v>
      </c>
      <c r="F36" s="96" t="s">
        <v>1436</v>
      </c>
      <c r="G36" s="96" t="b">
        <v>0</v>
      </c>
      <c r="H36" s="96" t="b">
        <v>0</v>
      </c>
      <c r="I36" s="96" t="b">
        <v>0</v>
      </c>
      <c r="J36" s="96" t="b">
        <v>0</v>
      </c>
      <c r="K36" s="96" t="b">
        <v>0</v>
      </c>
      <c r="L36" s="96" t="b">
        <v>0</v>
      </c>
    </row>
    <row r="37" spans="1:12" ht="15">
      <c r="A37" s="97" t="s">
        <v>1253</v>
      </c>
      <c r="B37" s="96" t="s">
        <v>1282</v>
      </c>
      <c r="C37" s="96">
        <v>9</v>
      </c>
      <c r="D37" s="110">
        <v>0.005350579446683629</v>
      </c>
      <c r="E37" s="110">
        <v>1.8526676343750976</v>
      </c>
      <c r="F37" s="96" t="s">
        <v>1436</v>
      </c>
      <c r="G37" s="96" t="b">
        <v>0</v>
      </c>
      <c r="H37" s="96" t="b">
        <v>0</v>
      </c>
      <c r="I37" s="96" t="b">
        <v>0</v>
      </c>
      <c r="J37" s="96" t="b">
        <v>0</v>
      </c>
      <c r="K37" s="96" t="b">
        <v>0</v>
      </c>
      <c r="L37" s="96" t="b">
        <v>0</v>
      </c>
    </row>
    <row r="38" spans="1:12" ht="15">
      <c r="A38" s="97" t="s">
        <v>1280</v>
      </c>
      <c r="B38" s="96" t="s">
        <v>308</v>
      </c>
      <c r="C38" s="96">
        <v>9</v>
      </c>
      <c r="D38" s="110">
        <v>0.005350579446683629</v>
      </c>
      <c r="E38" s="110">
        <v>2.063520999689991</v>
      </c>
      <c r="F38" s="96" t="s">
        <v>1436</v>
      </c>
      <c r="G38" s="96" t="b">
        <v>0</v>
      </c>
      <c r="H38" s="96" t="b">
        <v>0</v>
      </c>
      <c r="I38" s="96" t="b">
        <v>0</v>
      </c>
      <c r="J38" s="96" t="b">
        <v>0</v>
      </c>
      <c r="K38" s="96" t="b">
        <v>0</v>
      </c>
      <c r="L38" s="96" t="b">
        <v>0</v>
      </c>
    </row>
    <row r="39" spans="1:12" ht="15">
      <c r="A39" s="97" t="s">
        <v>1259</v>
      </c>
      <c r="B39" s="96" t="s">
        <v>1260</v>
      </c>
      <c r="C39" s="96">
        <v>9</v>
      </c>
      <c r="D39" s="110">
        <v>0.005350579446683629</v>
      </c>
      <c r="E39" s="110">
        <v>1.8716354734510776</v>
      </c>
      <c r="F39" s="96" t="s">
        <v>1436</v>
      </c>
      <c r="G39" s="96" t="b">
        <v>0</v>
      </c>
      <c r="H39" s="96" t="b">
        <v>0</v>
      </c>
      <c r="I39" s="96" t="b">
        <v>0</v>
      </c>
      <c r="J39" s="96" t="b">
        <v>0</v>
      </c>
      <c r="K39" s="96" t="b">
        <v>0</v>
      </c>
      <c r="L39" s="96" t="b">
        <v>0</v>
      </c>
    </row>
    <row r="40" spans="1:12" ht="15">
      <c r="A40" s="97" t="s">
        <v>1003</v>
      </c>
      <c r="B40" s="96" t="s">
        <v>1001</v>
      </c>
      <c r="C40" s="96">
        <v>9</v>
      </c>
      <c r="D40" s="110">
        <v>0.005350579446683629</v>
      </c>
      <c r="E40" s="110">
        <v>0.798309972052505</v>
      </c>
      <c r="F40" s="96" t="s">
        <v>1436</v>
      </c>
      <c r="G40" s="96" t="b">
        <v>0</v>
      </c>
      <c r="H40" s="96" t="b">
        <v>0</v>
      </c>
      <c r="I40" s="96" t="b">
        <v>0</v>
      </c>
      <c r="J40" s="96" t="b">
        <v>0</v>
      </c>
      <c r="K40" s="96" t="b">
        <v>0</v>
      </c>
      <c r="L40" s="96" t="b">
        <v>0</v>
      </c>
    </row>
    <row r="41" spans="1:12" ht="15">
      <c r="A41" s="97" t="s">
        <v>1284</v>
      </c>
      <c r="B41" s="96" t="s">
        <v>1285</v>
      </c>
      <c r="C41" s="96">
        <v>9</v>
      </c>
      <c r="D41" s="110">
        <v>0.005350579446683629</v>
      </c>
      <c r="E41" s="110">
        <v>2.3133984729065906</v>
      </c>
      <c r="F41" s="96" t="s">
        <v>1436</v>
      </c>
      <c r="G41" s="96" t="b">
        <v>0</v>
      </c>
      <c r="H41" s="96" t="b">
        <v>0</v>
      </c>
      <c r="I41" s="96" t="b">
        <v>0</v>
      </c>
      <c r="J41" s="96" t="b">
        <v>0</v>
      </c>
      <c r="K41" s="96" t="b">
        <v>0</v>
      </c>
      <c r="L41" s="96" t="b">
        <v>0</v>
      </c>
    </row>
    <row r="42" spans="1:12" ht="15">
      <c r="A42" s="97" t="s">
        <v>1000</v>
      </c>
      <c r="B42" s="96" t="s">
        <v>1003</v>
      </c>
      <c r="C42" s="96">
        <v>9</v>
      </c>
      <c r="D42" s="110">
        <v>0.005350579446683629</v>
      </c>
      <c r="E42" s="110">
        <v>0.3937393844814542</v>
      </c>
      <c r="F42" s="96" t="s">
        <v>1436</v>
      </c>
      <c r="G42" s="96" t="b">
        <v>0</v>
      </c>
      <c r="H42" s="96" t="b">
        <v>0</v>
      </c>
      <c r="I42" s="96" t="b">
        <v>0</v>
      </c>
      <c r="J42" s="96" t="b">
        <v>0</v>
      </c>
      <c r="K42" s="96" t="b">
        <v>0</v>
      </c>
      <c r="L42" s="96" t="b">
        <v>0</v>
      </c>
    </row>
    <row r="43" spans="1:12" ht="15">
      <c r="A43" s="97" t="s">
        <v>1282</v>
      </c>
      <c r="B43" s="96" t="s">
        <v>1266</v>
      </c>
      <c r="C43" s="96">
        <v>9</v>
      </c>
      <c r="D43" s="110">
        <v>0.005350579446683629</v>
      </c>
      <c r="E43" s="110">
        <v>2.1884597362982907</v>
      </c>
      <c r="F43" s="96" t="s">
        <v>1436</v>
      </c>
      <c r="G43" s="96" t="b">
        <v>0</v>
      </c>
      <c r="H43" s="96" t="b">
        <v>0</v>
      </c>
      <c r="I43" s="96" t="b">
        <v>0</v>
      </c>
      <c r="J43" s="96" t="b">
        <v>0</v>
      </c>
      <c r="K43" s="96" t="b">
        <v>0</v>
      </c>
      <c r="L43" s="96" t="b">
        <v>0</v>
      </c>
    </row>
    <row r="44" spans="1:12" ht="15">
      <c r="A44" s="97" t="s">
        <v>1001</v>
      </c>
      <c r="B44" s="96" t="s">
        <v>1259</v>
      </c>
      <c r="C44" s="96">
        <v>9</v>
      </c>
      <c r="D44" s="110">
        <v>0.005350579446683629</v>
      </c>
      <c r="E44" s="110">
        <v>1.3187935047932968</v>
      </c>
      <c r="F44" s="96" t="s">
        <v>1436</v>
      </c>
      <c r="G44" s="96" t="b">
        <v>0</v>
      </c>
      <c r="H44" s="96" t="b">
        <v>0</v>
      </c>
      <c r="I44" s="96" t="b">
        <v>0</v>
      </c>
      <c r="J44" s="96" t="b">
        <v>0</v>
      </c>
      <c r="K44" s="96" t="b">
        <v>0</v>
      </c>
      <c r="L44" s="96" t="b">
        <v>0</v>
      </c>
    </row>
    <row r="45" spans="1:12" ht="15">
      <c r="A45" s="97" t="s">
        <v>1281</v>
      </c>
      <c r="B45" s="96" t="s">
        <v>1275</v>
      </c>
      <c r="C45" s="96">
        <v>9</v>
      </c>
      <c r="D45" s="110">
        <v>0.005350579446683629</v>
      </c>
      <c r="E45" s="110">
        <v>2.2676409823459154</v>
      </c>
      <c r="F45" s="96" t="s">
        <v>1436</v>
      </c>
      <c r="G45" s="96" t="b">
        <v>0</v>
      </c>
      <c r="H45" s="96" t="b">
        <v>0</v>
      </c>
      <c r="I45" s="96" t="b">
        <v>0</v>
      </c>
      <c r="J45" s="96" t="b">
        <v>0</v>
      </c>
      <c r="K45" s="96" t="b">
        <v>0</v>
      </c>
      <c r="L45" s="96" t="b">
        <v>0</v>
      </c>
    </row>
    <row r="46" spans="1:12" ht="15">
      <c r="A46" s="97" t="s">
        <v>1266</v>
      </c>
      <c r="B46" s="96" t="s">
        <v>1284</v>
      </c>
      <c r="C46" s="96">
        <v>9</v>
      </c>
      <c r="D46" s="110">
        <v>0.005350579446683629</v>
      </c>
      <c r="E46" s="110">
        <v>2.1884597362982907</v>
      </c>
      <c r="F46" s="96" t="s">
        <v>1436</v>
      </c>
      <c r="G46" s="96" t="b">
        <v>0</v>
      </c>
      <c r="H46" s="96" t="b">
        <v>0</v>
      </c>
      <c r="I46" s="96" t="b">
        <v>0</v>
      </c>
      <c r="J46" s="96" t="b">
        <v>0</v>
      </c>
      <c r="K46" s="96" t="b">
        <v>0</v>
      </c>
      <c r="L46" s="96" t="b">
        <v>0</v>
      </c>
    </row>
    <row r="47" spans="1:12" ht="15">
      <c r="A47" s="97" t="s">
        <v>1253</v>
      </c>
      <c r="B47" s="96" t="s">
        <v>1261</v>
      </c>
      <c r="C47" s="96">
        <v>8</v>
      </c>
      <c r="D47" s="110">
        <v>0.004961812288243189</v>
      </c>
      <c r="E47" s="110">
        <v>1.6418142690602044</v>
      </c>
      <c r="F47" s="96" t="s">
        <v>1436</v>
      </c>
      <c r="G47" s="96" t="b">
        <v>0</v>
      </c>
      <c r="H47" s="96" t="b">
        <v>0</v>
      </c>
      <c r="I47" s="96" t="b">
        <v>0</v>
      </c>
      <c r="J47" s="96" t="b">
        <v>0</v>
      </c>
      <c r="K47" s="96" t="b">
        <v>0</v>
      </c>
      <c r="L47" s="96" t="b">
        <v>0</v>
      </c>
    </row>
    <row r="48" spans="1:12" ht="15">
      <c r="A48" s="97" t="s">
        <v>1291</v>
      </c>
      <c r="B48" s="96" t="s">
        <v>1000</v>
      </c>
      <c r="C48" s="96">
        <v>7</v>
      </c>
      <c r="D48" s="110">
        <v>0.004545680085467596</v>
      </c>
      <c r="E48" s="110">
        <v>1.5516376387111164</v>
      </c>
      <c r="F48" s="96" t="s">
        <v>1436</v>
      </c>
      <c r="G48" s="96" t="b">
        <v>1</v>
      </c>
      <c r="H48" s="96" t="b">
        <v>0</v>
      </c>
      <c r="I48" s="96" t="b">
        <v>0</v>
      </c>
      <c r="J48" s="96" t="b">
        <v>0</v>
      </c>
      <c r="K48" s="96" t="b">
        <v>0</v>
      </c>
      <c r="L48" s="96" t="b">
        <v>0</v>
      </c>
    </row>
    <row r="49" spans="1:12" ht="15">
      <c r="A49" s="97" t="s">
        <v>1023</v>
      </c>
      <c r="B49" s="96" t="s">
        <v>1000</v>
      </c>
      <c r="C49" s="96">
        <v>7</v>
      </c>
      <c r="D49" s="110">
        <v>0.004545680085467596</v>
      </c>
      <c r="E49" s="110">
        <v>1.5516376387111164</v>
      </c>
      <c r="F49" s="96" t="s">
        <v>1436</v>
      </c>
      <c r="G49" s="96" t="b">
        <v>0</v>
      </c>
      <c r="H49" s="96" t="b">
        <v>0</v>
      </c>
      <c r="I49" s="96" t="b">
        <v>0</v>
      </c>
      <c r="J49" s="96" t="b">
        <v>0</v>
      </c>
      <c r="K49" s="96" t="b">
        <v>0</v>
      </c>
      <c r="L49" s="96" t="b">
        <v>0</v>
      </c>
    </row>
    <row r="50" spans="1:12" ht="15">
      <c r="A50" s="97" t="s">
        <v>1255</v>
      </c>
      <c r="B50" s="96" t="s">
        <v>1000</v>
      </c>
      <c r="C50" s="96">
        <v>7</v>
      </c>
      <c r="D50" s="110">
        <v>0.004545680085467596</v>
      </c>
      <c r="E50" s="110">
        <v>1.141463173622067</v>
      </c>
      <c r="F50" s="96" t="s">
        <v>1436</v>
      </c>
      <c r="G50" s="96" t="b">
        <v>0</v>
      </c>
      <c r="H50" s="96" t="b">
        <v>0</v>
      </c>
      <c r="I50" s="96" t="b">
        <v>0</v>
      </c>
      <c r="J50" s="96" t="b">
        <v>0</v>
      </c>
      <c r="K50" s="96" t="b">
        <v>0</v>
      </c>
      <c r="L50" s="96" t="b">
        <v>0</v>
      </c>
    </row>
    <row r="51" spans="1:12" ht="15">
      <c r="A51" s="97" t="s">
        <v>1292</v>
      </c>
      <c r="B51" s="96" t="s">
        <v>1005</v>
      </c>
      <c r="C51" s="96">
        <v>7</v>
      </c>
      <c r="D51" s="110">
        <v>0.004545680085467596</v>
      </c>
      <c r="E51" s="110">
        <v>1.7113384815786283</v>
      </c>
      <c r="F51" s="96" t="s">
        <v>1436</v>
      </c>
      <c r="G51" s="96" t="b">
        <v>0</v>
      </c>
      <c r="H51" s="96" t="b">
        <v>0</v>
      </c>
      <c r="I51" s="96" t="b">
        <v>0</v>
      </c>
      <c r="J51" s="96" t="b">
        <v>0</v>
      </c>
      <c r="K51" s="96" t="b">
        <v>0</v>
      </c>
      <c r="L51" s="96" t="b">
        <v>0</v>
      </c>
    </row>
    <row r="52" spans="1:12" ht="15">
      <c r="A52" s="97" t="s">
        <v>1257</v>
      </c>
      <c r="B52" s="96" t="s">
        <v>1294</v>
      </c>
      <c r="C52" s="96">
        <v>7</v>
      </c>
      <c r="D52" s="110">
        <v>0.004545680085467596</v>
      </c>
      <c r="E52" s="110">
        <v>2.063520999689991</v>
      </c>
      <c r="F52" s="96" t="s">
        <v>1436</v>
      </c>
      <c r="G52" s="96" t="b">
        <v>0</v>
      </c>
      <c r="H52" s="96" t="b">
        <v>0</v>
      </c>
      <c r="I52" s="96" t="b">
        <v>0</v>
      </c>
      <c r="J52" s="96" t="b">
        <v>0</v>
      </c>
      <c r="K52" s="96" t="b">
        <v>0</v>
      </c>
      <c r="L52" s="96" t="b">
        <v>0</v>
      </c>
    </row>
    <row r="53" spans="1:12" ht="15">
      <c r="A53" s="97" t="s">
        <v>1261</v>
      </c>
      <c r="B53" s="96" t="s">
        <v>1273</v>
      </c>
      <c r="C53" s="96">
        <v>7</v>
      </c>
      <c r="D53" s="110">
        <v>0.004545680085467596</v>
      </c>
      <c r="E53" s="110">
        <v>1.9574029848951107</v>
      </c>
      <c r="F53" s="96" t="s">
        <v>1436</v>
      </c>
      <c r="G53" s="96" t="b">
        <v>0</v>
      </c>
      <c r="H53" s="96" t="b">
        <v>0</v>
      </c>
      <c r="I53" s="96" t="b">
        <v>0</v>
      </c>
      <c r="J53" s="96" t="b">
        <v>0</v>
      </c>
      <c r="K53" s="96" t="b">
        <v>0</v>
      </c>
      <c r="L53" s="96" t="b">
        <v>0</v>
      </c>
    </row>
    <row r="54" spans="1:12" ht="15">
      <c r="A54" s="97" t="s">
        <v>1019</v>
      </c>
      <c r="B54" s="96" t="s">
        <v>1021</v>
      </c>
      <c r="C54" s="96">
        <v>7</v>
      </c>
      <c r="D54" s="110">
        <v>0.004545680085467596</v>
      </c>
      <c r="E54" s="110">
        <v>2.4225429423316585</v>
      </c>
      <c r="F54" s="96" t="s">
        <v>1436</v>
      </c>
      <c r="G54" s="96" t="b">
        <v>0</v>
      </c>
      <c r="H54" s="96" t="b">
        <v>0</v>
      </c>
      <c r="I54" s="96" t="b">
        <v>0</v>
      </c>
      <c r="J54" s="96" t="b">
        <v>0</v>
      </c>
      <c r="K54" s="96" t="b">
        <v>0</v>
      </c>
      <c r="L54" s="96" t="b">
        <v>0</v>
      </c>
    </row>
    <row r="55" spans="1:12" ht="15">
      <c r="A55" s="97" t="s">
        <v>1253</v>
      </c>
      <c r="B55" s="96" t="s">
        <v>1293</v>
      </c>
      <c r="C55" s="96">
        <v>7</v>
      </c>
      <c r="D55" s="110">
        <v>0.004545680085467596</v>
      </c>
      <c r="E55" s="110">
        <v>1.8526676343750976</v>
      </c>
      <c r="F55" s="96" t="s">
        <v>1436</v>
      </c>
      <c r="G55" s="96" t="b">
        <v>0</v>
      </c>
      <c r="H55" s="96" t="b">
        <v>0</v>
      </c>
      <c r="I55" s="96" t="b">
        <v>0</v>
      </c>
      <c r="J55" s="96" t="b">
        <v>0</v>
      </c>
      <c r="K55" s="96" t="b">
        <v>0</v>
      </c>
      <c r="L55" s="96" t="b">
        <v>0</v>
      </c>
    </row>
    <row r="56" spans="1:12" ht="15">
      <c r="A56" s="97" t="s">
        <v>1000</v>
      </c>
      <c r="B56" s="96" t="s">
        <v>1022</v>
      </c>
      <c r="C56" s="96">
        <v>7</v>
      </c>
      <c r="D56" s="110">
        <v>0.004545680085467596</v>
      </c>
      <c r="E56" s="110">
        <v>1.1470670511400656</v>
      </c>
      <c r="F56" s="96" t="s">
        <v>1436</v>
      </c>
      <c r="G56" s="96" t="b">
        <v>0</v>
      </c>
      <c r="H56" s="96" t="b">
        <v>0</v>
      </c>
      <c r="I56" s="96" t="b">
        <v>0</v>
      </c>
      <c r="J56" s="96" t="b">
        <v>0</v>
      </c>
      <c r="K56" s="96" t="b">
        <v>0</v>
      </c>
      <c r="L56" s="96" t="b">
        <v>0</v>
      </c>
    </row>
    <row r="57" spans="1:12" ht="15">
      <c r="A57" s="97" t="s">
        <v>1256</v>
      </c>
      <c r="B57" s="96" t="s">
        <v>1290</v>
      </c>
      <c r="C57" s="96">
        <v>7</v>
      </c>
      <c r="D57" s="110">
        <v>0.004545680085467596</v>
      </c>
      <c r="E57" s="110">
        <v>1.9792001139899549</v>
      </c>
      <c r="F57" s="96" t="s">
        <v>1436</v>
      </c>
      <c r="G57" s="96" t="b">
        <v>0</v>
      </c>
      <c r="H57" s="96" t="b">
        <v>0</v>
      </c>
      <c r="I57" s="96" t="b">
        <v>0</v>
      </c>
      <c r="J57" s="96" t="b">
        <v>0</v>
      </c>
      <c r="K57" s="96" t="b">
        <v>0</v>
      </c>
      <c r="L57" s="96" t="b">
        <v>0</v>
      </c>
    </row>
    <row r="58" spans="1:12" ht="15">
      <c r="A58" s="97" t="s">
        <v>1009</v>
      </c>
      <c r="B58" s="96" t="s">
        <v>1010</v>
      </c>
      <c r="C58" s="96">
        <v>7</v>
      </c>
      <c r="D58" s="110">
        <v>0.004545680085467596</v>
      </c>
      <c r="E58" s="110">
        <v>1.301164016489579</v>
      </c>
      <c r="F58" s="96" t="s">
        <v>1436</v>
      </c>
      <c r="G58" s="96" t="b">
        <v>0</v>
      </c>
      <c r="H58" s="96" t="b">
        <v>0</v>
      </c>
      <c r="I58" s="96" t="b">
        <v>0</v>
      </c>
      <c r="J58" s="96" t="b">
        <v>0</v>
      </c>
      <c r="K58" s="96" t="b">
        <v>0</v>
      </c>
      <c r="L58" s="96" t="b">
        <v>0</v>
      </c>
    </row>
    <row r="59" spans="1:12" ht="15">
      <c r="A59" s="97" t="s">
        <v>1022</v>
      </c>
      <c r="B59" s="96" t="s">
        <v>1019</v>
      </c>
      <c r="C59" s="96">
        <v>7</v>
      </c>
      <c r="D59" s="110">
        <v>0.004545680085467596</v>
      </c>
      <c r="E59" s="110">
        <v>2.4225429423316585</v>
      </c>
      <c r="F59" s="96" t="s">
        <v>1436</v>
      </c>
      <c r="G59" s="96" t="b">
        <v>0</v>
      </c>
      <c r="H59" s="96" t="b">
        <v>0</v>
      </c>
      <c r="I59" s="96" t="b">
        <v>0</v>
      </c>
      <c r="J59" s="96" t="b">
        <v>0</v>
      </c>
      <c r="K59" s="96" t="b">
        <v>0</v>
      </c>
      <c r="L59" s="96" t="b">
        <v>0</v>
      </c>
    </row>
    <row r="60" spans="1:12" ht="15">
      <c r="A60" s="97" t="s">
        <v>1005</v>
      </c>
      <c r="B60" s="96" t="s">
        <v>1263</v>
      </c>
      <c r="C60" s="96">
        <v>7</v>
      </c>
      <c r="D60" s="110">
        <v>0.004545680085467596</v>
      </c>
      <c r="E60" s="110">
        <v>1.7683467486750617</v>
      </c>
      <c r="F60" s="96" t="s">
        <v>1436</v>
      </c>
      <c r="G60" s="96" t="b">
        <v>0</v>
      </c>
      <c r="H60" s="96" t="b">
        <v>0</v>
      </c>
      <c r="I60" s="96" t="b">
        <v>0</v>
      </c>
      <c r="J60" s="96" t="b">
        <v>0</v>
      </c>
      <c r="K60" s="96" t="b">
        <v>0</v>
      </c>
      <c r="L60" s="96" t="b">
        <v>0</v>
      </c>
    </row>
    <row r="61" spans="1:12" ht="15">
      <c r="A61" s="97" t="s">
        <v>1277</v>
      </c>
      <c r="B61" s="96" t="s">
        <v>1292</v>
      </c>
      <c r="C61" s="96">
        <v>7</v>
      </c>
      <c r="D61" s="110">
        <v>0.004545680085467596</v>
      </c>
      <c r="E61" s="110">
        <v>2.2676409823459154</v>
      </c>
      <c r="F61" s="96" t="s">
        <v>1436</v>
      </c>
      <c r="G61" s="96" t="b">
        <v>0</v>
      </c>
      <c r="H61" s="96" t="b">
        <v>0</v>
      </c>
      <c r="I61" s="96" t="b">
        <v>0</v>
      </c>
      <c r="J61" s="96" t="b">
        <v>0</v>
      </c>
      <c r="K61" s="96" t="b">
        <v>0</v>
      </c>
      <c r="L61" s="96" t="b">
        <v>0</v>
      </c>
    </row>
    <row r="62" spans="1:12" ht="15">
      <c r="A62" s="97" t="s">
        <v>1259</v>
      </c>
      <c r="B62" s="96" t="s">
        <v>1283</v>
      </c>
      <c r="C62" s="96">
        <v>6</v>
      </c>
      <c r="D62" s="110">
        <v>0.004098248316056601</v>
      </c>
      <c r="E62" s="110">
        <v>1.8874297406343095</v>
      </c>
      <c r="F62" s="96" t="s">
        <v>1436</v>
      </c>
      <c r="G62" s="96" t="b">
        <v>0</v>
      </c>
      <c r="H62" s="96" t="b">
        <v>0</v>
      </c>
      <c r="I62" s="96" t="b">
        <v>0</v>
      </c>
      <c r="J62" s="96" t="b">
        <v>0</v>
      </c>
      <c r="K62" s="96" t="b">
        <v>0</v>
      </c>
      <c r="L62" s="96" t="b">
        <v>0</v>
      </c>
    </row>
    <row r="63" spans="1:12" ht="15">
      <c r="A63" s="97" t="s">
        <v>307</v>
      </c>
      <c r="B63" s="96" t="s">
        <v>310</v>
      </c>
      <c r="C63" s="96">
        <v>6</v>
      </c>
      <c r="D63" s="110">
        <v>0.004098248316056601</v>
      </c>
      <c r="E63" s="110">
        <v>1.8874297406343095</v>
      </c>
      <c r="F63" s="96" t="s">
        <v>1436</v>
      </c>
      <c r="G63" s="96" t="b">
        <v>0</v>
      </c>
      <c r="H63" s="96" t="b">
        <v>0</v>
      </c>
      <c r="I63" s="96" t="b">
        <v>0</v>
      </c>
      <c r="J63" s="96" t="b">
        <v>0</v>
      </c>
      <c r="K63" s="96" t="b">
        <v>0</v>
      </c>
      <c r="L63" s="96" t="b">
        <v>0</v>
      </c>
    </row>
    <row r="64" spans="1:12" ht="15">
      <c r="A64" s="97" t="s">
        <v>311</v>
      </c>
      <c r="B64" s="96" t="s">
        <v>301</v>
      </c>
      <c r="C64" s="96">
        <v>6</v>
      </c>
      <c r="D64" s="110">
        <v>0.004098248316056601</v>
      </c>
      <c r="E64" s="110">
        <v>2.1884597362982907</v>
      </c>
      <c r="F64" s="96" t="s">
        <v>1436</v>
      </c>
      <c r="G64" s="96" t="b">
        <v>0</v>
      </c>
      <c r="H64" s="96" t="b">
        <v>0</v>
      </c>
      <c r="I64" s="96" t="b">
        <v>0</v>
      </c>
      <c r="J64" s="96" t="b">
        <v>0</v>
      </c>
      <c r="K64" s="96" t="b">
        <v>0</v>
      </c>
      <c r="L64" s="96" t="b">
        <v>0</v>
      </c>
    </row>
    <row r="65" spans="1:12" ht="15">
      <c r="A65" s="97" t="s">
        <v>312</v>
      </c>
      <c r="B65" s="96" t="s">
        <v>296</v>
      </c>
      <c r="C65" s="96">
        <v>6</v>
      </c>
      <c r="D65" s="110">
        <v>0.004098248316056601</v>
      </c>
      <c r="E65" s="110">
        <v>2.489489731962272</v>
      </c>
      <c r="F65" s="96" t="s">
        <v>1436</v>
      </c>
      <c r="G65" s="96" t="b">
        <v>0</v>
      </c>
      <c r="H65" s="96" t="b">
        <v>0</v>
      </c>
      <c r="I65" s="96" t="b">
        <v>0</v>
      </c>
      <c r="J65" s="96" t="b">
        <v>0</v>
      </c>
      <c r="K65" s="96" t="b">
        <v>0</v>
      </c>
      <c r="L65" s="96" t="b">
        <v>0</v>
      </c>
    </row>
    <row r="66" spans="1:12" ht="15">
      <c r="A66" s="97" t="s">
        <v>1298</v>
      </c>
      <c r="B66" s="96" t="s">
        <v>1010</v>
      </c>
      <c r="C66" s="96">
        <v>6</v>
      </c>
      <c r="D66" s="110">
        <v>0.004098248316056601</v>
      </c>
      <c r="E66" s="110">
        <v>1.8874297406343095</v>
      </c>
      <c r="F66" s="96" t="s">
        <v>1436</v>
      </c>
      <c r="G66" s="96" t="b">
        <v>0</v>
      </c>
      <c r="H66" s="96" t="b">
        <v>0</v>
      </c>
      <c r="I66" s="96" t="b">
        <v>0</v>
      </c>
      <c r="J66" s="96" t="b">
        <v>0</v>
      </c>
      <c r="K66" s="96" t="b">
        <v>0</v>
      </c>
      <c r="L66" s="96" t="b">
        <v>0</v>
      </c>
    </row>
    <row r="67" spans="1:12" ht="15">
      <c r="A67" s="97" t="s">
        <v>300</v>
      </c>
      <c r="B67" s="96" t="s">
        <v>305</v>
      </c>
      <c r="C67" s="96">
        <v>6</v>
      </c>
      <c r="D67" s="110">
        <v>0.004098248316056601</v>
      </c>
      <c r="E67" s="110">
        <v>1.8874297406343095</v>
      </c>
      <c r="F67" s="96" t="s">
        <v>1436</v>
      </c>
      <c r="G67" s="96" t="b">
        <v>0</v>
      </c>
      <c r="H67" s="96" t="b">
        <v>0</v>
      </c>
      <c r="I67" s="96" t="b">
        <v>0</v>
      </c>
      <c r="J67" s="96" t="b">
        <v>0</v>
      </c>
      <c r="K67" s="96" t="b">
        <v>0</v>
      </c>
      <c r="L67" s="96" t="b">
        <v>0</v>
      </c>
    </row>
    <row r="68" spans="1:12" ht="15">
      <c r="A68" s="97" t="s">
        <v>308</v>
      </c>
      <c r="B68" s="96" t="s">
        <v>309</v>
      </c>
      <c r="C68" s="96">
        <v>6</v>
      </c>
      <c r="D68" s="110">
        <v>0.004098248316056601</v>
      </c>
      <c r="E68" s="110">
        <v>2.063520999689991</v>
      </c>
      <c r="F68" s="96" t="s">
        <v>1436</v>
      </c>
      <c r="G68" s="96" t="b">
        <v>0</v>
      </c>
      <c r="H68" s="96" t="b">
        <v>0</v>
      </c>
      <c r="I68" s="96" t="b">
        <v>0</v>
      </c>
      <c r="J68" s="96" t="b">
        <v>0</v>
      </c>
      <c r="K68" s="96" t="b">
        <v>0</v>
      </c>
      <c r="L68" s="96" t="b">
        <v>0</v>
      </c>
    </row>
    <row r="69" spans="1:12" ht="15">
      <c r="A69" s="97" t="s">
        <v>1300</v>
      </c>
      <c r="B69" s="96" t="s">
        <v>313</v>
      </c>
      <c r="C69" s="96">
        <v>6</v>
      </c>
      <c r="D69" s="110">
        <v>0.004098248316056601</v>
      </c>
      <c r="E69" s="110">
        <v>2.489489731962272</v>
      </c>
      <c r="F69" s="96" t="s">
        <v>1436</v>
      </c>
      <c r="G69" s="96" t="b">
        <v>0</v>
      </c>
      <c r="H69" s="96" t="b">
        <v>0</v>
      </c>
      <c r="I69" s="96" t="b">
        <v>0</v>
      </c>
      <c r="J69" s="96" t="b">
        <v>0</v>
      </c>
      <c r="K69" s="96" t="b">
        <v>0</v>
      </c>
      <c r="L69" s="96" t="b">
        <v>0</v>
      </c>
    </row>
    <row r="70" spans="1:12" ht="15">
      <c r="A70" s="97" t="s">
        <v>1010</v>
      </c>
      <c r="B70" s="96" t="s">
        <v>1295</v>
      </c>
      <c r="C70" s="96">
        <v>6</v>
      </c>
      <c r="D70" s="110">
        <v>0.004098248316056601</v>
      </c>
      <c r="E70" s="110">
        <v>1.9252183015237092</v>
      </c>
      <c r="F70" s="96" t="s">
        <v>1436</v>
      </c>
      <c r="G70" s="96" t="b">
        <v>0</v>
      </c>
      <c r="H70" s="96" t="b">
        <v>0</v>
      </c>
      <c r="I70" s="96" t="b">
        <v>0</v>
      </c>
      <c r="J70" s="96" t="b">
        <v>0</v>
      </c>
      <c r="K70" s="96" t="b">
        <v>0</v>
      </c>
      <c r="L70" s="96" t="b">
        <v>0</v>
      </c>
    </row>
    <row r="71" spans="1:12" ht="15">
      <c r="A71" s="97" t="s">
        <v>1290</v>
      </c>
      <c r="B71" s="96" t="s">
        <v>1000</v>
      </c>
      <c r="C71" s="96">
        <v>6</v>
      </c>
      <c r="D71" s="110">
        <v>0.004098248316056601</v>
      </c>
      <c r="E71" s="110">
        <v>1.4266989021028165</v>
      </c>
      <c r="F71" s="96" t="s">
        <v>1436</v>
      </c>
      <c r="G71" s="96" t="b">
        <v>0</v>
      </c>
      <c r="H71" s="96" t="b">
        <v>0</v>
      </c>
      <c r="I71" s="96" t="b">
        <v>0</v>
      </c>
      <c r="J71" s="96" t="b">
        <v>0</v>
      </c>
      <c r="K71" s="96" t="b">
        <v>0</v>
      </c>
      <c r="L71" s="96" t="b">
        <v>0</v>
      </c>
    </row>
    <row r="72" spans="1:12" ht="15">
      <c r="A72" s="97" t="s">
        <v>302</v>
      </c>
      <c r="B72" s="96" t="s">
        <v>311</v>
      </c>
      <c r="C72" s="96">
        <v>6</v>
      </c>
      <c r="D72" s="110">
        <v>0.004098248316056601</v>
      </c>
      <c r="E72" s="110">
        <v>2.489489731962272</v>
      </c>
      <c r="F72" s="96" t="s">
        <v>1436</v>
      </c>
      <c r="G72" s="96" t="b">
        <v>0</v>
      </c>
      <c r="H72" s="96" t="b">
        <v>0</v>
      </c>
      <c r="I72" s="96" t="b">
        <v>0</v>
      </c>
      <c r="J72" s="96" t="b">
        <v>0</v>
      </c>
      <c r="K72" s="96" t="b">
        <v>0</v>
      </c>
      <c r="L72" s="96" t="b">
        <v>0</v>
      </c>
    </row>
    <row r="73" spans="1:12" ht="15">
      <c r="A73" s="97" t="s">
        <v>1286</v>
      </c>
      <c r="B73" s="96" t="s">
        <v>1300</v>
      </c>
      <c r="C73" s="96">
        <v>6</v>
      </c>
      <c r="D73" s="110">
        <v>0.004098248316056601</v>
      </c>
      <c r="E73" s="110">
        <v>2.3133984729065906</v>
      </c>
      <c r="F73" s="96" t="s">
        <v>1436</v>
      </c>
      <c r="G73" s="96" t="b">
        <v>0</v>
      </c>
      <c r="H73" s="96" t="b">
        <v>0</v>
      </c>
      <c r="I73" s="96" t="b">
        <v>0</v>
      </c>
      <c r="J73" s="96" t="b">
        <v>0</v>
      </c>
      <c r="K73" s="96" t="b">
        <v>0</v>
      </c>
      <c r="L73" s="96" t="b">
        <v>0</v>
      </c>
    </row>
    <row r="74" spans="1:12" ht="15">
      <c r="A74" s="97" t="s">
        <v>299</v>
      </c>
      <c r="B74" s="96" t="s">
        <v>305</v>
      </c>
      <c r="C74" s="96">
        <v>6</v>
      </c>
      <c r="D74" s="110">
        <v>0.004098248316056601</v>
      </c>
      <c r="E74" s="110">
        <v>2.063520999689991</v>
      </c>
      <c r="F74" s="96" t="s">
        <v>1436</v>
      </c>
      <c r="G74" s="96" t="b">
        <v>0</v>
      </c>
      <c r="H74" s="96" t="b">
        <v>0</v>
      </c>
      <c r="I74" s="96" t="b">
        <v>0</v>
      </c>
      <c r="J74" s="96" t="b">
        <v>0</v>
      </c>
      <c r="K74" s="96" t="b">
        <v>0</v>
      </c>
      <c r="L74" s="96" t="b">
        <v>0</v>
      </c>
    </row>
    <row r="75" spans="1:12" ht="15">
      <c r="A75" s="97" t="s">
        <v>301</v>
      </c>
      <c r="B75" s="96" t="s">
        <v>299</v>
      </c>
      <c r="C75" s="96">
        <v>6</v>
      </c>
      <c r="D75" s="110">
        <v>0.004098248316056601</v>
      </c>
      <c r="E75" s="110">
        <v>2.1884597362982907</v>
      </c>
      <c r="F75" s="96" t="s">
        <v>1436</v>
      </c>
      <c r="G75" s="96" t="b">
        <v>0</v>
      </c>
      <c r="H75" s="96" t="b">
        <v>0</v>
      </c>
      <c r="I75" s="96" t="b">
        <v>0</v>
      </c>
      <c r="J75" s="96" t="b">
        <v>0</v>
      </c>
      <c r="K75" s="96" t="b">
        <v>0</v>
      </c>
      <c r="L75" s="96" t="b">
        <v>0</v>
      </c>
    </row>
    <row r="76" spans="1:12" ht="15">
      <c r="A76" s="97" t="s">
        <v>308</v>
      </c>
      <c r="B76" s="96" t="s">
        <v>307</v>
      </c>
      <c r="C76" s="96">
        <v>6</v>
      </c>
      <c r="D76" s="110">
        <v>0.004098248316056601</v>
      </c>
      <c r="E76" s="110">
        <v>1.6375522674177094</v>
      </c>
      <c r="F76" s="96" t="s">
        <v>1436</v>
      </c>
      <c r="G76" s="96" t="b">
        <v>0</v>
      </c>
      <c r="H76" s="96" t="b">
        <v>0</v>
      </c>
      <c r="I76" s="96" t="b">
        <v>0</v>
      </c>
      <c r="J76" s="96" t="b">
        <v>0</v>
      </c>
      <c r="K76" s="96" t="b">
        <v>0</v>
      </c>
      <c r="L76" s="96" t="b">
        <v>0</v>
      </c>
    </row>
    <row r="77" spans="1:12" ht="15">
      <c r="A77" s="97" t="s">
        <v>1016</v>
      </c>
      <c r="B77" s="96" t="s">
        <v>301</v>
      </c>
      <c r="C77" s="96">
        <v>6</v>
      </c>
      <c r="D77" s="110">
        <v>0.004098248316056601</v>
      </c>
      <c r="E77" s="110">
        <v>2.1884597362982907</v>
      </c>
      <c r="F77" s="96" t="s">
        <v>1436</v>
      </c>
      <c r="G77" s="96" t="b">
        <v>0</v>
      </c>
      <c r="H77" s="96" t="b">
        <v>0</v>
      </c>
      <c r="I77" s="96" t="b">
        <v>0</v>
      </c>
      <c r="J77" s="96" t="b">
        <v>0</v>
      </c>
      <c r="K77" s="96" t="b">
        <v>0</v>
      </c>
      <c r="L77" s="96" t="b">
        <v>0</v>
      </c>
    </row>
    <row r="78" spans="1:12" ht="15">
      <c r="A78" s="97" t="s">
        <v>301</v>
      </c>
      <c r="B78" s="96" t="s">
        <v>300</v>
      </c>
      <c r="C78" s="96">
        <v>6</v>
      </c>
      <c r="D78" s="110">
        <v>0.004098248316056601</v>
      </c>
      <c r="E78" s="110">
        <v>2.0123684772426094</v>
      </c>
      <c r="F78" s="96" t="s">
        <v>1436</v>
      </c>
      <c r="G78" s="96" t="b">
        <v>0</v>
      </c>
      <c r="H78" s="96" t="b">
        <v>0</v>
      </c>
      <c r="I78" s="96" t="b">
        <v>0</v>
      </c>
      <c r="J78" s="96" t="b">
        <v>0</v>
      </c>
      <c r="K78" s="96" t="b">
        <v>0</v>
      </c>
      <c r="L78" s="96" t="b">
        <v>0</v>
      </c>
    </row>
    <row r="79" spans="1:12" ht="15">
      <c r="A79" s="97" t="s">
        <v>305</v>
      </c>
      <c r="B79" s="96" t="s">
        <v>1015</v>
      </c>
      <c r="C79" s="96">
        <v>6</v>
      </c>
      <c r="D79" s="110">
        <v>0.004098248316056601</v>
      </c>
      <c r="E79" s="110">
        <v>1.8416722500736344</v>
      </c>
      <c r="F79" s="96" t="s">
        <v>1436</v>
      </c>
      <c r="G79" s="96" t="b">
        <v>0</v>
      </c>
      <c r="H79" s="96" t="b">
        <v>0</v>
      </c>
      <c r="I79" s="96" t="b">
        <v>0</v>
      </c>
      <c r="J79" s="96" t="b">
        <v>0</v>
      </c>
      <c r="K79" s="96" t="b">
        <v>0</v>
      </c>
      <c r="L79" s="96" t="b">
        <v>0</v>
      </c>
    </row>
    <row r="80" spans="1:12" ht="15">
      <c r="A80" s="97" t="s">
        <v>1270</v>
      </c>
      <c r="B80" s="96" t="s">
        <v>1255</v>
      </c>
      <c r="C80" s="96">
        <v>6</v>
      </c>
      <c r="D80" s="110">
        <v>0.004098248316056601</v>
      </c>
      <c r="E80" s="110">
        <v>1.749127042468028</v>
      </c>
      <c r="F80" s="96" t="s">
        <v>1436</v>
      </c>
      <c r="G80" s="96" t="b">
        <v>0</v>
      </c>
      <c r="H80" s="96" t="b">
        <v>0</v>
      </c>
      <c r="I80" s="96" t="b">
        <v>0</v>
      </c>
      <c r="J80" s="96" t="b">
        <v>0</v>
      </c>
      <c r="K80" s="96" t="b">
        <v>0</v>
      </c>
      <c r="L80" s="96" t="b">
        <v>0</v>
      </c>
    </row>
    <row r="81" spans="1:12" ht="15">
      <c r="A81" s="97" t="s">
        <v>1260</v>
      </c>
      <c r="B81" s="96" t="s">
        <v>1286</v>
      </c>
      <c r="C81" s="96">
        <v>6</v>
      </c>
      <c r="D81" s="110">
        <v>0.004098248316056601</v>
      </c>
      <c r="E81" s="110">
        <v>1.9454216876119963</v>
      </c>
      <c r="F81" s="96" t="s">
        <v>1436</v>
      </c>
      <c r="G81" s="96" t="b">
        <v>0</v>
      </c>
      <c r="H81" s="96" t="b">
        <v>0</v>
      </c>
      <c r="I81" s="96" t="b">
        <v>0</v>
      </c>
      <c r="J81" s="96" t="b">
        <v>0</v>
      </c>
      <c r="K81" s="96" t="b">
        <v>0</v>
      </c>
      <c r="L81" s="96" t="b">
        <v>0</v>
      </c>
    </row>
    <row r="82" spans="1:12" ht="15">
      <c r="A82" s="97" t="s">
        <v>305</v>
      </c>
      <c r="B82" s="96" t="s">
        <v>307</v>
      </c>
      <c r="C82" s="96">
        <v>6</v>
      </c>
      <c r="D82" s="110">
        <v>0.004098248316056601</v>
      </c>
      <c r="E82" s="110">
        <v>1.6375522674177094</v>
      </c>
      <c r="F82" s="96" t="s">
        <v>1436</v>
      </c>
      <c r="G82" s="96" t="b">
        <v>0</v>
      </c>
      <c r="H82" s="96" t="b">
        <v>0</v>
      </c>
      <c r="I82" s="96" t="b">
        <v>0</v>
      </c>
      <c r="J82" s="96" t="b">
        <v>0</v>
      </c>
      <c r="K82" s="96" t="b">
        <v>0</v>
      </c>
      <c r="L82" s="96" t="b">
        <v>0</v>
      </c>
    </row>
    <row r="83" spans="1:12" ht="15">
      <c r="A83" s="97" t="s">
        <v>1278</v>
      </c>
      <c r="B83" s="96" t="s">
        <v>1298</v>
      </c>
      <c r="C83" s="96">
        <v>6</v>
      </c>
      <c r="D83" s="110">
        <v>0.004098248316056601</v>
      </c>
      <c r="E83" s="110">
        <v>2.2676409823459154</v>
      </c>
      <c r="F83" s="96" t="s">
        <v>1436</v>
      </c>
      <c r="G83" s="96" t="b">
        <v>0</v>
      </c>
      <c r="H83" s="96" t="b">
        <v>0</v>
      </c>
      <c r="I83" s="96" t="b">
        <v>0</v>
      </c>
      <c r="J83" s="96" t="b">
        <v>0</v>
      </c>
      <c r="K83" s="96" t="b">
        <v>0</v>
      </c>
      <c r="L83" s="96" t="b">
        <v>0</v>
      </c>
    </row>
    <row r="84" spans="1:12" ht="15">
      <c r="A84" s="97" t="s">
        <v>1295</v>
      </c>
      <c r="B84" s="96" t="s">
        <v>1005</v>
      </c>
      <c r="C84" s="96">
        <v>6</v>
      </c>
      <c r="D84" s="110">
        <v>0.004098248316056601</v>
      </c>
      <c r="E84" s="110">
        <v>1.7113384815786283</v>
      </c>
      <c r="F84" s="96" t="s">
        <v>1436</v>
      </c>
      <c r="G84" s="96" t="b">
        <v>0</v>
      </c>
      <c r="H84" s="96" t="b">
        <v>0</v>
      </c>
      <c r="I84" s="96" t="b">
        <v>0</v>
      </c>
      <c r="J84" s="96" t="b">
        <v>0</v>
      </c>
      <c r="K84" s="96" t="b">
        <v>0</v>
      </c>
      <c r="L84" s="96" t="b">
        <v>0</v>
      </c>
    </row>
    <row r="85" spans="1:12" ht="15">
      <c r="A85" s="97" t="s">
        <v>310</v>
      </c>
      <c r="B85" s="96" t="s">
        <v>308</v>
      </c>
      <c r="C85" s="96">
        <v>6</v>
      </c>
      <c r="D85" s="110">
        <v>0.004098248316056601</v>
      </c>
      <c r="E85" s="110">
        <v>1.8874297406343095</v>
      </c>
      <c r="F85" s="96" t="s">
        <v>1436</v>
      </c>
      <c r="G85" s="96" t="b">
        <v>0</v>
      </c>
      <c r="H85" s="96" t="b">
        <v>0</v>
      </c>
      <c r="I85" s="96" t="b">
        <v>0</v>
      </c>
      <c r="J85" s="96" t="b">
        <v>0</v>
      </c>
      <c r="K85" s="96" t="b">
        <v>0</v>
      </c>
      <c r="L85" s="96" t="b">
        <v>0</v>
      </c>
    </row>
    <row r="86" spans="1:12" ht="15">
      <c r="A86" s="97" t="s">
        <v>1000</v>
      </c>
      <c r="B86" s="96" t="s">
        <v>1270</v>
      </c>
      <c r="C86" s="96">
        <v>6</v>
      </c>
      <c r="D86" s="110">
        <v>0.004098248316056601</v>
      </c>
      <c r="E86" s="110">
        <v>0.8838256163654843</v>
      </c>
      <c r="F86" s="96" t="s">
        <v>1436</v>
      </c>
      <c r="G86" s="96" t="b">
        <v>0</v>
      </c>
      <c r="H86" s="96" t="b">
        <v>0</v>
      </c>
      <c r="I86" s="96" t="b">
        <v>0</v>
      </c>
      <c r="J86" s="96" t="b">
        <v>0</v>
      </c>
      <c r="K86" s="96" t="b">
        <v>0</v>
      </c>
      <c r="L86" s="96" t="b">
        <v>0</v>
      </c>
    </row>
    <row r="87" spans="1:12" ht="15">
      <c r="A87" s="97" t="s">
        <v>1255</v>
      </c>
      <c r="B87" s="96" t="s">
        <v>1001</v>
      </c>
      <c r="C87" s="96">
        <v>6</v>
      </c>
      <c r="D87" s="110">
        <v>0.004098248316056601</v>
      </c>
      <c r="E87" s="110">
        <v>1.074516383991454</v>
      </c>
      <c r="F87" s="96" t="s">
        <v>1436</v>
      </c>
      <c r="G87" s="96" t="b">
        <v>0</v>
      </c>
      <c r="H87" s="96" t="b">
        <v>0</v>
      </c>
      <c r="I87" s="96" t="b">
        <v>0</v>
      </c>
      <c r="J87" s="96" t="b">
        <v>0</v>
      </c>
      <c r="K87" s="96" t="b">
        <v>0</v>
      </c>
      <c r="L87" s="96" t="b">
        <v>0</v>
      </c>
    </row>
    <row r="88" spans="1:12" ht="15">
      <c r="A88" s="97" t="s">
        <v>307</v>
      </c>
      <c r="B88" s="96" t="s">
        <v>1016</v>
      </c>
      <c r="C88" s="96">
        <v>6</v>
      </c>
      <c r="D88" s="110">
        <v>0.004098248316056601</v>
      </c>
      <c r="E88" s="110">
        <v>2.063520999689991</v>
      </c>
      <c r="F88" s="96" t="s">
        <v>1436</v>
      </c>
      <c r="G88" s="96" t="b">
        <v>0</v>
      </c>
      <c r="H88" s="96" t="b">
        <v>0</v>
      </c>
      <c r="I88" s="96" t="b">
        <v>0</v>
      </c>
      <c r="J88" s="96" t="b">
        <v>0</v>
      </c>
      <c r="K88" s="96" t="b">
        <v>0</v>
      </c>
      <c r="L88" s="96" t="b">
        <v>0</v>
      </c>
    </row>
    <row r="89" spans="1:12" ht="15">
      <c r="A89" s="97" t="s">
        <v>296</v>
      </c>
      <c r="B89" s="96" t="s">
        <v>302</v>
      </c>
      <c r="C89" s="96">
        <v>6</v>
      </c>
      <c r="D89" s="110">
        <v>0.004098248316056601</v>
      </c>
      <c r="E89" s="110">
        <v>2.489489731962272</v>
      </c>
      <c r="F89" s="96" t="s">
        <v>1436</v>
      </c>
      <c r="G89" s="96" t="b">
        <v>0</v>
      </c>
      <c r="H89" s="96" t="b">
        <v>0</v>
      </c>
      <c r="I89" s="96" t="b">
        <v>0</v>
      </c>
      <c r="J89" s="96" t="b">
        <v>0</v>
      </c>
      <c r="K89" s="96" t="b">
        <v>0</v>
      </c>
      <c r="L89" s="96" t="b">
        <v>0</v>
      </c>
    </row>
    <row r="90" spans="1:12" ht="15">
      <c r="A90" s="97" t="s">
        <v>313</v>
      </c>
      <c r="B90" s="96" t="s">
        <v>312</v>
      </c>
      <c r="C90" s="96">
        <v>6</v>
      </c>
      <c r="D90" s="110">
        <v>0.004098248316056601</v>
      </c>
      <c r="E90" s="110">
        <v>2.489489731962272</v>
      </c>
      <c r="F90" s="96" t="s">
        <v>1436</v>
      </c>
      <c r="G90" s="96" t="b">
        <v>0</v>
      </c>
      <c r="H90" s="96" t="b">
        <v>0</v>
      </c>
      <c r="I90" s="96" t="b">
        <v>0</v>
      </c>
      <c r="J90" s="96" t="b">
        <v>0</v>
      </c>
      <c r="K90" s="96" t="b">
        <v>0</v>
      </c>
      <c r="L90" s="96" t="b">
        <v>0</v>
      </c>
    </row>
    <row r="91" spans="1:12" ht="15">
      <c r="A91" s="97" t="s">
        <v>309</v>
      </c>
      <c r="B91" s="96" t="s">
        <v>304</v>
      </c>
      <c r="C91" s="96">
        <v>6</v>
      </c>
      <c r="D91" s="110">
        <v>0.004098248316056601</v>
      </c>
      <c r="E91" s="110">
        <v>2.4225429423316585</v>
      </c>
      <c r="F91" s="96" t="s">
        <v>1436</v>
      </c>
      <c r="G91" s="96" t="b">
        <v>0</v>
      </c>
      <c r="H91" s="96" t="b">
        <v>0</v>
      </c>
      <c r="I91" s="96" t="b">
        <v>0</v>
      </c>
      <c r="J91" s="96" t="b">
        <v>0</v>
      </c>
      <c r="K91" s="96" t="b">
        <v>0</v>
      </c>
      <c r="L91" s="96" t="b">
        <v>0</v>
      </c>
    </row>
    <row r="92" spans="1:12" ht="15">
      <c r="A92" s="97" t="s">
        <v>1301</v>
      </c>
      <c r="B92" s="96" t="s">
        <v>1299</v>
      </c>
      <c r="C92" s="96">
        <v>6</v>
      </c>
      <c r="D92" s="110">
        <v>0.004098248316056601</v>
      </c>
      <c r="E92" s="110">
        <v>2.489489731962272</v>
      </c>
      <c r="F92" s="96" t="s">
        <v>1436</v>
      </c>
      <c r="G92" s="96" t="b">
        <v>0</v>
      </c>
      <c r="H92" s="96" t="b">
        <v>0</v>
      </c>
      <c r="I92" s="96" t="b">
        <v>0</v>
      </c>
      <c r="J92" s="96" t="b">
        <v>0</v>
      </c>
      <c r="K92" s="96" t="b">
        <v>0</v>
      </c>
      <c r="L92" s="96" t="b">
        <v>0</v>
      </c>
    </row>
    <row r="93" spans="1:12" ht="15">
      <c r="A93" s="97" t="s">
        <v>982</v>
      </c>
      <c r="B93" s="96" t="s">
        <v>1317</v>
      </c>
      <c r="C93" s="96">
        <v>5</v>
      </c>
      <c r="D93" s="110">
        <v>0.0036142548084977075</v>
      </c>
      <c r="E93" s="110">
        <v>1.5042129887829783</v>
      </c>
      <c r="F93" s="96" t="s">
        <v>1436</v>
      </c>
      <c r="G93" s="96" t="b">
        <v>0</v>
      </c>
      <c r="H93" s="96" t="b">
        <v>0</v>
      </c>
      <c r="I93" s="96" t="b">
        <v>0</v>
      </c>
      <c r="J93" s="96" t="b">
        <v>0</v>
      </c>
      <c r="K93" s="96" t="b">
        <v>0</v>
      </c>
      <c r="L93" s="96" t="b">
        <v>0</v>
      </c>
    </row>
    <row r="94" spans="1:12" ht="15">
      <c r="A94" s="97" t="s">
        <v>976</v>
      </c>
      <c r="B94" s="96" t="s">
        <v>1330</v>
      </c>
      <c r="C94" s="96">
        <v>5</v>
      </c>
      <c r="D94" s="110">
        <v>0.0036142548084977075</v>
      </c>
      <c r="E94" s="110">
        <v>2.0371920609676417</v>
      </c>
      <c r="F94" s="96" t="s">
        <v>1436</v>
      </c>
      <c r="G94" s="96" t="b">
        <v>0</v>
      </c>
      <c r="H94" s="96" t="b">
        <v>0</v>
      </c>
      <c r="I94" s="96" t="b">
        <v>0</v>
      </c>
      <c r="J94" s="96" t="b">
        <v>0</v>
      </c>
      <c r="K94" s="96" t="b">
        <v>0</v>
      </c>
      <c r="L94" s="96" t="b">
        <v>0</v>
      </c>
    </row>
    <row r="95" spans="1:12" ht="15">
      <c r="A95" s="97" t="s">
        <v>1310</v>
      </c>
      <c r="B95" s="96" t="s">
        <v>1260</v>
      </c>
      <c r="C95" s="96">
        <v>5</v>
      </c>
      <c r="D95" s="110">
        <v>0.0036142548084977075</v>
      </c>
      <c r="E95" s="110">
        <v>2.1215129466676776</v>
      </c>
      <c r="F95" s="96" t="s">
        <v>1436</v>
      </c>
      <c r="G95" s="96" t="b">
        <v>0</v>
      </c>
      <c r="H95" s="96" t="b">
        <v>0</v>
      </c>
      <c r="I95" s="96" t="b">
        <v>0</v>
      </c>
      <c r="J95" s="96" t="b">
        <v>0</v>
      </c>
      <c r="K95" s="96" t="b">
        <v>0</v>
      </c>
      <c r="L95" s="96" t="b">
        <v>0</v>
      </c>
    </row>
    <row r="96" spans="1:12" ht="15">
      <c r="A96" s="97" t="s">
        <v>982</v>
      </c>
      <c r="B96" s="96" t="s">
        <v>976</v>
      </c>
      <c r="C96" s="96">
        <v>5</v>
      </c>
      <c r="D96" s="110">
        <v>0.0036142548084977075</v>
      </c>
      <c r="E96" s="110">
        <v>0.9727340717407231</v>
      </c>
      <c r="F96" s="96" t="s">
        <v>1436</v>
      </c>
      <c r="G96" s="96" t="b">
        <v>0</v>
      </c>
      <c r="H96" s="96" t="b">
        <v>0</v>
      </c>
      <c r="I96" s="96" t="b">
        <v>0</v>
      </c>
      <c r="J96" s="96" t="b">
        <v>0</v>
      </c>
      <c r="K96" s="96" t="b">
        <v>0</v>
      </c>
      <c r="L96" s="96" t="b">
        <v>0</v>
      </c>
    </row>
    <row r="97" spans="1:12" ht="15">
      <c r="A97" s="97" t="s">
        <v>1293</v>
      </c>
      <c r="B97" s="96" t="s">
        <v>982</v>
      </c>
      <c r="C97" s="96">
        <v>5</v>
      </c>
      <c r="D97" s="110">
        <v>0.0036142548084977075</v>
      </c>
      <c r="E97" s="110">
        <v>1.3972370770668885</v>
      </c>
      <c r="F97" s="96" t="s">
        <v>1436</v>
      </c>
      <c r="G97" s="96" t="b">
        <v>0</v>
      </c>
      <c r="H97" s="96" t="b">
        <v>0</v>
      </c>
      <c r="I97" s="96" t="b">
        <v>0</v>
      </c>
      <c r="J97" s="96" t="b">
        <v>0</v>
      </c>
      <c r="K97" s="96" t="b">
        <v>0</v>
      </c>
      <c r="L97" s="96" t="b">
        <v>0</v>
      </c>
    </row>
    <row r="98" spans="1:12" ht="15">
      <c r="A98" s="97" t="s">
        <v>1319</v>
      </c>
      <c r="B98" s="96" t="s">
        <v>1333</v>
      </c>
      <c r="C98" s="96">
        <v>5</v>
      </c>
      <c r="D98" s="110">
        <v>0.0036142548084977075</v>
      </c>
      <c r="E98" s="110">
        <v>2.5686709780098966</v>
      </c>
      <c r="F98" s="96" t="s">
        <v>1436</v>
      </c>
      <c r="G98" s="96" t="b">
        <v>0</v>
      </c>
      <c r="H98" s="96" t="b">
        <v>0</v>
      </c>
      <c r="I98" s="96" t="b">
        <v>0</v>
      </c>
      <c r="J98" s="96" t="b">
        <v>0</v>
      </c>
      <c r="K98" s="96" t="b">
        <v>0</v>
      </c>
      <c r="L98" s="96" t="b">
        <v>0</v>
      </c>
    </row>
    <row r="99" spans="1:12" ht="15">
      <c r="A99" s="97" t="s">
        <v>1326</v>
      </c>
      <c r="B99" s="96" t="s">
        <v>1329</v>
      </c>
      <c r="C99" s="96">
        <v>5</v>
      </c>
      <c r="D99" s="110">
        <v>0.0036142548084977075</v>
      </c>
      <c r="E99" s="110">
        <v>2.5686709780098966</v>
      </c>
      <c r="F99" s="96" t="s">
        <v>1436</v>
      </c>
      <c r="G99" s="96" t="b">
        <v>0</v>
      </c>
      <c r="H99" s="96" t="b">
        <v>0</v>
      </c>
      <c r="I99" s="96" t="b">
        <v>0</v>
      </c>
      <c r="J99" s="96" t="b">
        <v>0</v>
      </c>
      <c r="K99" s="96" t="b">
        <v>0</v>
      </c>
      <c r="L99" s="96" t="b">
        <v>0</v>
      </c>
    </row>
    <row r="100" spans="1:12" ht="15">
      <c r="A100" s="97" t="s">
        <v>875</v>
      </c>
      <c r="B100" s="96" t="s">
        <v>1328</v>
      </c>
      <c r="C100" s="96">
        <v>5</v>
      </c>
      <c r="D100" s="110">
        <v>0.0036142548084977075</v>
      </c>
      <c r="E100" s="110">
        <v>1.6765763753194163</v>
      </c>
      <c r="F100" s="96" t="s">
        <v>1436</v>
      </c>
      <c r="G100" s="96" t="b">
        <v>0</v>
      </c>
      <c r="H100" s="96" t="b">
        <v>0</v>
      </c>
      <c r="I100" s="96" t="b">
        <v>0</v>
      </c>
      <c r="J100" s="96" t="b">
        <v>0</v>
      </c>
      <c r="K100" s="96" t="b">
        <v>0</v>
      </c>
      <c r="L100" s="96" t="b">
        <v>0</v>
      </c>
    </row>
    <row r="101" spans="1:12" ht="15">
      <c r="A101" s="97" t="s">
        <v>1328</v>
      </c>
      <c r="B101" s="96" t="s">
        <v>1287</v>
      </c>
      <c r="C101" s="96">
        <v>5</v>
      </c>
      <c r="D101" s="110">
        <v>0.0036142548084977075</v>
      </c>
      <c r="E101" s="110">
        <v>2.4225429423316585</v>
      </c>
      <c r="F101" s="96" t="s">
        <v>1436</v>
      </c>
      <c r="G101" s="96" t="b">
        <v>0</v>
      </c>
      <c r="H101" s="96" t="b">
        <v>0</v>
      </c>
      <c r="I101" s="96" t="b">
        <v>0</v>
      </c>
      <c r="J101" s="96" t="b">
        <v>0</v>
      </c>
      <c r="K101" s="96" t="b">
        <v>0</v>
      </c>
      <c r="L101" s="96" t="b">
        <v>0</v>
      </c>
    </row>
    <row r="102" spans="1:12" ht="15">
      <c r="A102" s="97" t="s">
        <v>1332</v>
      </c>
      <c r="B102" s="96" t="s">
        <v>1310</v>
      </c>
      <c r="C102" s="96">
        <v>5</v>
      </c>
      <c r="D102" s="110">
        <v>0.0036142548084977075</v>
      </c>
      <c r="E102" s="110">
        <v>2.5686709780098966</v>
      </c>
      <c r="F102" s="96" t="s">
        <v>1436</v>
      </c>
      <c r="G102" s="96" t="b">
        <v>0</v>
      </c>
      <c r="H102" s="96" t="b">
        <v>0</v>
      </c>
      <c r="I102" s="96" t="b">
        <v>0</v>
      </c>
      <c r="J102" s="96" t="b">
        <v>0</v>
      </c>
      <c r="K102" s="96" t="b">
        <v>0</v>
      </c>
      <c r="L102" s="96" t="b">
        <v>0</v>
      </c>
    </row>
    <row r="103" spans="1:12" ht="15">
      <c r="A103" s="97" t="s">
        <v>1000</v>
      </c>
      <c r="B103" s="96" t="s">
        <v>1306</v>
      </c>
      <c r="C103" s="96">
        <v>5</v>
      </c>
      <c r="D103" s="110">
        <v>0.0036142548084977075</v>
      </c>
      <c r="E103" s="110">
        <v>1.1470670511400656</v>
      </c>
      <c r="F103" s="96" t="s">
        <v>1436</v>
      </c>
      <c r="G103" s="96" t="b">
        <v>0</v>
      </c>
      <c r="H103" s="96" t="b">
        <v>0</v>
      </c>
      <c r="I103" s="96" t="b">
        <v>0</v>
      </c>
      <c r="J103" s="96" t="b">
        <v>0</v>
      </c>
      <c r="K103" s="96" t="b">
        <v>0</v>
      </c>
      <c r="L103" s="96" t="b">
        <v>0</v>
      </c>
    </row>
    <row r="104" spans="1:12" ht="15">
      <c r="A104" s="97" t="s">
        <v>1297</v>
      </c>
      <c r="B104" s="96" t="s">
        <v>1332</v>
      </c>
      <c r="C104" s="96">
        <v>5</v>
      </c>
      <c r="D104" s="110">
        <v>0.0036142548084977075</v>
      </c>
      <c r="E104" s="110">
        <v>2.489489731962272</v>
      </c>
      <c r="F104" s="96" t="s">
        <v>1436</v>
      </c>
      <c r="G104" s="96" t="b">
        <v>0</v>
      </c>
      <c r="H104" s="96" t="b">
        <v>0</v>
      </c>
      <c r="I104" s="96" t="b">
        <v>0</v>
      </c>
      <c r="J104" s="96" t="b">
        <v>0</v>
      </c>
      <c r="K104" s="96" t="b">
        <v>0</v>
      </c>
      <c r="L104" s="96" t="b">
        <v>0</v>
      </c>
    </row>
    <row r="105" spans="1:12" ht="15">
      <c r="A105" s="97" t="s">
        <v>1296</v>
      </c>
      <c r="B105" s="96" t="s">
        <v>1253</v>
      </c>
      <c r="C105" s="96">
        <v>5</v>
      </c>
      <c r="D105" s="110">
        <v>0.0036142548084977075</v>
      </c>
      <c r="E105" s="110">
        <v>1.7734863883274727</v>
      </c>
      <c r="F105" s="96" t="s">
        <v>1436</v>
      </c>
      <c r="G105" s="96" t="b">
        <v>0</v>
      </c>
      <c r="H105" s="96" t="b">
        <v>0</v>
      </c>
      <c r="I105" s="96" t="b">
        <v>0</v>
      </c>
      <c r="J105" s="96" t="b">
        <v>0</v>
      </c>
      <c r="K105" s="96" t="b">
        <v>0</v>
      </c>
      <c r="L105" s="96" t="b">
        <v>0</v>
      </c>
    </row>
    <row r="106" spans="1:12" ht="15">
      <c r="A106" s="97" t="s">
        <v>1325</v>
      </c>
      <c r="B106" s="96" t="s">
        <v>1297</v>
      </c>
      <c r="C106" s="96">
        <v>5</v>
      </c>
      <c r="D106" s="110">
        <v>0.0036142548084977075</v>
      </c>
      <c r="E106" s="110">
        <v>2.489489731962272</v>
      </c>
      <c r="F106" s="96" t="s">
        <v>1436</v>
      </c>
      <c r="G106" s="96" t="b">
        <v>0</v>
      </c>
      <c r="H106" s="96" t="b">
        <v>0</v>
      </c>
      <c r="I106" s="96" t="b">
        <v>0</v>
      </c>
      <c r="J106" s="96" t="b">
        <v>0</v>
      </c>
      <c r="K106" s="96" t="b">
        <v>0</v>
      </c>
      <c r="L106" s="96" t="b">
        <v>0</v>
      </c>
    </row>
    <row r="107" spans="1:12" ht="15">
      <c r="A107" s="97" t="s">
        <v>1317</v>
      </c>
      <c r="B107" s="96" t="s">
        <v>1258</v>
      </c>
      <c r="C107" s="96">
        <v>5</v>
      </c>
      <c r="D107" s="110">
        <v>0.0036142548084977075</v>
      </c>
      <c r="E107" s="110">
        <v>2.063520999689991</v>
      </c>
      <c r="F107" s="96" t="s">
        <v>1436</v>
      </c>
      <c r="G107" s="96" t="b">
        <v>0</v>
      </c>
      <c r="H107" s="96" t="b">
        <v>0</v>
      </c>
      <c r="I107" s="96" t="b">
        <v>0</v>
      </c>
      <c r="J107" s="96" t="b">
        <v>0</v>
      </c>
      <c r="K107" s="96" t="b">
        <v>0</v>
      </c>
      <c r="L107" s="96" t="b">
        <v>0</v>
      </c>
    </row>
    <row r="108" spans="1:12" ht="15">
      <c r="A108" s="97" t="s">
        <v>1331</v>
      </c>
      <c r="B108" s="96" t="s">
        <v>1315</v>
      </c>
      <c r="C108" s="96">
        <v>5</v>
      </c>
      <c r="D108" s="110">
        <v>0.0036142548084977075</v>
      </c>
      <c r="E108" s="110">
        <v>2.5686709780098966</v>
      </c>
      <c r="F108" s="96" t="s">
        <v>1436</v>
      </c>
      <c r="G108" s="96" t="b">
        <v>1</v>
      </c>
      <c r="H108" s="96" t="b">
        <v>0</v>
      </c>
      <c r="I108" s="96" t="b">
        <v>0</v>
      </c>
      <c r="J108" s="96" t="b">
        <v>0</v>
      </c>
      <c r="K108" s="96" t="b">
        <v>0</v>
      </c>
      <c r="L108" s="96" t="b">
        <v>0</v>
      </c>
    </row>
    <row r="109" spans="1:12" ht="15">
      <c r="A109" s="97" t="s">
        <v>1305</v>
      </c>
      <c r="B109" s="96" t="s">
        <v>1303</v>
      </c>
      <c r="C109" s="96">
        <v>5</v>
      </c>
      <c r="D109" s="110">
        <v>0.0036142548084977075</v>
      </c>
      <c r="E109" s="110">
        <v>2.5686709780098966</v>
      </c>
      <c r="F109" s="96" t="s">
        <v>1436</v>
      </c>
      <c r="G109" s="96" t="b">
        <v>0</v>
      </c>
      <c r="H109" s="96" t="b">
        <v>0</v>
      </c>
      <c r="I109" s="96" t="b">
        <v>0</v>
      </c>
      <c r="J109" s="96" t="b">
        <v>0</v>
      </c>
      <c r="K109" s="96" t="b">
        <v>0</v>
      </c>
      <c r="L109" s="96" t="b">
        <v>0</v>
      </c>
    </row>
    <row r="110" spans="1:12" ht="15">
      <c r="A110" s="97" t="s">
        <v>1000</v>
      </c>
      <c r="B110" s="96" t="s">
        <v>1253</v>
      </c>
      <c r="C110" s="96">
        <v>5</v>
      </c>
      <c r="D110" s="110">
        <v>0.0036142548084977075</v>
      </c>
      <c r="E110" s="110">
        <v>0.4310637075052665</v>
      </c>
      <c r="F110" s="96" t="s">
        <v>1436</v>
      </c>
      <c r="G110" s="96" t="b">
        <v>0</v>
      </c>
      <c r="H110" s="96" t="b">
        <v>0</v>
      </c>
      <c r="I110" s="96" t="b">
        <v>0</v>
      </c>
      <c r="J110" s="96" t="b">
        <v>0</v>
      </c>
      <c r="K110" s="96" t="b">
        <v>0</v>
      </c>
      <c r="L110" s="96" t="b">
        <v>0</v>
      </c>
    </row>
    <row r="111" spans="1:12" ht="15">
      <c r="A111" s="97" t="s">
        <v>1313</v>
      </c>
      <c r="B111" s="96" t="s">
        <v>1305</v>
      </c>
      <c r="C111" s="96">
        <v>5</v>
      </c>
      <c r="D111" s="110">
        <v>0.0036142548084977075</v>
      </c>
      <c r="E111" s="110">
        <v>2.5686709780098966</v>
      </c>
      <c r="F111" s="96" t="s">
        <v>1436</v>
      </c>
      <c r="G111" s="96" t="b">
        <v>0</v>
      </c>
      <c r="H111" s="96" t="b">
        <v>0</v>
      </c>
      <c r="I111" s="96" t="b">
        <v>0</v>
      </c>
      <c r="J111" s="96" t="b">
        <v>0</v>
      </c>
      <c r="K111" s="96" t="b">
        <v>0</v>
      </c>
      <c r="L111" s="96" t="b">
        <v>0</v>
      </c>
    </row>
    <row r="112" spans="1:12" ht="15">
      <c r="A112" s="97" t="s">
        <v>1312</v>
      </c>
      <c r="B112" s="96" t="s">
        <v>1257</v>
      </c>
      <c r="C112" s="96">
        <v>5</v>
      </c>
      <c r="D112" s="110">
        <v>0.0036142548084977075</v>
      </c>
      <c r="E112" s="110">
        <v>2.3133984729065906</v>
      </c>
      <c r="F112" s="96" t="s">
        <v>1436</v>
      </c>
      <c r="G112" s="96" t="b">
        <v>0</v>
      </c>
      <c r="H112" s="96" t="b">
        <v>0</v>
      </c>
      <c r="I112" s="96" t="b">
        <v>0</v>
      </c>
      <c r="J112" s="96" t="b">
        <v>0</v>
      </c>
      <c r="K112" s="96" t="b">
        <v>0</v>
      </c>
      <c r="L112" s="96" t="b">
        <v>0</v>
      </c>
    </row>
    <row r="113" spans="1:12" ht="15">
      <c r="A113" s="97" t="s">
        <v>1258</v>
      </c>
      <c r="B113" s="96" t="s">
        <v>1308</v>
      </c>
      <c r="C113" s="96">
        <v>5</v>
      </c>
      <c r="D113" s="110">
        <v>0.0036142548084977075</v>
      </c>
      <c r="E113" s="110">
        <v>2.063520999689991</v>
      </c>
      <c r="F113" s="96" t="s">
        <v>1436</v>
      </c>
      <c r="G113" s="96" t="b">
        <v>0</v>
      </c>
      <c r="H113" s="96" t="b">
        <v>0</v>
      </c>
      <c r="I113" s="96" t="b">
        <v>0</v>
      </c>
      <c r="J113" s="96" t="b">
        <v>0</v>
      </c>
      <c r="K113" s="96" t="b">
        <v>0</v>
      </c>
      <c r="L113" s="96" t="b">
        <v>0</v>
      </c>
    </row>
    <row r="114" spans="1:12" ht="15">
      <c r="A114" s="97" t="s">
        <v>1270</v>
      </c>
      <c r="B114" s="96" t="s">
        <v>1288</v>
      </c>
      <c r="C114" s="96">
        <v>5</v>
      </c>
      <c r="D114" s="110">
        <v>0.0036142548084977075</v>
      </c>
      <c r="E114" s="110">
        <v>2.022128314531766</v>
      </c>
      <c r="F114" s="96" t="s">
        <v>1436</v>
      </c>
      <c r="G114" s="96" t="b">
        <v>0</v>
      </c>
      <c r="H114" s="96" t="b">
        <v>0</v>
      </c>
      <c r="I114" s="96" t="b">
        <v>0</v>
      </c>
      <c r="J114" s="96" t="b">
        <v>0</v>
      </c>
      <c r="K114" s="96" t="b">
        <v>0</v>
      </c>
      <c r="L114" s="96" t="b">
        <v>0</v>
      </c>
    </row>
    <row r="115" spans="1:12" ht="15">
      <c r="A115" s="97" t="s">
        <v>1308</v>
      </c>
      <c r="B115" s="96" t="s">
        <v>1302</v>
      </c>
      <c r="C115" s="96">
        <v>5</v>
      </c>
      <c r="D115" s="110">
        <v>0.0036142548084977075</v>
      </c>
      <c r="E115" s="110">
        <v>2.489489731962272</v>
      </c>
      <c r="F115" s="96" t="s">
        <v>1436</v>
      </c>
      <c r="G115" s="96" t="b">
        <v>0</v>
      </c>
      <c r="H115" s="96" t="b">
        <v>0</v>
      </c>
      <c r="I115" s="96" t="b">
        <v>0</v>
      </c>
      <c r="J115" s="96" t="b">
        <v>0</v>
      </c>
      <c r="K115" s="96" t="b">
        <v>0</v>
      </c>
      <c r="L115" s="96" t="b">
        <v>0</v>
      </c>
    </row>
    <row r="116" spans="1:12" ht="15">
      <c r="A116" s="97" t="s">
        <v>1285</v>
      </c>
      <c r="B116" s="96" t="s">
        <v>1274</v>
      </c>
      <c r="C116" s="96">
        <v>5</v>
      </c>
      <c r="D116" s="110">
        <v>0.0036142548084977075</v>
      </c>
      <c r="E116" s="110">
        <v>2.0123684772426094</v>
      </c>
      <c r="F116" s="96" t="s">
        <v>1436</v>
      </c>
      <c r="G116" s="96" t="b">
        <v>0</v>
      </c>
      <c r="H116" s="96" t="b">
        <v>0</v>
      </c>
      <c r="I116" s="96" t="b">
        <v>0</v>
      </c>
      <c r="J116" s="96" t="b">
        <v>0</v>
      </c>
      <c r="K116" s="96" t="b">
        <v>0</v>
      </c>
      <c r="L116" s="96" t="b">
        <v>0</v>
      </c>
    </row>
    <row r="117" spans="1:12" ht="15">
      <c r="A117" s="97" t="s">
        <v>1009</v>
      </c>
      <c r="B117" s="96" t="s">
        <v>1312</v>
      </c>
      <c r="C117" s="96">
        <v>5</v>
      </c>
      <c r="D117" s="110">
        <v>0.0036142548084977075</v>
      </c>
      <c r="E117" s="110">
        <v>1.8362772181869282</v>
      </c>
      <c r="F117" s="96" t="s">
        <v>1436</v>
      </c>
      <c r="G117" s="96" t="b">
        <v>0</v>
      </c>
      <c r="H117" s="96" t="b">
        <v>0</v>
      </c>
      <c r="I117" s="96" t="b">
        <v>0</v>
      </c>
      <c r="J117" s="96" t="b">
        <v>0</v>
      </c>
      <c r="K117" s="96" t="b">
        <v>0</v>
      </c>
      <c r="L117" s="96" t="b">
        <v>0</v>
      </c>
    </row>
    <row r="118" spans="1:12" ht="15">
      <c r="A118" s="97" t="s">
        <v>1257</v>
      </c>
      <c r="B118" s="96" t="s">
        <v>1319</v>
      </c>
      <c r="C118" s="96">
        <v>5</v>
      </c>
      <c r="D118" s="110">
        <v>0.0036142548084977075</v>
      </c>
      <c r="E118" s="110">
        <v>2.063520999689991</v>
      </c>
      <c r="F118" s="96" t="s">
        <v>1436</v>
      </c>
      <c r="G118" s="96" t="b">
        <v>0</v>
      </c>
      <c r="H118" s="96" t="b">
        <v>0</v>
      </c>
      <c r="I118" s="96" t="b">
        <v>0</v>
      </c>
      <c r="J118" s="96" t="b">
        <v>0</v>
      </c>
      <c r="K118" s="96" t="b">
        <v>0</v>
      </c>
      <c r="L118" s="96" t="b">
        <v>0</v>
      </c>
    </row>
    <row r="119" spans="1:12" ht="15">
      <c r="A119" s="97" t="s">
        <v>1306</v>
      </c>
      <c r="B119" s="96" t="s">
        <v>1314</v>
      </c>
      <c r="C119" s="96">
        <v>5</v>
      </c>
      <c r="D119" s="110">
        <v>0.0036142548084977075</v>
      </c>
      <c r="E119" s="110">
        <v>2.5686709780098966</v>
      </c>
      <c r="F119" s="96" t="s">
        <v>1436</v>
      </c>
      <c r="G119" s="96" t="b">
        <v>0</v>
      </c>
      <c r="H119" s="96" t="b">
        <v>0</v>
      </c>
      <c r="I119" s="96" t="b">
        <v>0</v>
      </c>
      <c r="J119" s="96" t="b">
        <v>0</v>
      </c>
      <c r="K119" s="96" t="b">
        <v>0</v>
      </c>
      <c r="L119" s="96" t="b">
        <v>0</v>
      </c>
    </row>
    <row r="120" spans="1:12" ht="15">
      <c r="A120" s="97" t="s">
        <v>1288</v>
      </c>
      <c r="B120" s="96" t="s">
        <v>875</v>
      </c>
      <c r="C120" s="96">
        <v>5</v>
      </c>
      <c r="D120" s="110">
        <v>0.0036142548084977075</v>
      </c>
      <c r="E120" s="110">
        <v>1.5194529553397151</v>
      </c>
      <c r="F120" s="96" t="s">
        <v>1436</v>
      </c>
      <c r="G120" s="96" t="b">
        <v>0</v>
      </c>
      <c r="H120" s="96" t="b">
        <v>0</v>
      </c>
      <c r="I120" s="96" t="b">
        <v>0</v>
      </c>
      <c r="J120" s="96" t="b">
        <v>0</v>
      </c>
      <c r="K120" s="96" t="b">
        <v>0</v>
      </c>
      <c r="L120" s="96" t="b">
        <v>0</v>
      </c>
    </row>
    <row r="121" spans="1:12" ht="15">
      <c r="A121" s="97" t="s">
        <v>1330</v>
      </c>
      <c r="B121" s="96" t="s">
        <v>1253</v>
      </c>
      <c r="C121" s="96">
        <v>5</v>
      </c>
      <c r="D121" s="110">
        <v>0.0036142548084977075</v>
      </c>
      <c r="E121" s="110">
        <v>1.8526676343750976</v>
      </c>
      <c r="F121" s="96" t="s">
        <v>1436</v>
      </c>
      <c r="G121" s="96" t="b">
        <v>0</v>
      </c>
      <c r="H121" s="96" t="b">
        <v>0</v>
      </c>
      <c r="I121" s="96" t="b">
        <v>0</v>
      </c>
      <c r="J121" s="96" t="b">
        <v>0</v>
      </c>
      <c r="K121" s="96" t="b">
        <v>0</v>
      </c>
      <c r="L121" s="96" t="b">
        <v>0</v>
      </c>
    </row>
    <row r="122" spans="1:12" ht="15">
      <c r="A122" s="97" t="s">
        <v>1287</v>
      </c>
      <c r="B122" s="96" t="s">
        <v>1323</v>
      </c>
      <c r="C122" s="96">
        <v>5</v>
      </c>
      <c r="D122" s="110">
        <v>0.0036142548084977075</v>
      </c>
      <c r="E122" s="110">
        <v>2.364550995353972</v>
      </c>
      <c r="F122" s="96" t="s">
        <v>1436</v>
      </c>
      <c r="G122" s="96" t="b">
        <v>0</v>
      </c>
      <c r="H122" s="96" t="b">
        <v>0</v>
      </c>
      <c r="I122" s="96" t="b">
        <v>0</v>
      </c>
      <c r="J122" s="96" t="b">
        <v>0</v>
      </c>
      <c r="K122" s="96" t="b">
        <v>0</v>
      </c>
      <c r="L122" s="96" t="b">
        <v>0</v>
      </c>
    </row>
    <row r="123" spans="1:12" ht="15">
      <c r="A123" s="97" t="s">
        <v>1322</v>
      </c>
      <c r="B123" s="96" t="s">
        <v>1009</v>
      </c>
      <c r="C123" s="96">
        <v>5</v>
      </c>
      <c r="D123" s="110">
        <v>0.0036142548084977075</v>
      </c>
      <c r="E123" s="110">
        <v>1.9059131463283225</v>
      </c>
      <c r="F123" s="96" t="s">
        <v>1436</v>
      </c>
      <c r="G123" s="96" t="b">
        <v>0</v>
      </c>
      <c r="H123" s="96" t="b">
        <v>0</v>
      </c>
      <c r="I123" s="96" t="b">
        <v>0</v>
      </c>
      <c r="J123" s="96" t="b">
        <v>0</v>
      </c>
      <c r="K123" s="96" t="b">
        <v>0</v>
      </c>
      <c r="L123" s="96" t="b">
        <v>0</v>
      </c>
    </row>
    <row r="124" spans="1:12" ht="15">
      <c r="A124" s="97" t="s">
        <v>1321</v>
      </c>
      <c r="B124" s="96" t="s">
        <v>1324</v>
      </c>
      <c r="C124" s="96">
        <v>5</v>
      </c>
      <c r="D124" s="110">
        <v>0.0036142548084977075</v>
      </c>
      <c r="E124" s="110">
        <v>2.5686709780098966</v>
      </c>
      <c r="F124" s="96" t="s">
        <v>1436</v>
      </c>
      <c r="G124" s="96" t="b">
        <v>0</v>
      </c>
      <c r="H124" s="96" t="b">
        <v>0</v>
      </c>
      <c r="I124" s="96" t="b">
        <v>0</v>
      </c>
      <c r="J124" s="96" t="b">
        <v>0</v>
      </c>
      <c r="K124" s="96" t="b">
        <v>0</v>
      </c>
      <c r="L124" s="96" t="b">
        <v>0</v>
      </c>
    </row>
    <row r="125" spans="1:12" ht="15">
      <c r="A125" s="97" t="s">
        <v>1314</v>
      </c>
      <c r="B125" s="96" t="s">
        <v>1313</v>
      </c>
      <c r="C125" s="96">
        <v>5</v>
      </c>
      <c r="D125" s="110">
        <v>0.0036142548084977075</v>
      </c>
      <c r="E125" s="110">
        <v>2.5686709780098966</v>
      </c>
      <c r="F125" s="96" t="s">
        <v>1436</v>
      </c>
      <c r="G125" s="96" t="b">
        <v>0</v>
      </c>
      <c r="H125" s="96" t="b">
        <v>0</v>
      </c>
      <c r="I125" s="96" t="b">
        <v>0</v>
      </c>
      <c r="J125" s="96" t="b">
        <v>0</v>
      </c>
      <c r="K125" s="96" t="b">
        <v>0</v>
      </c>
      <c r="L125" s="96" t="b">
        <v>0</v>
      </c>
    </row>
    <row r="126" spans="1:12" ht="15">
      <c r="A126" s="97" t="s">
        <v>1318</v>
      </c>
      <c r="B126" s="96" t="s">
        <v>1309</v>
      </c>
      <c r="C126" s="96">
        <v>5</v>
      </c>
      <c r="D126" s="110">
        <v>0.0036142548084977075</v>
      </c>
      <c r="E126" s="110">
        <v>2.5686709780098966</v>
      </c>
      <c r="F126" s="96" t="s">
        <v>1436</v>
      </c>
      <c r="G126" s="96" t="b">
        <v>0</v>
      </c>
      <c r="H126" s="96" t="b">
        <v>0</v>
      </c>
      <c r="I126" s="96" t="b">
        <v>0</v>
      </c>
      <c r="J126" s="96" t="b">
        <v>0</v>
      </c>
      <c r="K126" s="96" t="b">
        <v>0</v>
      </c>
      <c r="L126" s="96" t="b">
        <v>0</v>
      </c>
    </row>
    <row r="127" spans="1:12" ht="15">
      <c r="A127" s="97" t="s">
        <v>1327</v>
      </c>
      <c r="B127" s="96" t="s">
        <v>1325</v>
      </c>
      <c r="C127" s="96">
        <v>5</v>
      </c>
      <c r="D127" s="110">
        <v>0.0036142548084977075</v>
      </c>
      <c r="E127" s="110">
        <v>2.5686709780098966</v>
      </c>
      <c r="F127" s="96" t="s">
        <v>1436</v>
      </c>
      <c r="G127" s="96" t="b">
        <v>0</v>
      </c>
      <c r="H127" s="96" t="b">
        <v>0</v>
      </c>
      <c r="I127" s="96" t="b">
        <v>0</v>
      </c>
      <c r="J127" s="96" t="b">
        <v>0</v>
      </c>
      <c r="K127" s="96" t="b">
        <v>0</v>
      </c>
      <c r="L127" s="96" t="b">
        <v>0</v>
      </c>
    </row>
    <row r="128" spans="1:12" ht="15">
      <c r="A128" s="97" t="s">
        <v>1307</v>
      </c>
      <c r="B128" s="96" t="s">
        <v>1320</v>
      </c>
      <c r="C128" s="96">
        <v>5</v>
      </c>
      <c r="D128" s="110">
        <v>0.0036142548084977075</v>
      </c>
      <c r="E128" s="110">
        <v>2.5686709780098966</v>
      </c>
      <c r="F128" s="96" t="s">
        <v>1436</v>
      </c>
      <c r="G128" s="96" t="b">
        <v>0</v>
      </c>
      <c r="H128" s="96" t="b">
        <v>0</v>
      </c>
      <c r="I128" s="96" t="b">
        <v>0</v>
      </c>
      <c r="J128" s="96" t="b">
        <v>0</v>
      </c>
      <c r="K128" s="96" t="b">
        <v>0</v>
      </c>
      <c r="L128" s="96" t="b">
        <v>0</v>
      </c>
    </row>
    <row r="129" spans="1:12" ht="15">
      <c r="A129" s="97" t="s">
        <v>1302</v>
      </c>
      <c r="B129" s="96" t="s">
        <v>1331</v>
      </c>
      <c r="C129" s="96">
        <v>5</v>
      </c>
      <c r="D129" s="110">
        <v>0.0036142548084977075</v>
      </c>
      <c r="E129" s="110">
        <v>2.489489731962272</v>
      </c>
      <c r="F129" s="96" t="s">
        <v>1436</v>
      </c>
      <c r="G129" s="96" t="b">
        <v>0</v>
      </c>
      <c r="H129" s="96" t="b">
        <v>0</v>
      </c>
      <c r="I129" s="96" t="b">
        <v>0</v>
      </c>
      <c r="J129" s="96" t="b">
        <v>1</v>
      </c>
      <c r="K129" s="96" t="b">
        <v>0</v>
      </c>
      <c r="L129" s="96" t="b">
        <v>0</v>
      </c>
    </row>
    <row r="130" spans="1:12" ht="15">
      <c r="A130" s="97" t="s">
        <v>1311</v>
      </c>
      <c r="B130" s="96" t="s">
        <v>1327</v>
      </c>
      <c r="C130" s="96">
        <v>5</v>
      </c>
      <c r="D130" s="110">
        <v>0.0036142548084977075</v>
      </c>
      <c r="E130" s="110">
        <v>2.5686709780098966</v>
      </c>
      <c r="F130" s="96" t="s">
        <v>1436</v>
      </c>
      <c r="G130" s="96" t="b">
        <v>0</v>
      </c>
      <c r="H130" s="96" t="b">
        <v>0</v>
      </c>
      <c r="I130" s="96" t="b">
        <v>0</v>
      </c>
      <c r="J130" s="96" t="b">
        <v>0</v>
      </c>
      <c r="K130" s="96" t="b">
        <v>0</v>
      </c>
      <c r="L130" s="96" t="b">
        <v>0</v>
      </c>
    </row>
    <row r="131" spans="1:12" ht="15">
      <c r="A131" s="97" t="s">
        <v>1323</v>
      </c>
      <c r="B131" s="96" t="s">
        <v>1311</v>
      </c>
      <c r="C131" s="96">
        <v>5</v>
      </c>
      <c r="D131" s="110">
        <v>0.0036142548084977075</v>
      </c>
      <c r="E131" s="110">
        <v>2.5686709780098966</v>
      </c>
      <c r="F131" s="96" t="s">
        <v>1436</v>
      </c>
      <c r="G131" s="96" t="b">
        <v>0</v>
      </c>
      <c r="H131" s="96" t="b">
        <v>0</v>
      </c>
      <c r="I131" s="96" t="b">
        <v>0</v>
      </c>
      <c r="J131" s="96" t="b">
        <v>0</v>
      </c>
      <c r="K131" s="96" t="b">
        <v>0</v>
      </c>
      <c r="L131" s="96" t="b">
        <v>0</v>
      </c>
    </row>
    <row r="132" spans="1:12" ht="15">
      <c r="A132" s="97" t="s">
        <v>1329</v>
      </c>
      <c r="B132" s="96" t="s">
        <v>1256</v>
      </c>
      <c r="C132" s="96">
        <v>5</v>
      </c>
      <c r="D132" s="110">
        <v>0.0036142548084977075</v>
      </c>
      <c r="E132" s="110">
        <v>2.0371920609676417</v>
      </c>
      <c r="F132" s="96" t="s">
        <v>1436</v>
      </c>
      <c r="G132" s="96" t="b">
        <v>0</v>
      </c>
      <c r="H132" s="96" t="b">
        <v>0</v>
      </c>
      <c r="I132" s="96" t="b">
        <v>0</v>
      </c>
      <c r="J132" s="96" t="b">
        <v>0</v>
      </c>
      <c r="K132" s="96" t="b">
        <v>0</v>
      </c>
      <c r="L132" s="96" t="b">
        <v>0</v>
      </c>
    </row>
    <row r="133" spans="1:12" ht="15">
      <c r="A133" s="97" t="s">
        <v>1309</v>
      </c>
      <c r="B133" s="96" t="s">
        <v>1274</v>
      </c>
      <c r="C133" s="96">
        <v>5</v>
      </c>
      <c r="D133" s="110">
        <v>0.0036142548084977075</v>
      </c>
      <c r="E133" s="110">
        <v>2.2676409823459154</v>
      </c>
      <c r="F133" s="96" t="s">
        <v>1436</v>
      </c>
      <c r="G133" s="96" t="b">
        <v>0</v>
      </c>
      <c r="H133" s="96" t="b">
        <v>0</v>
      </c>
      <c r="I133" s="96" t="b">
        <v>0</v>
      </c>
      <c r="J133" s="96" t="b">
        <v>0</v>
      </c>
      <c r="K133" s="96" t="b">
        <v>0</v>
      </c>
      <c r="L133" s="96" t="b">
        <v>0</v>
      </c>
    </row>
    <row r="134" spans="1:12" ht="15">
      <c r="A134" s="97" t="s">
        <v>1333</v>
      </c>
      <c r="B134" s="96" t="s">
        <v>1296</v>
      </c>
      <c r="C134" s="96">
        <v>5</v>
      </c>
      <c r="D134" s="110">
        <v>0.0036142548084977075</v>
      </c>
      <c r="E134" s="110">
        <v>2.489489731962272</v>
      </c>
      <c r="F134" s="96" t="s">
        <v>1436</v>
      </c>
      <c r="G134" s="96" t="b">
        <v>0</v>
      </c>
      <c r="H134" s="96" t="b">
        <v>0</v>
      </c>
      <c r="I134" s="96" t="b">
        <v>0</v>
      </c>
      <c r="J134" s="96" t="b">
        <v>0</v>
      </c>
      <c r="K134" s="96" t="b">
        <v>0</v>
      </c>
      <c r="L134" s="96" t="b">
        <v>0</v>
      </c>
    </row>
    <row r="135" spans="1:12" ht="15">
      <c r="A135" s="97" t="s">
        <v>1274</v>
      </c>
      <c r="B135" s="96" t="s">
        <v>1322</v>
      </c>
      <c r="C135" s="96">
        <v>5</v>
      </c>
      <c r="D135" s="110">
        <v>0.0036142548084977075</v>
      </c>
      <c r="E135" s="110">
        <v>2.2676409823459154</v>
      </c>
      <c r="F135" s="96" t="s">
        <v>1436</v>
      </c>
      <c r="G135" s="96" t="b">
        <v>0</v>
      </c>
      <c r="H135" s="96" t="b">
        <v>0</v>
      </c>
      <c r="I135" s="96" t="b">
        <v>0</v>
      </c>
      <c r="J135" s="96" t="b">
        <v>0</v>
      </c>
      <c r="K135" s="96" t="b">
        <v>0</v>
      </c>
      <c r="L135" s="96" t="b">
        <v>0</v>
      </c>
    </row>
    <row r="136" spans="1:12" ht="15">
      <c r="A136" s="97" t="s">
        <v>1324</v>
      </c>
      <c r="B136" s="96" t="s">
        <v>1270</v>
      </c>
      <c r="C136" s="96">
        <v>5</v>
      </c>
      <c r="D136" s="110">
        <v>0.0036142548084977075</v>
      </c>
      <c r="E136" s="110">
        <v>2.2262482971876905</v>
      </c>
      <c r="F136" s="96" t="s">
        <v>1436</v>
      </c>
      <c r="G136" s="96" t="b">
        <v>0</v>
      </c>
      <c r="H136" s="96" t="b">
        <v>0</v>
      </c>
      <c r="I136" s="96" t="b">
        <v>0</v>
      </c>
      <c r="J136" s="96" t="b">
        <v>0</v>
      </c>
      <c r="K136" s="96" t="b">
        <v>0</v>
      </c>
      <c r="L136" s="96" t="b">
        <v>0</v>
      </c>
    </row>
    <row r="137" spans="1:12" ht="15">
      <c r="A137" s="97" t="s">
        <v>1320</v>
      </c>
      <c r="B137" s="96" t="s">
        <v>1304</v>
      </c>
      <c r="C137" s="96">
        <v>5</v>
      </c>
      <c r="D137" s="110">
        <v>0.0036142548084977075</v>
      </c>
      <c r="E137" s="110">
        <v>2.5686709780098966</v>
      </c>
      <c r="F137" s="96" t="s">
        <v>1436</v>
      </c>
      <c r="G137" s="96" t="b">
        <v>0</v>
      </c>
      <c r="H137" s="96" t="b">
        <v>0</v>
      </c>
      <c r="I137" s="96" t="b">
        <v>0</v>
      </c>
      <c r="J137" s="96" t="b">
        <v>0</v>
      </c>
      <c r="K137" s="96" t="b">
        <v>0</v>
      </c>
      <c r="L137" s="96" t="b">
        <v>0</v>
      </c>
    </row>
    <row r="138" spans="1:12" ht="15">
      <c r="A138" s="97" t="s">
        <v>1303</v>
      </c>
      <c r="B138" s="96" t="s">
        <v>1321</v>
      </c>
      <c r="C138" s="96">
        <v>5</v>
      </c>
      <c r="D138" s="110">
        <v>0.0036142548084977075</v>
      </c>
      <c r="E138" s="110">
        <v>2.5686709780098966</v>
      </c>
      <c r="F138" s="96" t="s">
        <v>1436</v>
      </c>
      <c r="G138" s="96" t="b">
        <v>0</v>
      </c>
      <c r="H138" s="96" t="b">
        <v>0</v>
      </c>
      <c r="I138" s="96" t="b">
        <v>0</v>
      </c>
      <c r="J138" s="96" t="b">
        <v>0</v>
      </c>
      <c r="K138" s="96" t="b">
        <v>0</v>
      </c>
      <c r="L138" s="96" t="b">
        <v>0</v>
      </c>
    </row>
    <row r="139" spans="1:12" ht="15">
      <c r="A139" s="97" t="s">
        <v>1260</v>
      </c>
      <c r="B139" s="96" t="s">
        <v>1259</v>
      </c>
      <c r="C139" s="96">
        <v>5</v>
      </c>
      <c r="D139" s="110">
        <v>0.0036142548084977075</v>
      </c>
      <c r="E139" s="110">
        <v>1.6163629683477714</v>
      </c>
      <c r="F139" s="96" t="s">
        <v>1436</v>
      </c>
      <c r="G139" s="96" t="b">
        <v>0</v>
      </c>
      <c r="H139" s="96" t="b">
        <v>0</v>
      </c>
      <c r="I139" s="96" t="b">
        <v>0</v>
      </c>
      <c r="J139" s="96" t="b">
        <v>0</v>
      </c>
      <c r="K139" s="96" t="b">
        <v>0</v>
      </c>
      <c r="L139" s="96" t="b">
        <v>0</v>
      </c>
    </row>
    <row r="140" spans="1:12" ht="15">
      <c r="A140" s="97" t="s">
        <v>1294</v>
      </c>
      <c r="B140" s="96" t="s">
        <v>1326</v>
      </c>
      <c r="C140" s="96">
        <v>5</v>
      </c>
      <c r="D140" s="110">
        <v>0.0036142548084977075</v>
      </c>
      <c r="E140" s="110">
        <v>2.4225429423316585</v>
      </c>
      <c r="F140" s="96" t="s">
        <v>1436</v>
      </c>
      <c r="G140" s="96" t="b">
        <v>0</v>
      </c>
      <c r="H140" s="96" t="b">
        <v>0</v>
      </c>
      <c r="I140" s="96" t="b">
        <v>0</v>
      </c>
      <c r="J140" s="96" t="b">
        <v>0</v>
      </c>
      <c r="K140" s="96" t="b">
        <v>0</v>
      </c>
      <c r="L140" s="96" t="b">
        <v>0</v>
      </c>
    </row>
    <row r="141" spans="1:12" ht="15">
      <c r="A141" s="97" t="s">
        <v>1315</v>
      </c>
      <c r="B141" s="96" t="s">
        <v>1000</v>
      </c>
      <c r="C141" s="96">
        <v>5</v>
      </c>
      <c r="D141" s="110">
        <v>0.0036142548084977075</v>
      </c>
      <c r="E141" s="110">
        <v>1.5516376387111164</v>
      </c>
      <c r="F141" s="96" t="s">
        <v>1436</v>
      </c>
      <c r="G141" s="96" t="b">
        <v>0</v>
      </c>
      <c r="H141" s="96" t="b">
        <v>0</v>
      </c>
      <c r="I141" s="96" t="b">
        <v>0</v>
      </c>
      <c r="J141" s="96" t="b">
        <v>0</v>
      </c>
      <c r="K141" s="96" t="b">
        <v>0</v>
      </c>
      <c r="L141" s="96" t="b">
        <v>0</v>
      </c>
    </row>
    <row r="142" spans="1:12" ht="15">
      <c r="A142" s="97" t="s">
        <v>1350</v>
      </c>
      <c r="B142" s="96" t="s">
        <v>1316</v>
      </c>
      <c r="C142" s="96">
        <v>4</v>
      </c>
      <c r="D142" s="110">
        <v>0.0030862957784382992</v>
      </c>
      <c r="E142" s="110">
        <v>2.5686709780098966</v>
      </c>
      <c r="F142" s="96" t="s">
        <v>1436</v>
      </c>
      <c r="G142" s="96" t="b">
        <v>0</v>
      </c>
      <c r="H142" s="96" t="b">
        <v>0</v>
      </c>
      <c r="I142" s="96" t="b">
        <v>0</v>
      </c>
      <c r="J142" s="96" t="b">
        <v>0</v>
      </c>
      <c r="K142" s="96" t="b">
        <v>0</v>
      </c>
      <c r="L142" s="96" t="b">
        <v>0</v>
      </c>
    </row>
    <row r="143" spans="1:12" ht="15">
      <c r="A143" s="97" t="s">
        <v>1285</v>
      </c>
      <c r="B143" s="96" t="s">
        <v>1336</v>
      </c>
      <c r="C143" s="96">
        <v>4</v>
      </c>
      <c r="D143" s="110">
        <v>0.0030862957784382992</v>
      </c>
      <c r="E143" s="110">
        <v>2.3133984729065906</v>
      </c>
      <c r="F143" s="96" t="s">
        <v>1436</v>
      </c>
      <c r="G143" s="96" t="b">
        <v>0</v>
      </c>
      <c r="H143" s="96" t="b">
        <v>0</v>
      </c>
      <c r="I143" s="96" t="b">
        <v>0</v>
      </c>
      <c r="J143" s="96" t="b">
        <v>0</v>
      </c>
      <c r="K143" s="96" t="b">
        <v>0</v>
      </c>
      <c r="L143" s="96" t="b">
        <v>0</v>
      </c>
    </row>
    <row r="144" spans="1:12" ht="15">
      <c r="A144" s="97" t="s">
        <v>1334</v>
      </c>
      <c r="B144" s="96" t="s">
        <v>1344</v>
      </c>
      <c r="C144" s="96">
        <v>4</v>
      </c>
      <c r="D144" s="110">
        <v>0.0030862957784382992</v>
      </c>
      <c r="E144" s="110">
        <v>2.665580991017953</v>
      </c>
      <c r="F144" s="96" t="s">
        <v>1436</v>
      </c>
      <c r="G144" s="96" t="b">
        <v>0</v>
      </c>
      <c r="H144" s="96" t="b">
        <v>0</v>
      </c>
      <c r="I144" s="96" t="b">
        <v>0</v>
      </c>
      <c r="J144" s="96" t="b">
        <v>0</v>
      </c>
      <c r="K144" s="96" t="b">
        <v>0</v>
      </c>
      <c r="L144" s="96" t="b">
        <v>0</v>
      </c>
    </row>
    <row r="145" spans="1:12" ht="15">
      <c r="A145" s="97" t="s">
        <v>1344</v>
      </c>
      <c r="B145" s="96" t="s">
        <v>1347</v>
      </c>
      <c r="C145" s="96">
        <v>4</v>
      </c>
      <c r="D145" s="110">
        <v>0.0030862957784382992</v>
      </c>
      <c r="E145" s="110">
        <v>2.665580991017953</v>
      </c>
      <c r="F145" s="96" t="s">
        <v>1436</v>
      </c>
      <c r="G145" s="96" t="b">
        <v>0</v>
      </c>
      <c r="H145" s="96" t="b">
        <v>0</v>
      </c>
      <c r="I145" s="96" t="b">
        <v>0</v>
      </c>
      <c r="J145" s="96" t="b">
        <v>0</v>
      </c>
      <c r="K145" s="96" t="b">
        <v>0</v>
      </c>
      <c r="L145" s="96" t="b">
        <v>0</v>
      </c>
    </row>
    <row r="146" spans="1:12" ht="15">
      <c r="A146" s="97" t="s">
        <v>1009</v>
      </c>
      <c r="B146" s="96" t="s">
        <v>1341</v>
      </c>
      <c r="C146" s="96">
        <v>4</v>
      </c>
      <c r="D146" s="110">
        <v>0.0030862957784382992</v>
      </c>
      <c r="E146" s="110">
        <v>1.8362772181869282</v>
      </c>
      <c r="F146" s="96" t="s">
        <v>1436</v>
      </c>
      <c r="G146" s="96" t="b">
        <v>0</v>
      </c>
      <c r="H146" s="96" t="b">
        <v>0</v>
      </c>
      <c r="I146" s="96" t="b">
        <v>0</v>
      </c>
      <c r="J146" s="96" t="b">
        <v>0</v>
      </c>
      <c r="K146" s="96" t="b">
        <v>0</v>
      </c>
      <c r="L146" s="96" t="b">
        <v>0</v>
      </c>
    </row>
    <row r="147" spans="1:12" ht="15">
      <c r="A147" s="97" t="s">
        <v>1010</v>
      </c>
      <c r="B147" s="96" t="s">
        <v>1000</v>
      </c>
      <c r="C147" s="96">
        <v>4</v>
      </c>
      <c r="D147" s="110">
        <v>0.0030862957784382992</v>
      </c>
      <c r="E147" s="110">
        <v>0.8112749492168726</v>
      </c>
      <c r="F147" s="96" t="s">
        <v>1436</v>
      </c>
      <c r="G147" s="96" t="b">
        <v>0</v>
      </c>
      <c r="H147" s="96" t="b">
        <v>0</v>
      </c>
      <c r="I147" s="96" t="b">
        <v>0</v>
      </c>
      <c r="J147" s="96" t="b">
        <v>0</v>
      </c>
      <c r="K147" s="96" t="b">
        <v>0</v>
      </c>
      <c r="L147" s="96" t="b">
        <v>0</v>
      </c>
    </row>
    <row r="148" spans="1:12" ht="15">
      <c r="A148" s="97" t="s">
        <v>1316</v>
      </c>
      <c r="B148" s="96" t="s">
        <v>1000</v>
      </c>
      <c r="C148" s="96">
        <v>4</v>
      </c>
      <c r="D148" s="110">
        <v>0.0030862957784382992</v>
      </c>
      <c r="E148" s="110">
        <v>1.4547276257030601</v>
      </c>
      <c r="F148" s="96" t="s">
        <v>1436</v>
      </c>
      <c r="G148" s="96" t="b">
        <v>0</v>
      </c>
      <c r="H148" s="96" t="b">
        <v>0</v>
      </c>
      <c r="I148" s="96" t="b">
        <v>0</v>
      </c>
      <c r="J148" s="96" t="b">
        <v>0</v>
      </c>
      <c r="K148" s="96" t="b">
        <v>0</v>
      </c>
      <c r="L148" s="96" t="b">
        <v>0</v>
      </c>
    </row>
    <row r="149" spans="1:12" ht="15">
      <c r="A149" s="97" t="s">
        <v>1336</v>
      </c>
      <c r="B149" s="96" t="s">
        <v>1348</v>
      </c>
      <c r="C149" s="96">
        <v>4</v>
      </c>
      <c r="D149" s="110">
        <v>0.0030862957784382992</v>
      </c>
      <c r="E149" s="110">
        <v>2.665580991017953</v>
      </c>
      <c r="F149" s="96" t="s">
        <v>1436</v>
      </c>
      <c r="G149" s="96" t="b">
        <v>0</v>
      </c>
      <c r="H149" s="96" t="b">
        <v>0</v>
      </c>
      <c r="I149" s="96" t="b">
        <v>0</v>
      </c>
      <c r="J149" s="96" t="b">
        <v>0</v>
      </c>
      <c r="K149" s="96" t="b">
        <v>0</v>
      </c>
      <c r="L149" s="96" t="b">
        <v>0</v>
      </c>
    </row>
    <row r="150" spans="1:12" ht="15">
      <c r="A150" s="97" t="s">
        <v>1345</v>
      </c>
      <c r="B150" s="96" t="s">
        <v>1253</v>
      </c>
      <c r="C150" s="96">
        <v>4</v>
      </c>
      <c r="D150" s="110">
        <v>0.0030862957784382992</v>
      </c>
      <c r="E150" s="110">
        <v>1.8526676343750976</v>
      </c>
      <c r="F150" s="96" t="s">
        <v>1436</v>
      </c>
      <c r="G150" s="96" t="b">
        <v>0</v>
      </c>
      <c r="H150" s="96" t="b">
        <v>0</v>
      </c>
      <c r="I150" s="96" t="b">
        <v>0</v>
      </c>
      <c r="J150" s="96" t="b">
        <v>0</v>
      </c>
      <c r="K150" s="96" t="b">
        <v>0</v>
      </c>
      <c r="L150" s="96" t="b">
        <v>0</v>
      </c>
    </row>
    <row r="151" spans="1:12" ht="15">
      <c r="A151" s="97" t="s">
        <v>1256</v>
      </c>
      <c r="B151" s="96" t="s">
        <v>1345</v>
      </c>
      <c r="C151" s="96">
        <v>4</v>
      </c>
      <c r="D151" s="110">
        <v>0.0030862957784382992</v>
      </c>
      <c r="E151" s="110">
        <v>2.0371920609676417</v>
      </c>
      <c r="F151" s="96" t="s">
        <v>1436</v>
      </c>
      <c r="G151" s="96" t="b">
        <v>0</v>
      </c>
      <c r="H151" s="96" t="b">
        <v>0</v>
      </c>
      <c r="I151" s="96" t="b">
        <v>0</v>
      </c>
      <c r="J151" s="96" t="b">
        <v>0</v>
      </c>
      <c r="K151" s="96" t="b">
        <v>0</v>
      </c>
      <c r="L151" s="96" t="b">
        <v>0</v>
      </c>
    </row>
    <row r="152" spans="1:12" ht="15">
      <c r="A152" s="97" t="s">
        <v>1256</v>
      </c>
      <c r="B152" s="96" t="s">
        <v>1000</v>
      </c>
      <c r="C152" s="96">
        <v>4</v>
      </c>
      <c r="D152" s="110">
        <v>0.0030862957784382992</v>
      </c>
      <c r="E152" s="110">
        <v>0.9232487086608049</v>
      </c>
      <c r="F152" s="96" t="s">
        <v>1436</v>
      </c>
      <c r="G152" s="96" t="b">
        <v>0</v>
      </c>
      <c r="H152" s="96" t="b">
        <v>0</v>
      </c>
      <c r="I152" s="96" t="b">
        <v>0</v>
      </c>
      <c r="J152" s="96" t="b">
        <v>0</v>
      </c>
      <c r="K152" s="96" t="b">
        <v>0</v>
      </c>
      <c r="L152" s="96" t="b">
        <v>0</v>
      </c>
    </row>
    <row r="153" spans="1:12" ht="15">
      <c r="A153" s="97" t="s">
        <v>1348</v>
      </c>
      <c r="B153" s="96" t="s">
        <v>1334</v>
      </c>
      <c r="C153" s="96">
        <v>4</v>
      </c>
      <c r="D153" s="110">
        <v>0.0030862957784382992</v>
      </c>
      <c r="E153" s="110">
        <v>2.665580991017953</v>
      </c>
      <c r="F153" s="96" t="s">
        <v>1436</v>
      </c>
      <c r="G153" s="96" t="b">
        <v>0</v>
      </c>
      <c r="H153" s="96" t="b">
        <v>0</v>
      </c>
      <c r="I153" s="96" t="b">
        <v>0</v>
      </c>
      <c r="J153" s="96" t="b">
        <v>0</v>
      </c>
      <c r="K153" s="96" t="b">
        <v>0</v>
      </c>
      <c r="L153" s="96" t="b">
        <v>0</v>
      </c>
    </row>
    <row r="154" spans="1:12" ht="15">
      <c r="A154" s="97" t="s">
        <v>1340</v>
      </c>
      <c r="B154" s="96" t="s">
        <v>1010</v>
      </c>
      <c r="C154" s="96">
        <v>4</v>
      </c>
      <c r="D154" s="110">
        <v>0.0030862957784382992</v>
      </c>
      <c r="E154" s="110">
        <v>1.8874297406343095</v>
      </c>
      <c r="F154" s="96" t="s">
        <v>1436</v>
      </c>
      <c r="G154" s="96" t="b">
        <v>0</v>
      </c>
      <c r="H154" s="96" t="b">
        <v>0</v>
      </c>
      <c r="I154" s="96" t="b">
        <v>0</v>
      </c>
      <c r="J154" s="96" t="b">
        <v>0</v>
      </c>
      <c r="K154" s="96" t="b">
        <v>0</v>
      </c>
      <c r="L154" s="96" t="b">
        <v>0</v>
      </c>
    </row>
    <row r="155" spans="1:12" ht="15">
      <c r="A155" s="97" t="s">
        <v>1351</v>
      </c>
      <c r="B155" s="96" t="s">
        <v>1342</v>
      </c>
      <c r="C155" s="96">
        <v>4</v>
      </c>
      <c r="D155" s="110">
        <v>0.0030862957784382992</v>
      </c>
      <c r="E155" s="110">
        <v>2.665580991017953</v>
      </c>
      <c r="F155" s="96" t="s">
        <v>1436</v>
      </c>
      <c r="G155" s="96" t="b">
        <v>0</v>
      </c>
      <c r="H155" s="96" t="b">
        <v>0</v>
      </c>
      <c r="I155" s="96" t="b">
        <v>0</v>
      </c>
      <c r="J155" s="96" t="b">
        <v>0</v>
      </c>
      <c r="K155" s="96" t="b">
        <v>0</v>
      </c>
      <c r="L155" s="96" t="b">
        <v>0</v>
      </c>
    </row>
    <row r="156" spans="1:12" ht="15">
      <c r="A156" s="97" t="s">
        <v>1257</v>
      </c>
      <c r="B156" s="96" t="s">
        <v>1335</v>
      </c>
      <c r="C156" s="96">
        <v>4</v>
      </c>
      <c r="D156" s="110">
        <v>0.0030862957784382992</v>
      </c>
      <c r="E156" s="110">
        <v>2.063520999689991</v>
      </c>
      <c r="F156" s="96" t="s">
        <v>1436</v>
      </c>
      <c r="G156" s="96" t="b">
        <v>0</v>
      </c>
      <c r="H156" s="96" t="b">
        <v>0</v>
      </c>
      <c r="I156" s="96" t="b">
        <v>0</v>
      </c>
      <c r="J156" s="96" t="b">
        <v>0</v>
      </c>
      <c r="K156" s="96" t="b">
        <v>0</v>
      </c>
      <c r="L156" s="96" t="b">
        <v>0</v>
      </c>
    </row>
    <row r="157" spans="1:12" ht="15">
      <c r="A157" s="97" t="s">
        <v>1335</v>
      </c>
      <c r="B157" s="96" t="s">
        <v>1253</v>
      </c>
      <c r="C157" s="96">
        <v>4</v>
      </c>
      <c r="D157" s="110">
        <v>0.0030862957784382992</v>
      </c>
      <c r="E157" s="110">
        <v>1.8526676343750976</v>
      </c>
      <c r="F157" s="96" t="s">
        <v>1436</v>
      </c>
      <c r="G157" s="96" t="b">
        <v>0</v>
      </c>
      <c r="H157" s="96" t="b">
        <v>0</v>
      </c>
      <c r="I157" s="96" t="b">
        <v>0</v>
      </c>
      <c r="J157" s="96" t="b">
        <v>0</v>
      </c>
      <c r="K157" s="96" t="b">
        <v>0</v>
      </c>
      <c r="L157" s="96" t="b">
        <v>0</v>
      </c>
    </row>
    <row r="158" spans="1:12" ht="15">
      <c r="A158" s="97" t="s">
        <v>1339</v>
      </c>
      <c r="B158" s="96" t="s">
        <v>1350</v>
      </c>
      <c r="C158" s="96">
        <v>4</v>
      </c>
      <c r="D158" s="110">
        <v>0.0030862957784382992</v>
      </c>
      <c r="E158" s="110">
        <v>2.665580991017953</v>
      </c>
      <c r="F158" s="96" t="s">
        <v>1436</v>
      </c>
      <c r="G158" s="96" t="b">
        <v>0</v>
      </c>
      <c r="H158" s="96" t="b">
        <v>0</v>
      </c>
      <c r="I158" s="96" t="b">
        <v>0</v>
      </c>
      <c r="J158" s="96" t="b">
        <v>0</v>
      </c>
      <c r="K158" s="96" t="b">
        <v>0</v>
      </c>
      <c r="L158" s="96" t="b">
        <v>0</v>
      </c>
    </row>
    <row r="159" spans="1:12" ht="15">
      <c r="A159" s="97" t="s">
        <v>1341</v>
      </c>
      <c r="B159" s="96" t="s">
        <v>1010</v>
      </c>
      <c r="C159" s="96">
        <v>4</v>
      </c>
      <c r="D159" s="110">
        <v>0.0030862957784382992</v>
      </c>
      <c r="E159" s="110">
        <v>1.8874297406343095</v>
      </c>
      <c r="F159" s="96" t="s">
        <v>1436</v>
      </c>
      <c r="G159" s="96" t="b">
        <v>0</v>
      </c>
      <c r="H159" s="96" t="b">
        <v>0</v>
      </c>
      <c r="I159" s="96" t="b">
        <v>0</v>
      </c>
      <c r="J159" s="96" t="b">
        <v>0</v>
      </c>
      <c r="K159" s="96" t="b">
        <v>0</v>
      </c>
      <c r="L159" s="96" t="b">
        <v>0</v>
      </c>
    </row>
    <row r="160" spans="1:12" ht="15">
      <c r="A160" s="97" t="s">
        <v>1000</v>
      </c>
      <c r="B160" s="96" t="s">
        <v>1256</v>
      </c>
      <c r="C160" s="96">
        <v>4</v>
      </c>
      <c r="D160" s="110">
        <v>0.0030862957784382992</v>
      </c>
      <c r="E160" s="110">
        <v>0.5186781210897541</v>
      </c>
      <c r="F160" s="96" t="s">
        <v>1436</v>
      </c>
      <c r="G160" s="96" t="b">
        <v>0</v>
      </c>
      <c r="H160" s="96" t="b">
        <v>0</v>
      </c>
      <c r="I160" s="96" t="b">
        <v>0</v>
      </c>
      <c r="J160" s="96" t="b">
        <v>0</v>
      </c>
      <c r="K160" s="96" t="b">
        <v>0</v>
      </c>
      <c r="L160" s="96" t="b">
        <v>0</v>
      </c>
    </row>
    <row r="161" spans="1:12" ht="15">
      <c r="A161" s="97" t="s">
        <v>1304</v>
      </c>
      <c r="B161" s="96" t="s">
        <v>1385</v>
      </c>
      <c r="C161" s="96">
        <v>3</v>
      </c>
      <c r="D161" s="110">
        <v>0.002503166383765829</v>
      </c>
      <c r="E161" s="110">
        <v>2.5686709780098966</v>
      </c>
      <c r="F161" s="96" t="s">
        <v>1436</v>
      </c>
      <c r="G161" s="96" t="b">
        <v>0</v>
      </c>
      <c r="H161" s="96" t="b">
        <v>0</v>
      </c>
      <c r="I161" s="96" t="b">
        <v>0</v>
      </c>
      <c r="J161" s="96" t="b">
        <v>0</v>
      </c>
      <c r="K161" s="96" t="b">
        <v>0</v>
      </c>
      <c r="L161" s="96" t="b">
        <v>0</v>
      </c>
    </row>
    <row r="162" spans="1:12" ht="15">
      <c r="A162" s="97" t="s">
        <v>1343</v>
      </c>
      <c r="B162" s="96" t="s">
        <v>1383</v>
      </c>
      <c r="C162" s="96">
        <v>3</v>
      </c>
      <c r="D162" s="110">
        <v>0.002503166383765829</v>
      </c>
      <c r="E162" s="110">
        <v>2.665580991017953</v>
      </c>
      <c r="F162" s="96" t="s">
        <v>1436</v>
      </c>
      <c r="G162" s="96" t="b">
        <v>0</v>
      </c>
      <c r="H162" s="96" t="b">
        <v>0</v>
      </c>
      <c r="I162" s="96" t="b">
        <v>0</v>
      </c>
      <c r="J162" s="96" t="b">
        <v>0</v>
      </c>
      <c r="K162" s="96" t="b">
        <v>0</v>
      </c>
      <c r="L162" s="96" t="b">
        <v>0</v>
      </c>
    </row>
    <row r="163" spans="1:12" ht="15">
      <c r="A163" s="97" t="s">
        <v>1337</v>
      </c>
      <c r="B163" s="96" t="s">
        <v>1338</v>
      </c>
      <c r="C163" s="96">
        <v>3</v>
      </c>
      <c r="D163" s="110">
        <v>0.002503166383765829</v>
      </c>
      <c r="E163" s="110">
        <v>2.540642254409653</v>
      </c>
      <c r="F163" s="96" t="s">
        <v>1436</v>
      </c>
      <c r="G163" s="96" t="b">
        <v>0</v>
      </c>
      <c r="H163" s="96" t="b">
        <v>0</v>
      </c>
      <c r="I163" s="96" t="b">
        <v>0</v>
      </c>
      <c r="J163" s="96" t="b">
        <v>0</v>
      </c>
      <c r="K163" s="96" t="b">
        <v>0</v>
      </c>
      <c r="L163" s="96" t="b">
        <v>0</v>
      </c>
    </row>
    <row r="164" spans="1:12" ht="15">
      <c r="A164" s="97" t="s">
        <v>1354</v>
      </c>
      <c r="B164" s="96" t="s">
        <v>1359</v>
      </c>
      <c r="C164" s="96">
        <v>3</v>
      </c>
      <c r="D164" s="110">
        <v>0.002503166383765829</v>
      </c>
      <c r="E164" s="110">
        <v>2.790519727626253</v>
      </c>
      <c r="F164" s="96" t="s">
        <v>1436</v>
      </c>
      <c r="G164" s="96" t="b">
        <v>0</v>
      </c>
      <c r="H164" s="96" t="b">
        <v>0</v>
      </c>
      <c r="I164" s="96" t="b">
        <v>0</v>
      </c>
      <c r="J164" s="96" t="b">
        <v>0</v>
      </c>
      <c r="K164" s="96" t="b">
        <v>0</v>
      </c>
      <c r="L164" s="96" t="b">
        <v>0</v>
      </c>
    </row>
    <row r="165" spans="1:12" ht="15">
      <c r="A165" s="97" t="s">
        <v>1359</v>
      </c>
      <c r="B165" s="96" t="s">
        <v>1020</v>
      </c>
      <c r="C165" s="96">
        <v>3</v>
      </c>
      <c r="D165" s="110">
        <v>0.002503166383765829</v>
      </c>
      <c r="E165" s="110">
        <v>2.489489731962272</v>
      </c>
      <c r="F165" s="96" t="s">
        <v>1436</v>
      </c>
      <c r="G165" s="96" t="b">
        <v>0</v>
      </c>
      <c r="H165" s="96" t="b">
        <v>0</v>
      </c>
      <c r="I165" s="96" t="b">
        <v>0</v>
      </c>
      <c r="J165" s="96" t="b">
        <v>0</v>
      </c>
      <c r="K165" s="96" t="b">
        <v>0</v>
      </c>
      <c r="L165" s="96" t="b">
        <v>0</v>
      </c>
    </row>
    <row r="166" spans="1:12" ht="15">
      <c r="A166" s="97" t="s">
        <v>1372</v>
      </c>
      <c r="B166" s="96" t="s">
        <v>1266</v>
      </c>
      <c r="C166" s="96">
        <v>3</v>
      </c>
      <c r="D166" s="110">
        <v>0.002503166383765829</v>
      </c>
      <c r="E166" s="110">
        <v>2.1884597362982907</v>
      </c>
      <c r="F166" s="96" t="s">
        <v>1436</v>
      </c>
      <c r="G166" s="96" t="b">
        <v>0</v>
      </c>
      <c r="H166" s="96" t="b">
        <v>0</v>
      </c>
      <c r="I166" s="96" t="b">
        <v>0</v>
      </c>
      <c r="J166" s="96" t="b">
        <v>0</v>
      </c>
      <c r="K166" s="96" t="b">
        <v>0</v>
      </c>
      <c r="L166" s="96" t="b">
        <v>0</v>
      </c>
    </row>
    <row r="167" spans="1:12" ht="15">
      <c r="A167" s="97" t="s">
        <v>1353</v>
      </c>
      <c r="B167" s="96" t="s">
        <v>1378</v>
      </c>
      <c r="C167" s="96">
        <v>3</v>
      </c>
      <c r="D167" s="110">
        <v>0.002503166383765829</v>
      </c>
      <c r="E167" s="110">
        <v>2.790519727626253</v>
      </c>
      <c r="F167" s="96" t="s">
        <v>1436</v>
      </c>
      <c r="G167" s="96" t="b">
        <v>0</v>
      </c>
      <c r="H167" s="96" t="b">
        <v>0</v>
      </c>
      <c r="I167" s="96" t="b">
        <v>0</v>
      </c>
      <c r="J167" s="96" t="b">
        <v>0</v>
      </c>
      <c r="K167" s="96" t="b">
        <v>0</v>
      </c>
      <c r="L167" s="96" t="b">
        <v>0</v>
      </c>
    </row>
    <row r="168" spans="1:12" ht="15">
      <c r="A168" s="97" t="s">
        <v>1000</v>
      </c>
      <c r="B168" s="96" t="s">
        <v>305</v>
      </c>
      <c r="C168" s="96">
        <v>3</v>
      </c>
      <c r="D168" s="110">
        <v>0.002503166383765829</v>
      </c>
      <c r="E168" s="110">
        <v>0.4200683232038033</v>
      </c>
      <c r="F168" s="96" t="s">
        <v>1436</v>
      </c>
      <c r="G168" s="96" t="b">
        <v>0</v>
      </c>
      <c r="H168" s="96" t="b">
        <v>0</v>
      </c>
      <c r="I168" s="96" t="b">
        <v>0</v>
      </c>
      <c r="J168" s="96" t="b">
        <v>0</v>
      </c>
      <c r="K168" s="96" t="b">
        <v>0</v>
      </c>
      <c r="L168" s="96" t="b">
        <v>0</v>
      </c>
    </row>
    <row r="169" spans="1:12" ht="15">
      <c r="A169" s="97" t="s">
        <v>300</v>
      </c>
      <c r="B169" s="96" t="s">
        <v>1015</v>
      </c>
      <c r="C169" s="96">
        <v>3</v>
      </c>
      <c r="D169" s="110">
        <v>0.002503166383765829</v>
      </c>
      <c r="E169" s="110">
        <v>1.790519727626253</v>
      </c>
      <c r="F169" s="96" t="s">
        <v>1436</v>
      </c>
      <c r="G169" s="96" t="b">
        <v>0</v>
      </c>
      <c r="H169" s="96" t="b">
        <v>0</v>
      </c>
      <c r="I169" s="96" t="b">
        <v>0</v>
      </c>
      <c r="J169" s="96" t="b">
        <v>0</v>
      </c>
      <c r="K169" s="96" t="b">
        <v>0</v>
      </c>
      <c r="L169" s="96" t="b">
        <v>0</v>
      </c>
    </row>
    <row r="170" spans="1:12" ht="15">
      <c r="A170" s="97" t="s">
        <v>1349</v>
      </c>
      <c r="B170" s="96" t="s">
        <v>1375</v>
      </c>
      <c r="C170" s="96">
        <v>3</v>
      </c>
      <c r="D170" s="110">
        <v>0.002503166383765829</v>
      </c>
      <c r="E170" s="110">
        <v>2.665580991017953</v>
      </c>
      <c r="F170" s="96" t="s">
        <v>1436</v>
      </c>
      <c r="G170" s="96" t="b">
        <v>0</v>
      </c>
      <c r="H170" s="96" t="b">
        <v>0</v>
      </c>
      <c r="I170" s="96" t="b">
        <v>0</v>
      </c>
      <c r="J170" s="96" t="b">
        <v>0</v>
      </c>
      <c r="K170" s="96" t="b">
        <v>0</v>
      </c>
      <c r="L170" s="96" t="b">
        <v>0</v>
      </c>
    </row>
    <row r="171" spans="1:12" ht="15">
      <c r="A171" s="97" t="s">
        <v>1363</v>
      </c>
      <c r="B171" s="96" t="s">
        <v>1251</v>
      </c>
      <c r="C171" s="96">
        <v>3</v>
      </c>
      <c r="D171" s="110">
        <v>0.002503166383765829</v>
      </c>
      <c r="E171" s="110">
        <v>1.790519727626253</v>
      </c>
      <c r="F171" s="96" t="s">
        <v>1436</v>
      </c>
      <c r="G171" s="96" t="b">
        <v>0</v>
      </c>
      <c r="H171" s="96" t="b">
        <v>0</v>
      </c>
      <c r="I171" s="96" t="b">
        <v>0</v>
      </c>
      <c r="J171" s="96" t="b">
        <v>0</v>
      </c>
      <c r="K171" s="96" t="b">
        <v>0</v>
      </c>
      <c r="L171" s="96" t="b">
        <v>0</v>
      </c>
    </row>
    <row r="172" spans="1:12" ht="15">
      <c r="A172" s="97" t="s">
        <v>1373</v>
      </c>
      <c r="B172" s="96" t="s">
        <v>1286</v>
      </c>
      <c r="C172" s="96">
        <v>3</v>
      </c>
      <c r="D172" s="110">
        <v>0.002503166383765829</v>
      </c>
      <c r="E172" s="110">
        <v>2.3133984729065906</v>
      </c>
      <c r="F172" s="96" t="s">
        <v>1436</v>
      </c>
      <c r="G172" s="96" t="b">
        <v>0</v>
      </c>
      <c r="H172" s="96" t="b">
        <v>0</v>
      </c>
      <c r="I172" s="96" t="b">
        <v>0</v>
      </c>
      <c r="J172" s="96" t="b">
        <v>0</v>
      </c>
      <c r="K172" s="96" t="b">
        <v>0</v>
      </c>
      <c r="L172" s="96" t="b">
        <v>0</v>
      </c>
    </row>
    <row r="173" spans="1:12" ht="15">
      <c r="A173" s="97" t="s">
        <v>1357</v>
      </c>
      <c r="B173" s="96" t="s">
        <v>1000</v>
      </c>
      <c r="C173" s="96">
        <v>3</v>
      </c>
      <c r="D173" s="110">
        <v>0.002503166383765829</v>
      </c>
      <c r="E173" s="110">
        <v>1.5516376387111164</v>
      </c>
      <c r="F173" s="96" t="s">
        <v>1436</v>
      </c>
      <c r="G173" s="96" t="b">
        <v>0</v>
      </c>
      <c r="H173" s="96" t="b">
        <v>0</v>
      </c>
      <c r="I173" s="96" t="b">
        <v>0</v>
      </c>
      <c r="J173" s="96" t="b">
        <v>0</v>
      </c>
      <c r="K173" s="96" t="b">
        <v>0</v>
      </c>
      <c r="L173" s="96" t="b">
        <v>0</v>
      </c>
    </row>
    <row r="174" spans="1:12" ht="15">
      <c r="A174" s="97" t="s">
        <v>307</v>
      </c>
      <c r="B174" s="96" t="s">
        <v>1340</v>
      </c>
      <c r="C174" s="96">
        <v>3</v>
      </c>
      <c r="D174" s="110">
        <v>0.002503166383765829</v>
      </c>
      <c r="E174" s="110">
        <v>1.9385822630816907</v>
      </c>
      <c r="F174" s="96" t="s">
        <v>1436</v>
      </c>
      <c r="G174" s="96" t="b">
        <v>0</v>
      </c>
      <c r="H174" s="96" t="b">
        <v>0</v>
      </c>
      <c r="I174" s="96" t="b">
        <v>0</v>
      </c>
      <c r="J174" s="96" t="b">
        <v>0</v>
      </c>
      <c r="K174" s="96" t="b">
        <v>0</v>
      </c>
      <c r="L174" s="96" t="b">
        <v>0</v>
      </c>
    </row>
    <row r="175" spans="1:12" ht="15">
      <c r="A175" s="97" t="s">
        <v>1020</v>
      </c>
      <c r="B175" s="96" t="s">
        <v>1360</v>
      </c>
      <c r="C175" s="96">
        <v>3</v>
      </c>
      <c r="D175" s="110">
        <v>0.002503166383765829</v>
      </c>
      <c r="E175" s="110">
        <v>2.489489731962272</v>
      </c>
      <c r="F175" s="96" t="s">
        <v>1436</v>
      </c>
      <c r="G175" s="96" t="b">
        <v>0</v>
      </c>
      <c r="H175" s="96" t="b">
        <v>0</v>
      </c>
      <c r="I175" s="96" t="b">
        <v>0</v>
      </c>
      <c r="J175" s="96" t="b">
        <v>0</v>
      </c>
      <c r="K175" s="96" t="b">
        <v>0</v>
      </c>
      <c r="L175" s="96" t="b">
        <v>0</v>
      </c>
    </row>
    <row r="176" spans="1:12" ht="15">
      <c r="A176" s="97" t="s">
        <v>1299</v>
      </c>
      <c r="B176" s="96" t="s">
        <v>1252</v>
      </c>
      <c r="C176" s="96">
        <v>3</v>
      </c>
      <c r="D176" s="110">
        <v>0.002503166383765829</v>
      </c>
      <c r="E176" s="110">
        <v>1.535247222522947</v>
      </c>
      <c r="F176" s="96" t="s">
        <v>1436</v>
      </c>
      <c r="G176" s="96" t="b">
        <v>0</v>
      </c>
      <c r="H176" s="96" t="b">
        <v>0</v>
      </c>
      <c r="I176" s="96" t="b">
        <v>0</v>
      </c>
      <c r="J176" s="96" t="b">
        <v>0</v>
      </c>
      <c r="K176" s="96" t="b">
        <v>0</v>
      </c>
      <c r="L176" s="96" t="b">
        <v>0</v>
      </c>
    </row>
    <row r="177" spans="1:12" ht="15">
      <c r="A177" s="97" t="s">
        <v>1386</v>
      </c>
      <c r="B177" s="96" t="s">
        <v>1357</v>
      </c>
      <c r="C177" s="96">
        <v>3</v>
      </c>
      <c r="D177" s="110">
        <v>0.002503166383765829</v>
      </c>
      <c r="E177" s="110">
        <v>2.790519727626253</v>
      </c>
      <c r="F177" s="96" t="s">
        <v>1436</v>
      </c>
      <c r="G177" s="96" t="b">
        <v>0</v>
      </c>
      <c r="H177" s="96" t="b">
        <v>0</v>
      </c>
      <c r="I177" s="96" t="b">
        <v>0</v>
      </c>
      <c r="J177" s="96" t="b">
        <v>0</v>
      </c>
      <c r="K177" s="96" t="b">
        <v>0</v>
      </c>
      <c r="L177" s="96" t="b">
        <v>0</v>
      </c>
    </row>
    <row r="178" spans="1:12" ht="15">
      <c r="A178" s="97" t="s">
        <v>1274</v>
      </c>
      <c r="B178" s="96" t="s">
        <v>1001</v>
      </c>
      <c r="C178" s="96">
        <v>3</v>
      </c>
      <c r="D178" s="110">
        <v>0.002503166383765829</v>
      </c>
      <c r="E178" s="110">
        <v>1.0287588934307788</v>
      </c>
      <c r="F178" s="96" t="s">
        <v>1436</v>
      </c>
      <c r="G178" s="96" t="b">
        <v>0</v>
      </c>
      <c r="H178" s="96" t="b">
        <v>0</v>
      </c>
      <c r="I178" s="96" t="b">
        <v>0</v>
      </c>
      <c r="J178" s="96" t="b">
        <v>0</v>
      </c>
      <c r="K178" s="96" t="b">
        <v>0</v>
      </c>
      <c r="L178" s="96" t="b">
        <v>0</v>
      </c>
    </row>
    <row r="179" spans="1:12" ht="15">
      <c r="A179" s="97" t="s">
        <v>1374</v>
      </c>
      <c r="B179" s="96" t="s">
        <v>1358</v>
      </c>
      <c r="C179" s="96">
        <v>3</v>
      </c>
      <c r="D179" s="110">
        <v>0.002503166383765829</v>
      </c>
      <c r="E179" s="110">
        <v>2.790519727626253</v>
      </c>
      <c r="F179" s="96" t="s">
        <v>1436</v>
      </c>
      <c r="G179" s="96" t="b">
        <v>0</v>
      </c>
      <c r="H179" s="96" t="b">
        <v>0</v>
      </c>
      <c r="I179" s="96" t="b">
        <v>0</v>
      </c>
      <c r="J179" s="96" t="b">
        <v>0</v>
      </c>
      <c r="K179" s="96" t="b">
        <v>0</v>
      </c>
      <c r="L179" s="96" t="b">
        <v>0</v>
      </c>
    </row>
    <row r="180" spans="1:12" ht="15">
      <c r="A180" s="97" t="s">
        <v>1369</v>
      </c>
      <c r="B180" s="96" t="s">
        <v>1024</v>
      </c>
      <c r="C180" s="96">
        <v>3</v>
      </c>
      <c r="D180" s="110">
        <v>0.002503166383765829</v>
      </c>
      <c r="E180" s="110">
        <v>2.790519727626253</v>
      </c>
      <c r="F180" s="96" t="s">
        <v>1436</v>
      </c>
      <c r="G180" s="96" t="b">
        <v>0</v>
      </c>
      <c r="H180" s="96" t="b">
        <v>0</v>
      </c>
      <c r="I180" s="96" t="b">
        <v>0</v>
      </c>
      <c r="J180" s="96" t="b">
        <v>0</v>
      </c>
      <c r="K180" s="96" t="b">
        <v>0</v>
      </c>
      <c r="L180" s="96" t="b">
        <v>0</v>
      </c>
    </row>
    <row r="181" spans="1:12" ht="15">
      <c r="A181" s="97" t="s">
        <v>1384</v>
      </c>
      <c r="B181" s="96" t="s">
        <v>1372</v>
      </c>
      <c r="C181" s="96">
        <v>3</v>
      </c>
      <c r="D181" s="110">
        <v>0.002503166383765829</v>
      </c>
      <c r="E181" s="110">
        <v>2.790519727626253</v>
      </c>
      <c r="F181" s="96" t="s">
        <v>1436</v>
      </c>
      <c r="G181" s="96" t="b">
        <v>0</v>
      </c>
      <c r="H181" s="96" t="b">
        <v>0</v>
      </c>
      <c r="I181" s="96" t="b">
        <v>0</v>
      </c>
      <c r="J181" s="96" t="b">
        <v>0</v>
      </c>
      <c r="K181" s="96" t="b">
        <v>0</v>
      </c>
      <c r="L181" s="96" t="b">
        <v>0</v>
      </c>
    </row>
    <row r="182" spans="1:12" ht="15">
      <c r="A182" s="97" t="s">
        <v>1380</v>
      </c>
      <c r="B182" s="96" t="s">
        <v>1374</v>
      </c>
      <c r="C182" s="96">
        <v>3</v>
      </c>
      <c r="D182" s="110">
        <v>0.002503166383765829</v>
      </c>
      <c r="E182" s="110">
        <v>2.790519727626253</v>
      </c>
      <c r="F182" s="96" t="s">
        <v>1436</v>
      </c>
      <c r="G182" s="96" t="b">
        <v>0</v>
      </c>
      <c r="H182" s="96" t="b">
        <v>0</v>
      </c>
      <c r="I182" s="96" t="b">
        <v>0</v>
      </c>
      <c r="J182" s="96" t="b">
        <v>0</v>
      </c>
      <c r="K182" s="96" t="b">
        <v>0</v>
      </c>
      <c r="L182" s="96" t="b">
        <v>0</v>
      </c>
    </row>
    <row r="183" spans="1:12" ht="15">
      <c r="A183" s="97" t="s">
        <v>1364</v>
      </c>
      <c r="B183" s="96" t="s">
        <v>1307</v>
      </c>
      <c r="C183" s="96">
        <v>3</v>
      </c>
      <c r="D183" s="110">
        <v>0.002503166383765829</v>
      </c>
      <c r="E183" s="110">
        <v>2.5686709780098966</v>
      </c>
      <c r="F183" s="96" t="s">
        <v>1436</v>
      </c>
      <c r="G183" s="96" t="b">
        <v>0</v>
      </c>
      <c r="H183" s="96" t="b">
        <v>0</v>
      </c>
      <c r="I183" s="96" t="b">
        <v>0</v>
      </c>
      <c r="J183" s="96" t="b">
        <v>0</v>
      </c>
      <c r="K183" s="96" t="b">
        <v>0</v>
      </c>
      <c r="L183" s="96" t="b">
        <v>0</v>
      </c>
    </row>
    <row r="184" spans="1:12" ht="15">
      <c r="A184" s="97" t="s">
        <v>875</v>
      </c>
      <c r="B184" s="96" t="s">
        <v>1377</v>
      </c>
      <c r="C184" s="96">
        <v>3</v>
      </c>
      <c r="D184" s="110">
        <v>0.002503166383765829</v>
      </c>
      <c r="E184" s="110">
        <v>1.6765763753194163</v>
      </c>
      <c r="F184" s="96" t="s">
        <v>1436</v>
      </c>
      <c r="G184" s="96" t="b">
        <v>0</v>
      </c>
      <c r="H184" s="96" t="b">
        <v>0</v>
      </c>
      <c r="I184" s="96" t="b">
        <v>0</v>
      </c>
      <c r="J184" s="96" t="b">
        <v>0</v>
      </c>
      <c r="K184" s="96" t="b">
        <v>0</v>
      </c>
      <c r="L184" s="96" t="b">
        <v>0</v>
      </c>
    </row>
    <row r="185" spans="1:12" ht="15">
      <c r="A185" s="97" t="s">
        <v>1342</v>
      </c>
      <c r="B185" s="96" t="s">
        <v>1371</v>
      </c>
      <c r="C185" s="96">
        <v>3</v>
      </c>
      <c r="D185" s="110">
        <v>0.002503166383765829</v>
      </c>
      <c r="E185" s="110">
        <v>2.665580991017953</v>
      </c>
      <c r="F185" s="96" t="s">
        <v>1436</v>
      </c>
      <c r="G185" s="96" t="b">
        <v>0</v>
      </c>
      <c r="H185" s="96" t="b">
        <v>0</v>
      </c>
      <c r="I185" s="96" t="b">
        <v>0</v>
      </c>
      <c r="J185" s="96" t="b">
        <v>0</v>
      </c>
      <c r="K185" s="96" t="b">
        <v>0</v>
      </c>
      <c r="L185" s="96" t="b">
        <v>0</v>
      </c>
    </row>
    <row r="186" spans="1:12" ht="15">
      <c r="A186" s="97" t="s">
        <v>1385</v>
      </c>
      <c r="B186" s="96" t="s">
        <v>1352</v>
      </c>
      <c r="C186" s="96">
        <v>3</v>
      </c>
      <c r="D186" s="110">
        <v>0.002503166383765829</v>
      </c>
      <c r="E186" s="110">
        <v>2.665580991017953</v>
      </c>
      <c r="F186" s="96" t="s">
        <v>1436</v>
      </c>
      <c r="G186" s="96" t="b">
        <v>0</v>
      </c>
      <c r="H186" s="96" t="b">
        <v>0</v>
      </c>
      <c r="I186" s="96" t="b">
        <v>0</v>
      </c>
      <c r="J186" s="96" t="b">
        <v>0</v>
      </c>
      <c r="K186" s="96" t="b">
        <v>0</v>
      </c>
      <c r="L186" s="96" t="b">
        <v>0</v>
      </c>
    </row>
    <row r="187" spans="1:12" ht="15">
      <c r="A187" s="97" t="s">
        <v>1362</v>
      </c>
      <c r="B187" s="96" t="s">
        <v>310</v>
      </c>
      <c r="C187" s="96">
        <v>3</v>
      </c>
      <c r="D187" s="110">
        <v>0.002503166383765829</v>
      </c>
      <c r="E187" s="110">
        <v>2.3133984729065906</v>
      </c>
      <c r="F187" s="96" t="s">
        <v>1436</v>
      </c>
      <c r="G187" s="96" t="b">
        <v>0</v>
      </c>
      <c r="H187" s="96" t="b">
        <v>0</v>
      </c>
      <c r="I187" s="96" t="b">
        <v>0</v>
      </c>
      <c r="J187" s="96" t="b">
        <v>0</v>
      </c>
      <c r="K187" s="96" t="b">
        <v>0</v>
      </c>
      <c r="L187" s="96" t="b">
        <v>0</v>
      </c>
    </row>
    <row r="188" spans="1:12" ht="15">
      <c r="A188" s="97" t="s">
        <v>1277</v>
      </c>
      <c r="B188" s="96" t="s">
        <v>1005</v>
      </c>
      <c r="C188" s="96">
        <v>3</v>
      </c>
      <c r="D188" s="110">
        <v>0.002503166383765829</v>
      </c>
      <c r="E188" s="110">
        <v>1.1884597362982907</v>
      </c>
      <c r="F188" s="96" t="s">
        <v>1436</v>
      </c>
      <c r="G188" s="96" t="b">
        <v>0</v>
      </c>
      <c r="H188" s="96" t="b">
        <v>0</v>
      </c>
      <c r="I188" s="96" t="b">
        <v>0</v>
      </c>
      <c r="J188" s="96" t="b">
        <v>0</v>
      </c>
      <c r="K188" s="96" t="b">
        <v>0</v>
      </c>
      <c r="L188" s="96" t="b">
        <v>0</v>
      </c>
    </row>
    <row r="189" spans="1:12" ht="15">
      <c r="A189" s="97" t="s">
        <v>1000</v>
      </c>
      <c r="B189" s="96" t="s">
        <v>1369</v>
      </c>
      <c r="C189" s="96">
        <v>3</v>
      </c>
      <c r="D189" s="110">
        <v>0.002503166383765829</v>
      </c>
      <c r="E189" s="110">
        <v>1.1470670511400656</v>
      </c>
      <c r="F189" s="96" t="s">
        <v>1436</v>
      </c>
      <c r="G189" s="96" t="b">
        <v>0</v>
      </c>
      <c r="H189" s="96" t="b">
        <v>0</v>
      </c>
      <c r="I189" s="96" t="b">
        <v>0</v>
      </c>
      <c r="J189" s="96" t="b">
        <v>0</v>
      </c>
      <c r="K189" s="96" t="b">
        <v>0</v>
      </c>
      <c r="L189" s="96" t="b">
        <v>0</v>
      </c>
    </row>
    <row r="190" spans="1:12" ht="15">
      <c r="A190" s="97" t="s">
        <v>1382</v>
      </c>
      <c r="B190" s="96" t="s">
        <v>1025</v>
      </c>
      <c r="C190" s="96">
        <v>3</v>
      </c>
      <c r="D190" s="110">
        <v>0.002503166383765829</v>
      </c>
      <c r="E190" s="110">
        <v>2.790519727626253</v>
      </c>
      <c r="F190" s="96" t="s">
        <v>1436</v>
      </c>
      <c r="G190" s="96" t="b">
        <v>0</v>
      </c>
      <c r="H190" s="96" t="b">
        <v>0</v>
      </c>
      <c r="I190" s="96" t="b">
        <v>0</v>
      </c>
      <c r="J190" s="96" t="b">
        <v>0</v>
      </c>
      <c r="K190" s="96" t="b">
        <v>0</v>
      </c>
      <c r="L190" s="96" t="b">
        <v>0</v>
      </c>
    </row>
    <row r="191" spans="1:12" ht="15">
      <c r="A191" s="97" t="s">
        <v>1278</v>
      </c>
      <c r="B191" s="96" t="s">
        <v>1379</v>
      </c>
      <c r="C191" s="96">
        <v>3</v>
      </c>
      <c r="D191" s="110">
        <v>0.002503166383765829</v>
      </c>
      <c r="E191" s="110">
        <v>2.2676409823459154</v>
      </c>
      <c r="F191" s="96" t="s">
        <v>1436</v>
      </c>
      <c r="G191" s="96" t="b">
        <v>0</v>
      </c>
      <c r="H191" s="96" t="b">
        <v>0</v>
      </c>
      <c r="I191" s="96" t="b">
        <v>0</v>
      </c>
      <c r="J191" s="96" t="b">
        <v>0</v>
      </c>
      <c r="K191" s="96" t="b">
        <v>0</v>
      </c>
      <c r="L191" s="96" t="b">
        <v>0</v>
      </c>
    </row>
    <row r="192" spans="1:12" ht="15">
      <c r="A192" s="97" t="s">
        <v>1261</v>
      </c>
      <c r="B192" s="96" t="s">
        <v>1370</v>
      </c>
      <c r="C192" s="96">
        <v>3</v>
      </c>
      <c r="D192" s="110">
        <v>0.002503166383765829</v>
      </c>
      <c r="E192" s="110">
        <v>2.153697630039079</v>
      </c>
      <c r="F192" s="96" t="s">
        <v>1436</v>
      </c>
      <c r="G192" s="96" t="b">
        <v>0</v>
      </c>
      <c r="H192" s="96" t="b">
        <v>0</v>
      </c>
      <c r="I192" s="96" t="b">
        <v>0</v>
      </c>
      <c r="J192" s="96" t="b">
        <v>0</v>
      </c>
      <c r="K192" s="96" t="b">
        <v>0</v>
      </c>
      <c r="L192" s="96" t="b">
        <v>0</v>
      </c>
    </row>
    <row r="193" spans="1:12" ht="15">
      <c r="A193" s="97" t="s">
        <v>1358</v>
      </c>
      <c r="B193" s="96" t="s">
        <v>1384</v>
      </c>
      <c r="C193" s="96">
        <v>3</v>
      </c>
      <c r="D193" s="110">
        <v>0.002503166383765829</v>
      </c>
      <c r="E193" s="110">
        <v>2.790519727626253</v>
      </c>
      <c r="F193" s="96" t="s">
        <v>1436</v>
      </c>
      <c r="G193" s="96" t="b">
        <v>0</v>
      </c>
      <c r="H193" s="96" t="b">
        <v>0</v>
      </c>
      <c r="I193" s="96" t="b">
        <v>0</v>
      </c>
      <c r="J193" s="96" t="b">
        <v>0</v>
      </c>
      <c r="K193" s="96" t="b">
        <v>0</v>
      </c>
      <c r="L193" s="96" t="b">
        <v>0</v>
      </c>
    </row>
    <row r="194" spans="1:12" ht="15">
      <c r="A194" s="97" t="s">
        <v>1377</v>
      </c>
      <c r="B194" s="96" t="s">
        <v>1256</v>
      </c>
      <c r="C194" s="96">
        <v>3</v>
      </c>
      <c r="D194" s="110">
        <v>0.002503166383765829</v>
      </c>
      <c r="E194" s="110">
        <v>2.0371920609676417</v>
      </c>
      <c r="F194" s="96" t="s">
        <v>1436</v>
      </c>
      <c r="G194" s="96" t="b">
        <v>0</v>
      </c>
      <c r="H194" s="96" t="b">
        <v>0</v>
      </c>
      <c r="I194" s="96" t="b">
        <v>0</v>
      </c>
      <c r="J194" s="96" t="b">
        <v>0</v>
      </c>
      <c r="K194" s="96" t="b">
        <v>0</v>
      </c>
      <c r="L194" s="96" t="b">
        <v>0</v>
      </c>
    </row>
    <row r="195" spans="1:12" ht="15">
      <c r="A195" s="97" t="s">
        <v>1371</v>
      </c>
      <c r="B195" s="96" t="s">
        <v>307</v>
      </c>
      <c r="C195" s="96">
        <v>3</v>
      </c>
      <c r="D195" s="110">
        <v>0.002503166383765829</v>
      </c>
      <c r="E195" s="110">
        <v>2.063520999689991</v>
      </c>
      <c r="F195" s="96" t="s">
        <v>1436</v>
      </c>
      <c r="G195" s="96" t="b">
        <v>0</v>
      </c>
      <c r="H195" s="96" t="b">
        <v>0</v>
      </c>
      <c r="I195" s="96" t="b">
        <v>0</v>
      </c>
      <c r="J195" s="96" t="b">
        <v>0</v>
      </c>
      <c r="K195" s="96" t="b">
        <v>0</v>
      </c>
      <c r="L195" s="96" t="b">
        <v>0</v>
      </c>
    </row>
    <row r="196" spans="1:12" ht="15">
      <c r="A196" s="97" t="s">
        <v>1024</v>
      </c>
      <c r="B196" s="96" t="s">
        <v>1368</v>
      </c>
      <c r="C196" s="96">
        <v>3</v>
      </c>
      <c r="D196" s="110">
        <v>0.002503166383765829</v>
      </c>
      <c r="E196" s="110">
        <v>2.790519727626253</v>
      </c>
      <c r="F196" s="96" t="s">
        <v>1436</v>
      </c>
      <c r="G196" s="96" t="b">
        <v>0</v>
      </c>
      <c r="H196" s="96" t="b">
        <v>0</v>
      </c>
      <c r="I196" s="96" t="b">
        <v>0</v>
      </c>
      <c r="J196" s="96" t="b">
        <v>0</v>
      </c>
      <c r="K196" s="96" t="b">
        <v>0</v>
      </c>
      <c r="L196" s="96" t="b">
        <v>0</v>
      </c>
    </row>
    <row r="197" spans="1:12" ht="15">
      <c r="A197" s="97" t="s">
        <v>1370</v>
      </c>
      <c r="B197" s="96" t="s">
        <v>1380</v>
      </c>
      <c r="C197" s="96">
        <v>3</v>
      </c>
      <c r="D197" s="110">
        <v>0.002503166383765829</v>
      </c>
      <c r="E197" s="110">
        <v>2.790519727626253</v>
      </c>
      <c r="F197" s="96" t="s">
        <v>1436</v>
      </c>
      <c r="G197" s="96" t="b">
        <v>0</v>
      </c>
      <c r="H197" s="96" t="b">
        <v>0</v>
      </c>
      <c r="I197" s="96" t="b">
        <v>0</v>
      </c>
      <c r="J197" s="96" t="b">
        <v>0</v>
      </c>
      <c r="K197" s="96" t="b">
        <v>0</v>
      </c>
      <c r="L197" s="96" t="b">
        <v>0</v>
      </c>
    </row>
    <row r="198" spans="1:12" ht="15">
      <c r="A198" s="97" t="s">
        <v>1346</v>
      </c>
      <c r="B198" s="96" t="s">
        <v>1376</v>
      </c>
      <c r="C198" s="96">
        <v>3</v>
      </c>
      <c r="D198" s="110">
        <v>0.002503166383765829</v>
      </c>
      <c r="E198" s="110">
        <v>2.665580991017953</v>
      </c>
      <c r="F198" s="96" t="s">
        <v>1436</v>
      </c>
      <c r="G198" s="96" t="b">
        <v>0</v>
      </c>
      <c r="H198" s="96" t="b">
        <v>0</v>
      </c>
      <c r="I198" s="96" t="b">
        <v>0</v>
      </c>
      <c r="J198" s="96" t="b">
        <v>0</v>
      </c>
      <c r="K198" s="96" t="b">
        <v>0</v>
      </c>
      <c r="L198" s="96" t="b">
        <v>0</v>
      </c>
    </row>
    <row r="199" spans="1:12" ht="15">
      <c r="A199" s="97" t="s">
        <v>1002</v>
      </c>
      <c r="B199" s="96" t="s">
        <v>1349</v>
      </c>
      <c r="C199" s="96">
        <v>3</v>
      </c>
      <c r="D199" s="110">
        <v>0.002503166383765829</v>
      </c>
      <c r="E199" s="110">
        <v>1.4266989021028165</v>
      </c>
      <c r="F199" s="96" t="s">
        <v>1436</v>
      </c>
      <c r="G199" s="96" t="b">
        <v>0</v>
      </c>
      <c r="H199" s="96" t="b">
        <v>0</v>
      </c>
      <c r="I199" s="96" t="b">
        <v>0</v>
      </c>
      <c r="J199" s="96" t="b">
        <v>0</v>
      </c>
      <c r="K199" s="96" t="b">
        <v>0</v>
      </c>
      <c r="L199" s="96" t="b">
        <v>0</v>
      </c>
    </row>
    <row r="200" spans="1:12" ht="15">
      <c r="A200" s="97" t="s">
        <v>1264</v>
      </c>
      <c r="B200" s="96" t="s">
        <v>1356</v>
      </c>
      <c r="C200" s="96">
        <v>3</v>
      </c>
      <c r="D200" s="110">
        <v>0.002503166383765829</v>
      </c>
      <c r="E200" s="110">
        <v>2.153697630039079</v>
      </c>
      <c r="F200" s="96" t="s">
        <v>1436</v>
      </c>
      <c r="G200" s="96" t="b">
        <v>0</v>
      </c>
      <c r="H200" s="96" t="b">
        <v>0</v>
      </c>
      <c r="I200" s="96" t="b">
        <v>0</v>
      </c>
      <c r="J200" s="96" t="b">
        <v>0</v>
      </c>
      <c r="K200" s="96" t="b">
        <v>0</v>
      </c>
      <c r="L200" s="96" t="b">
        <v>0</v>
      </c>
    </row>
    <row r="201" spans="1:12" ht="15">
      <c r="A201" s="97" t="s">
        <v>1383</v>
      </c>
      <c r="B201" s="96" t="s">
        <v>1351</v>
      </c>
      <c r="C201" s="96">
        <v>3</v>
      </c>
      <c r="D201" s="110">
        <v>0.002503166383765829</v>
      </c>
      <c r="E201" s="110">
        <v>2.665580991017953</v>
      </c>
      <c r="F201" s="96" t="s">
        <v>1436</v>
      </c>
      <c r="G201" s="96" t="b">
        <v>0</v>
      </c>
      <c r="H201" s="96" t="b">
        <v>0</v>
      </c>
      <c r="I201" s="96" t="b">
        <v>0</v>
      </c>
      <c r="J201" s="96" t="b">
        <v>0</v>
      </c>
      <c r="K201" s="96" t="b">
        <v>0</v>
      </c>
      <c r="L201" s="96" t="b">
        <v>0</v>
      </c>
    </row>
    <row r="202" spans="1:12" ht="15">
      <c r="A202" s="97" t="s">
        <v>1261</v>
      </c>
      <c r="B202" s="96" t="s">
        <v>1318</v>
      </c>
      <c r="C202" s="96">
        <v>3</v>
      </c>
      <c r="D202" s="110">
        <v>0.002503166383765829</v>
      </c>
      <c r="E202" s="110">
        <v>1.9318488804227225</v>
      </c>
      <c r="F202" s="96" t="s">
        <v>1436</v>
      </c>
      <c r="G202" s="96" t="b">
        <v>0</v>
      </c>
      <c r="H202" s="96" t="b">
        <v>0</v>
      </c>
      <c r="I202" s="96" t="b">
        <v>0</v>
      </c>
      <c r="J202" s="96" t="b">
        <v>0</v>
      </c>
      <c r="K202" s="96" t="b">
        <v>0</v>
      </c>
      <c r="L202" s="96" t="b">
        <v>0</v>
      </c>
    </row>
    <row r="203" spans="1:12" ht="15">
      <c r="A203" s="97" t="s">
        <v>1352</v>
      </c>
      <c r="B203" s="96" t="s">
        <v>1346</v>
      </c>
      <c r="C203" s="96">
        <v>3</v>
      </c>
      <c r="D203" s="110">
        <v>0.002503166383765829</v>
      </c>
      <c r="E203" s="110">
        <v>2.540642254409653</v>
      </c>
      <c r="F203" s="96" t="s">
        <v>1436</v>
      </c>
      <c r="G203" s="96" t="b">
        <v>0</v>
      </c>
      <c r="H203" s="96" t="b">
        <v>0</v>
      </c>
      <c r="I203" s="96" t="b">
        <v>0</v>
      </c>
      <c r="J203" s="96" t="b">
        <v>0</v>
      </c>
      <c r="K203" s="96" t="b">
        <v>0</v>
      </c>
      <c r="L203" s="96" t="b">
        <v>0</v>
      </c>
    </row>
    <row r="204" spans="1:12" ht="15">
      <c r="A204" s="97" t="s">
        <v>1368</v>
      </c>
      <c r="B204" s="96" t="s">
        <v>1381</v>
      </c>
      <c r="C204" s="96">
        <v>3</v>
      </c>
      <c r="D204" s="110">
        <v>0.002503166383765829</v>
      </c>
      <c r="E204" s="110">
        <v>2.790519727626253</v>
      </c>
      <c r="F204" s="96" t="s">
        <v>1436</v>
      </c>
      <c r="G204" s="96" t="b">
        <v>0</v>
      </c>
      <c r="H204" s="96" t="b">
        <v>0</v>
      </c>
      <c r="I204" s="96" t="b">
        <v>0</v>
      </c>
      <c r="J204" s="96" t="b">
        <v>0</v>
      </c>
      <c r="K204" s="96" t="b">
        <v>0</v>
      </c>
      <c r="L204" s="96" t="b">
        <v>0</v>
      </c>
    </row>
    <row r="205" spans="1:12" ht="15">
      <c r="A205" s="97" t="s">
        <v>1367</v>
      </c>
      <c r="B205" s="96" t="s">
        <v>1289</v>
      </c>
      <c r="C205" s="96">
        <v>3</v>
      </c>
      <c r="D205" s="110">
        <v>0.002503166383765829</v>
      </c>
      <c r="E205" s="110">
        <v>2.364550995353972</v>
      </c>
      <c r="F205" s="96" t="s">
        <v>1436</v>
      </c>
      <c r="G205" s="96" t="b">
        <v>0</v>
      </c>
      <c r="H205" s="96" t="b">
        <v>0</v>
      </c>
      <c r="I205" s="96" t="b">
        <v>0</v>
      </c>
      <c r="J205" s="96" t="b">
        <v>0</v>
      </c>
      <c r="K205" s="96" t="b">
        <v>0</v>
      </c>
      <c r="L205" s="96" t="b">
        <v>0</v>
      </c>
    </row>
    <row r="206" spans="1:12" ht="15">
      <c r="A206" s="97" t="s">
        <v>1376</v>
      </c>
      <c r="B206" s="96" t="s">
        <v>300</v>
      </c>
      <c r="C206" s="96">
        <v>3</v>
      </c>
      <c r="D206" s="110">
        <v>0.002503166383765829</v>
      </c>
      <c r="E206" s="110">
        <v>2.3133984729065906</v>
      </c>
      <c r="F206" s="96" t="s">
        <v>1436</v>
      </c>
      <c r="G206" s="96" t="b">
        <v>0</v>
      </c>
      <c r="H206" s="96" t="b">
        <v>0</v>
      </c>
      <c r="I206" s="96" t="b">
        <v>0</v>
      </c>
      <c r="J206" s="96" t="b">
        <v>0</v>
      </c>
      <c r="K206" s="96" t="b">
        <v>0</v>
      </c>
      <c r="L206" s="96" t="b">
        <v>0</v>
      </c>
    </row>
    <row r="207" spans="1:12" ht="15">
      <c r="A207" s="97" t="s">
        <v>982</v>
      </c>
      <c r="B207" s="96" t="s">
        <v>1361</v>
      </c>
      <c r="C207" s="96">
        <v>3</v>
      </c>
      <c r="D207" s="110">
        <v>0.002503166383765829</v>
      </c>
      <c r="E207" s="110">
        <v>1.5042129887829783</v>
      </c>
      <c r="F207" s="96" t="s">
        <v>1436</v>
      </c>
      <c r="G207" s="96" t="b">
        <v>0</v>
      </c>
      <c r="H207" s="96" t="b">
        <v>0</v>
      </c>
      <c r="I207" s="96" t="b">
        <v>0</v>
      </c>
      <c r="J207" s="96" t="b">
        <v>0</v>
      </c>
      <c r="K207" s="96" t="b">
        <v>0</v>
      </c>
      <c r="L207" s="96" t="b">
        <v>0</v>
      </c>
    </row>
    <row r="208" spans="1:12" ht="15">
      <c r="A208" s="97" t="s">
        <v>1000</v>
      </c>
      <c r="B208" s="96" t="s">
        <v>1337</v>
      </c>
      <c r="C208" s="96">
        <v>3</v>
      </c>
      <c r="D208" s="110">
        <v>0.002503166383765829</v>
      </c>
      <c r="E208" s="110">
        <v>1.0221283145317657</v>
      </c>
      <c r="F208" s="96" t="s">
        <v>1436</v>
      </c>
      <c r="G208" s="96" t="b">
        <v>0</v>
      </c>
      <c r="H208" s="96" t="b">
        <v>0</v>
      </c>
      <c r="I208" s="96" t="b">
        <v>0</v>
      </c>
      <c r="J208" s="96" t="b">
        <v>0</v>
      </c>
      <c r="K208" s="96" t="b">
        <v>0</v>
      </c>
      <c r="L208" s="96" t="b">
        <v>0</v>
      </c>
    </row>
    <row r="209" spans="1:12" ht="15">
      <c r="A209" s="97" t="s">
        <v>305</v>
      </c>
      <c r="B209" s="96" t="s">
        <v>1343</v>
      </c>
      <c r="C209" s="96">
        <v>3</v>
      </c>
      <c r="D209" s="110">
        <v>0.002503166383765829</v>
      </c>
      <c r="E209" s="110">
        <v>1.9385822630816907</v>
      </c>
      <c r="F209" s="96" t="s">
        <v>1436</v>
      </c>
      <c r="G209" s="96" t="b">
        <v>0</v>
      </c>
      <c r="H209" s="96" t="b">
        <v>0</v>
      </c>
      <c r="I209" s="96" t="b">
        <v>0</v>
      </c>
      <c r="J209" s="96" t="b">
        <v>0</v>
      </c>
      <c r="K209" s="96" t="b">
        <v>0</v>
      </c>
      <c r="L209" s="96" t="b">
        <v>0</v>
      </c>
    </row>
    <row r="210" spans="1:12" ht="15">
      <c r="A210" s="97" t="s">
        <v>1000</v>
      </c>
      <c r="B210" s="96" t="s">
        <v>1301</v>
      </c>
      <c r="C210" s="96">
        <v>3</v>
      </c>
      <c r="D210" s="110">
        <v>0.002503166383765829</v>
      </c>
      <c r="E210" s="110">
        <v>0.8460370554760844</v>
      </c>
      <c r="F210" s="96" t="s">
        <v>1436</v>
      </c>
      <c r="G210" s="96" t="b">
        <v>0</v>
      </c>
      <c r="H210" s="96" t="b">
        <v>0</v>
      </c>
      <c r="I210" s="96" t="b">
        <v>0</v>
      </c>
      <c r="J210" s="96" t="b">
        <v>0</v>
      </c>
      <c r="K210" s="96" t="b">
        <v>0</v>
      </c>
      <c r="L210" s="96" t="b">
        <v>0</v>
      </c>
    </row>
    <row r="211" spans="1:12" ht="15">
      <c r="A211" s="97" t="s">
        <v>1361</v>
      </c>
      <c r="B211" s="96" t="s">
        <v>1365</v>
      </c>
      <c r="C211" s="96">
        <v>3</v>
      </c>
      <c r="D211" s="110">
        <v>0.002503166383765829</v>
      </c>
      <c r="E211" s="110">
        <v>2.790519727626253</v>
      </c>
      <c r="F211" s="96" t="s">
        <v>1436</v>
      </c>
      <c r="G211" s="96" t="b">
        <v>0</v>
      </c>
      <c r="H211" s="96" t="b">
        <v>0</v>
      </c>
      <c r="I211" s="96" t="b">
        <v>0</v>
      </c>
      <c r="J211" s="96" t="b">
        <v>0</v>
      </c>
      <c r="K211" s="96" t="b">
        <v>0</v>
      </c>
      <c r="L211" s="96" t="b">
        <v>0</v>
      </c>
    </row>
    <row r="212" spans="1:12" ht="15">
      <c r="A212" s="97" t="s">
        <v>1379</v>
      </c>
      <c r="B212" s="96" t="s">
        <v>1010</v>
      </c>
      <c r="C212" s="96">
        <v>3</v>
      </c>
      <c r="D212" s="110">
        <v>0.002503166383765829</v>
      </c>
      <c r="E212" s="110">
        <v>1.8874297406343095</v>
      </c>
      <c r="F212" s="96" t="s">
        <v>1436</v>
      </c>
      <c r="G212" s="96" t="b">
        <v>0</v>
      </c>
      <c r="H212" s="96" t="b">
        <v>0</v>
      </c>
      <c r="I212" s="96" t="b">
        <v>0</v>
      </c>
      <c r="J212" s="96" t="b">
        <v>0</v>
      </c>
      <c r="K212" s="96" t="b">
        <v>0</v>
      </c>
      <c r="L212" s="96" t="b">
        <v>0</v>
      </c>
    </row>
    <row r="213" spans="1:12" ht="15">
      <c r="A213" s="97" t="s">
        <v>1360</v>
      </c>
      <c r="B213" s="96" t="s">
        <v>1354</v>
      </c>
      <c r="C213" s="96">
        <v>3</v>
      </c>
      <c r="D213" s="110">
        <v>0.002503166383765829</v>
      </c>
      <c r="E213" s="110">
        <v>2.790519727626253</v>
      </c>
      <c r="F213" s="96" t="s">
        <v>1436</v>
      </c>
      <c r="G213" s="96" t="b">
        <v>0</v>
      </c>
      <c r="H213" s="96" t="b">
        <v>0</v>
      </c>
      <c r="I213" s="96" t="b">
        <v>0</v>
      </c>
      <c r="J213" s="96" t="b">
        <v>0</v>
      </c>
      <c r="K213" s="96" t="b">
        <v>0</v>
      </c>
      <c r="L213" s="96" t="b">
        <v>0</v>
      </c>
    </row>
    <row r="214" spans="1:12" ht="15">
      <c r="A214" s="97" t="s">
        <v>1338</v>
      </c>
      <c r="B214" s="96" t="s">
        <v>1253</v>
      </c>
      <c r="C214" s="96">
        <v>3</v>
      </c>
      <c r="D214" s="110">
        <v>0.002503166383765829</v>
      </c>
      <c r="E214" s="110">
        <v>1.7277288977667975</v>
      </c>
      <c r="F214" s="96" t="s">
        <v>1436</v>
      </c>
      <c r="G214" s="96" t="b">
        <v>0</v>
      </c>
      <c r="H214" s="96" t="b">
        <v>0</v>
      </c>
      <c r="I214" s="96" t="b">
        <v>0</v>
      </c>
      <c r="J214" s="96" t="b">
        <v>0</v>
      </c>
      <c r="K214" s="96" t="b">
        <v>0</v>
      </c>
      <c r="L214" s="96" t="b">
        <v>0</v>
      </c>
    </row>
    <row r="215" spans="1:12" ht="15">
      <c r="A215" s="97" t="s">
        <v>1266</v>
      </c>
      <c r="B215" s="96" t="s">
        <v>1367</v>
      </c>
      <c r="C215" s="96">
        <v>3</v>
      </c>
      <c r="D215" s="110">
        <v>0.002503166383765829</v>
      </c>
      <c r="E215" s="110">
        <v>2.1884597362982907</v>
      </c>
      <c r="F215" s="96" t="s">
        <v>1436</v>
      </c>
      <c r="G215" s="96" t="b">
        <v>0</v>
      </c>
      <c r="H215" s="96" t="b">
        <v>0</v>
      </c>
      <c r="I215" s="96" t="b">
        <v>0</v>
      </c>
      <c r="J215" s="96" t="b">
        <v>0</v>
      </c>
      <c r="K215" s="96" t="b">
        <v>0</v>
      </c>
      <c r="L215" s="96" t="b">
        <v>0</v>
      </c>
    </row>
    <row r="216" spans="1:12" ht="15">
      <c r="A216" s="97" t="s">
        <v>1020</v>
      </c>
      <c r="B216" s="96" t="s">
        <v>1382</v>
      </c>
      <c r="C216" s="96">
        <v>3</v>
      </c>
      <c r="D216" s="110">
        <v>0.002503166383765829</v>
      </c>
      <c r="E216" s="110">
        <v>2.489489731962272</v>
      </c>
      <c r="F216" s="96" t="s">
        <v>1436</v>
      </c>
      <c r="G216" s="96" t="b">
        <v>0</v>
      </c>
      <c r="H216" s="96" t="b">
        <v>0</v>
      </c>
      <c r="I216" s="96" t="b">
        <v>0</v>
      </c>
      <c r="J216" s="96" t="b">
        <v>0</v>
      </c>
      <c r="K216" s="96" t="b">
        <v>0</v>
      </c>
      <c r="L216" s="96" t="b">
        <v>0</v>
      </c>
    </row>
    <row r="217" spans="1:12" ht="15">
      <c r="A217" s="97" t="s">
        <v>1381</v>
      </c>
      <c r="B217" s="96" t="s">
        <v>982</v>
      </c>
      <c r="C217" s="96">
        <v>3</v>
      </c>
      <c r="D217" s="110">
        <v>0.002503166383765829</v>
      </c>
      <c r="E217" s="110">
        <v>1.5433651127451264</v>
      </c>
      <c r="F217" s="96" t="s">
        <v>1436</v>
      </c>
      <c r="G217" s="96" t="b">
        <v>0</v>
      </c>
      <c r="H217" s="96" t="b">
        <v>0</v>
      </c>
      <c r="I217" s="96" t="b">
        <v>0</v>
      </c>
      <c r="J217" s="96" t="b">
        <v>0</v>
      </c>
      <c r="K217" s="96" t="b">
        <v>0</v>
      </c>
      <c r="L217" s="96" t="b">
        <v>0</v>
      </c>
    </row>
    <row r="218" spans="1:12" ht="15">
      <c r="A218" s="97" t="s">
        <v>1299</v>
      </c>
      <c r="B218" s="96" t="s">
        <v>1261</v>
      </c>
      <c r="C218" s="96">
        <v>3</v>
      </c>
      <c r="D218" s="110">
        <v>0.002503166383765829</v>
      </c>
      <c r="E218" s="110">
        <v>1.8526676343750976</v>
      </c>
      <c r="F218" s="96" t="s">
        <v>1436</v>
      </c>
      <c r="G218" s="96" t="b">
        <v>0</v>
      </c>
      <c r="H218" s="96" t="b">
        <v>0</v>
      </c>
      <c r="I218" s="96" t="b">
        <v>0</v>
      </c>
      <c r="J218" s="96" t="b">
        <v>0</v>
      </c>
      <c r="K218" s="96" t="b">
        <v>0</v>
      </c>
      <c r="L218" s="96" t="b">
        <v>0</v>
      </c>
    </row>
    <row r="219" spans="1:12" ht="15">
      <c r="A219" s="97" t="s">
        <v>1260</v>
      </c>
      <c r="B219" s="96" t="s">
        <v>1283</v>
      </c>
      <c r="C219" s="96">
        <v>3</v>
      </c>
      <c r="D219" s="110">
        <v>0.002503166383765829</v>
      </c>
      <c r="E219" s="110">
        <v>1.644391691948015</v>
      </c>
      <c r="F219" s="96" t="s">
        <v>1436</v>
      </c>
      <c r="G219" s="96" t="b">
        <v>0</v>
      </c>
      <c r="H219" s="96" t="b">
        <v>0</v>
      </c>
      <c r="I219" s="96" t="b">
        <v>0</v>
      </c>
      <c r="J219" s="96" t="b">
        <v>0</v>
      </c>
      <c r="K219" s="96" t="b">
        <v>0</v>
      </c>
      <c r="L219" s="96" t="b">
        <v>0</v>
      </c>
    </row>
    <row r="220" spans="1:12" ht="15">
      <c r="A220" s="97" t="s">
        <v>308</v>
      </c>
      <c r="B220" s="96" t="s">
        <v>1364</v>
      </c>
      <c r="C220" s="96">
        <v>3</v>
      </c>
      <c r="D220" s="110">
        <v>0.002503166383765829</v>
      </c>
      <c r="E220" s="110">
        <v>2.063520999689991</v>
      </c>
      <c r="F220" s="96" t="s">
        <v>1436</v>
      </c>
      <c r="G220" s="96" t="b">
        <v>0</v>
      </c>
      <c r="H220" s="96" t="b">
        <v>0</v>
      </c>
      <c r="I220" s="96" t="b">
        <v>0</v>
      </c>
      <c r="J220" s="96" t="b">
        <v>0</v>
      </c>
      <c r="K220" s="96" t="b">
        <v>0</v>
      </c>
      <c r="L220" s="96" t="b">
        <v>0</v>
      </c>
    </row>
    <row r="221" spans="1:12" ht="15">
      <c r="A221" s="97" t="s">
        <v>1000</v>
      </c>
      <c r="B221" s="96" t="s">
        <v>303</v>
      </c>
      <c r="C221" s="96">
        <v>3</v>
      </c>
      <c r="D221" s="110">
        <v>0.002503166383765829</v>
      </c>
      <c r="E221" s="110">
        <v>1.1470670511400656</v>
      </c>
      <c r="F221" s="96" t="s">
        <v>1436</v>
      </c>
      <c r="G221" s="96" t="b">
        <v>0</v>
      </c>
      <c r="H221" s="96" t="b">
        <v>0</v>
      </c>
      <c r="I221" s="96" t="b">
        <v>0</v>
      </c>
      <c r="J221" s="96" t="b">
        <v>0</v>
      </c>
      <c r="K221" s="96" t="b">
        <v>0</v>
      </c>
      <c r="L221" s="96" t="b">
        <v>0</v>
      </c>
    </row>
    <row r="222" spans="1:12" ht="15">
      <c r="A222" s="97" t="s">
        <v>1365</v>
      </c>
      <c r="B222" s="96" t="s">
        <v>1020</v>
      </c>
      <c r="C222" s="96">
        <v>3</v>
      </c>
      <c r="D222" s="110">
        <v>0.002503166383765829</v>
      </c>
      <c r="E222" s="110">
        <v>2.489489731962272</v>
      </c>
      <c r="F222" s="96" t="s">
        <v>1436</v>
      </c>
      <c r="G222" s="96" t="b">
        <v>0</v>
      </c>
      <c r="H222" s="96" t="b">
        <v>0</v>
      </c>
      <c r="I222" s="96" t="b">
        <v>0</v>
      </c>
      <c r="J222" s="96" t="b">
        <v>0</v>
      </c>
      <c r="K222" s="96" t="b">
        <v>0</v>
      </c>
      <c r="L222" s="96" t="b">
        <v>0</v>
      </c>
    </row>
    <row r="223" spans="1:12" ht="15">
      <c r="A223" s="97" t="s">
        <v>1002</v>
      </c>
      <c r="B223" s="96" t="s">
        <v>1301</v>
      </c>
      <c r="C223" s="96">
        <v>3</v>
      </c>
      <c r="D223" s="110">
        <v>0.002503166383765829</v>
      </c>
      <c r="E223" s="110">
        <v>1.2506076430471353</v>
      </c>
      <c r="F223" s="96" t="s">
        <v>1436</v>
      </c>
      <c r="G223" s="96" t="b">
        <v>0</v>
      </c>
      <c r="H223" s="96" t="b">
        <v>0</v>
      </c>
      <c r="I223" s="96" t="b">
        <v>0</v>
      </c>
      <c r="J223" s="96" t="b">
        <v>0</v>
      </c>
      <c r="K223" s="96" t="b">
        <v>0</v>
      </c>
      <c r="L223" s="96" t="b">
        <v>0</v>
      </c>
    </row>
    <row r="224" spans="1:12" ht="15">
      <c r="A224" s="97" t="s">
        <v>1408</v>
      </c>
      <c r="B224" s="96" t="s">
        <v>1421</v>
      </c>
      <c r="C224" s="96">
        <v>2</v>
      </c>
      <c r="D224" s="110">
        <v>0.0018458427063775017</v>
      </c>
      <c r="E224" s="110">
        <v>2.966610986681934</v>
      </c>
      <c r="F224" s="96" t="s">
        <v>1436</v>
      </c>
      <c r="G224" s="96" t="b">
        <v>0</v>
      </c>
      <c r="H224" s="96" t="b">
        <v>0</v>
      </c>
      <c r="I224" s="96" t="b">
        <v>0</v>
      </c>
      <c r="J224" s="96" t="b">
        <v>0</v>
      </c>
      <c r="K224" s="96" t="b">
        <v>0</v>
      </c>
      <c r="L224" s="96" t="b">
        <v>0</v>
      </c>
    </row>
    <row r="225" spans="1:12" ht="15">
      <c r="A225" s="97" t="s">
        <v>1416</v>
      </c>
      <c r="B225" s="96" t="s">
        <v>1388</v>
      </c>
      <c r="C225" s="96">
        <v>2</v>
      </c>
      <c r="D225" s="110">
        <v>0.0018458427063775017</v>
      </c>
      <c r="E225" s="110">
        <v>2.966610986681934</v>
      </c>
      <c r="F225" s="96" t="s">
        <v>1436</v>
      </c>
      <c r="G225" s="96" t="b">
        <v>0</v>
      </c>
      <c r="H225" s="96" t="b">
        <v>0</v>
      </c>
      <c r="I225" s="96" t="b">
        <v>0</v>
      </c>
      <c r="J225" s="96" t="b">
        <v>0</v>
      </c>
      <c r="K225" s="96" t="b">
        <v>0</v>
      </c>
      <c r="L225" s="96" t="b">
        <v>0</v>
      </c>
    </row>
    <row r="226" spans="1:12" ht="15">
      <c r="A226" s="97" t="s">
        <v>982</v>
      </c>
      <c r="B226" s="96" t="s">
        <v>1261</v>
      </c>
      <c r="C226" s="96">
        <v>2</v>
      </c>
      <c r="D226" s="110">
        <v>0.0018458427063775017</v>
      </c>
      <c r="E226" s="110">
        <v>0.6912996321401227</v>
      </c>
      <c r="F226" s="96" t="s">
        <v>1436</v>
      </c>
      <c r="G226" s="96" t="b">
        <v>0</v>
      </c>
      <c r="H226" s="96" t="b">
        <v>0</v>
      </c>
      <c r="I226" s="96" t="b">
        <v>0</v>
      </c>
      <c r="J226" s="96" t="b">
        <v>0</v>
      </c>
      <c r="K226" s="96" t="b">
        <v>0</v>
      </c>
      <c r="L226" s="96" t="b">
        <v>0</v>
      </c>
    </row>
    <row r="227" spans="1:12" ht="15">
      <c r="A227" s="97" t="s">
        <v>1389</v>
      </c>
      <c r="B227" s="96" t="s">
        <v>1416</v>
      </c>
      <c r="C227" s="96">
        <v>2</v>
      </c>
      <c r="D227" s="110">
        <v>0.0018458427063775017</v>
      </c>
      <c r="E227" s="110">
        <v>2.966610986681934</v>
      </c>
      <c r="F227" s="96" t="s">
        <v>1436</v>
      </c>
      <c r="G227" s="96" t="b">
        <v>0</v>
      </c>
      <c r="H227" s="96" t="b">
        <v>0</v>
      </c>
      <c r="I227" s="96" t="b">
        <v>0</v>
      </c>
      <c r="J227" s="96" t="b">
        <v>0</v>
      </c>
      <c r="K227" s="96" t="b">
        <v>0</v>
      </c>
      <c r="L227" s="96" t="b">
        <v>0</v>
      </c>
    </row>
    <row r="228" spans="1:12" ht="15">
      <c r="A228" s="97" t="s">
        <v>1425</v>
      </c>
      <c r="B228" s="96" t="s">
        <v>1252</v>
      </c>
      <c r="C228" s="96">
        <v>2</v>
      </c>
      <c r="D228" s="110">
        <v>0.0018458427063775017</v>
      </c>
      <c r="E228" s="110">
        <v>1.8362772181869282</v>
      </c>
      <c r="F228" s="96" t="s">
        <v>1436</v>
      </c>
      <c r="G228" s="96" t="b">
        <v>1</v>
      </c>
      <c r="H228" s="96" t="b">
        <v>0</v>
      </c>
      <c r="I228" s="96" t="b">
        <v>0</v>
      </c>
      <c r="J228" s="96" t="b">
        <v>0</v>
      </c>
      <c r="K228" s="96" t="b">
        <v>0</v>
      </c>
      <c r="L228" s="96" t="b">
        <v>0</v>
      </c>
    </row>
    <row r="229" spans="1:12" ht="15">
      <c r="A229" s="97" t="s">
        <v>1413</v>
      </c>
      <c r="B229" s="96" t="s">
        <v>1417</v>
      </c>
      <c r="C229" s="96">
        <v>2</v>
      </c>
      <c r="D229" s="110">
        <v>0.0018458427063775017</v>
      </c>
      <c r="E229" s="110">
        <v>2.966610986681934</v>
      </c>
      <c r="F229" s="96" t="s">
        <v>1436</v>
      </c>
      <c r="G229" s="96" t="b">
        <v>0</v>
      </c>
      <c r="H229" s="96" t="b">
        <v>0</v>
      </c>
      <c r="I229" s="96" t="b">
        <v>0</v>
      </c>
      <c r="J229" s="96" t="b">
        <v>0</v>
      </c>
      <c r="K229" s="96" t="b">
        <v>0</v>
      </c>
      <c r="L229" s="96" t="b">
        <v>0</v>
      </c>
    </row>
    <row r="230" spans="1:12" ht="15">
      <c r="A230" s="97" t="s">
        <v>1427</v>
      </c>
      <c r="B230" s="96" t="s">
        <v>1393</v>
      </c>
      <c r="C230" s="96">
        <v>2</v>
      </c>
      <c r="D230" s="110">
        <v>0.0018458427063775017</v>
      </c>
      <c r="E230" s="110">
        <v>2.966610986681934</v>
      </c>
      <c r="F230" s="96" t="s">
        <v>1436</v>
      </c>
      <c r="G230" s="96" t="b">
        <v>0</v>
      </c>
      <c r="H230" s="96" t="b">
        <v>0</v>
      </c>
      <c r="I230" s="96" t="b">
        <v>0</v>
      </c>
      <c r="J230" s="96" t="b">
        <v>0</v>
      </c>
      <c r="K230" s="96" t="b">
        <v>0</v>
      </c>
      <c r="L230" s="96" t="b">
        <v>0</v>
      </c>
    </row>
    <row r="231" spans="1:12" ht="15">
      <c r="A231" s="97" t="s">
        <v>1255</v>
      </c>
      <c r="B231" s="96" t="s">
        <v>1273</v>
      </c>
      <c r="C231" s="96">
        <v>2</v>
      </c>
      <c r="D231" s="110">
        <v>0.0018458427063775017</v>
      </c>
      <c r="E231" s="110">
        <v>1.2720057877483657</v>
      </c>
      <c r="F231" s="96" t="s">
        <v>1436</v>
      </c>
      <c r="G231" s="96" t="b">
        <v>0</v>
      </c>
      <c r="H231" s="96" t="b">
        <v>0</v>
      </c>
      <c r="I231" s="96" t="b">
        <v>0</v>
      </c>
      <c r="J231" s="96" t="b">
        <v>0</v>
      </c>
      <c r="K231" s="96" t="b">
        <v>0</v>
      </c>
      <c r="L231" s="96" t="b">
        <v>0</v>
      </c>
    </row>
    <row r="232" spans="1:12" ht="15">
      <c r="A232" s="97" t="s">
        <v>1423</v>
      </c>
      <c r="B232" s="96" t="s">
        <v>1418</v>
      </c>
      <c r="C232" s="96">
        <v>2</v>
      </c>
      <c r="D232" s="110">
        <v>0.0018458427063775017</v>
      </c>
      <c r="E232" s="110">
        <v>2.966610986681934</v>
      </c>
      <c r="F232" s="96" t="s">
        <v>1436</v>
      </c>
      <c r="G232" s="96" t="b">
        <v>0</v>
      </c>
      <c r="H232" s="96" t="b">
        <v>0</v>
      </c>
      <c r="I232" s="96" t="b">
        <v>0</v>
      </c>
      <c r="J232" s="96" t="b">
        <v>0</v>
      </c>
      <c r="K232" s="96" t="b">
        <v>0</v>
      </c>
      <c r="L232" s="96" t="b">
        <v>0</v>
      </c>
    </row>
    <row r="233" spans="1:12" ht="15">
      <c r="A233" s="97" t="s">
        <v>1293</v>
      </c>
      <c r="B233" s="96" t="s">
        <v>1257</v>
      </c>
      <c r="C233" s="96">
        <v>2</v>
      </c>
      <c r="D233" s="110">
        <v>0.0018458427063775017</v>
      </c>
      <c r="E233" s="110">
        <v>1.769330428556315</v>
      </c>
      <c r="F233" s="96" t="s">
        <v>1436</v>
      </c>
      <c r="G233" s="96" t="b">
        <v>0</v>
      </c>
      <c r="H233" s="96" t="b">
        <v>0</v>
      </c>
      <c r="I233" s="96" t="b">
        <v>0</v>
      </c>
      <c r="J233" s="96" t="b">
        <v>0</v>
      </c>
      <c r="K233" s="96" t="b">
        <v>0</v>
      </c>
      <c r="L233" s="96" t="b">
        <v>0</v>
      </c>
    </row>
    <row r="234" spans="1:12" ht="15">
      <c r="A234" s="97" t="s">
        <v>1264</v>
      </c>
      <c r="B234" s="96" t="s">
        <v>1400</v>
      </c>
      <c r="C234" s="96">
        <v>2</v>
      </c>
      <c r="D234" s="110">
        <v>0.0018458427063775017</v>
      </c>
      <c r="E234" s="110">
        <v>2.153697630039079</v>
      </c>
      <c r="F234" s="96" t="s">
        <v>1436</v>
      </c>
      <c r="G234" s="96" t="b">
        <v>0</v>
      </c>
      <c r="H234" s="96" t="b">
        <v>0</v>
      </c>
      <c r="I234" s="96" t="b">
        <v>0</v>
      </c>
      <c r="J234" s="96" t="b">
        <v>0</v>
      </c>
      <c r="K234" s="96" t="b">
        <v>0</v>
      </c>
      <c r="L234" s="96" t="b">
        <v>0</v>
      </c>
    </row>
    <row r="235" spans="1:12" ht="15">
      <c r="A235" s="97" t="s">
        <v>1378</v>
      </c>
      <c r="B235" s="96" t="s">
        <v>1000</v>
      </c>
      <c r="C235" s="96">
        <v>2</v>
      </c>
      <c r="D235" s="110">
        <v>0.0018458427063775017</v>
      </c>
      <c r="E235" s="110">
        <v>1.3755463796554352</v>
      </c>
      <c r="F235" s="96" t="s">
        <v>1436</v>
      </c>
      <c r="G235" s="96" t="b">
        <v>0</v>
      </c>
      <c r="H235" s="96" t="b">
        <v>0</v>
      </c>
      <c r="I235" s="96" t="b">
        <v>0</v>
      </c>
      <c r="J235" s="96" t="b">
        <v>0</v>
      </c>
      <c r="K235" s="96" t="b">
        <v>0</v>
      </c>
      <c r="L235" s="96" t="b">
        <v>0</v>
      </c>
    </row>
    <row r="236" spans="1:12" ht="15">
      <c r="A236" s="97" t="s">
        <v>1429</v>
      </c>
      <c r="B236" s="96" t="s">
        <v>1363</v>
      </c>
      <c r="C236" s="96">
        <v>2</v>
      </c>
      <c r="D236" s="110">
        <v>0.0018458427063775017</v>
      </c>
      <c r="E236" s="110">
        <v>2.790519727626253</v>
      </c>
      <c r="F236" s="96" t="s">
        <v>1436</v>
      </c>
      <c r="G236" s="96" t="b">
        <v>0</v>
      </c>
      <c r="H236" s="96" t="b">
        <v>0</v>
      </c>
      <c r="I236" s="96" t="b">
        <v>0</v>
      </c>
      <c r="J236" s="96" t="b">
        <v>0</v>
      </c>
      <c r="K236" s="96" t="b">
        <v>0</v>
      </c>
      <c r="L236" s="96" t="b">
        <v>0</v>
      </c>
    </row>
    <row r="237" spans="1:12" ht="15">
      <c r="A237" s="97" t="s">
        <v>1405</v>
      </c>
      <c r="B237" s="96" t="s">
        <v>1255</v>
      </c>
      <c r="C237" s="96">
        <v>2</v>
      </c>
      <c r="D237" s="110">
        <v>0.0018458427063775017</v>
      </c>
      <c r="E237" s="110">
        <v>2.0123684772426094</v>
      </c>
      <c r="F237" s="96" t="s">
        <v>1436</v>
      </c>
      <c r="G237" s="96" t="b">
        <v>0</v>
      </c>
      <c r="H237" s="96" t="b">
        <v>0</v>
      </c>
      <c r="I237" s="96" t="b">
        <v>0</v>
      </c>
      <c r="J237" s="96" t="b">
        <v>0</v>
      </c>
      <c r="K237" s="96" t="b">
        <v>0</v>
      </c>
      <c r="L237" s="96" t="b">
        <v>0</v>
      </c>
    </row>
    <row r="238" spans="1:12" ht="15">
      <c r="A238" s="97" t="s">
        <v>1010</v>
      </c>
      <c r="B238" s="96" t="s">
        <v>1263</v>
      </c>
      <c r="C238" s="96">
        <v>2</v>
      </c>
      <c r="D238" s="110">
        <v>0.0018458427063775017</v>
      </c>
      <c r="E238" s="110">
        <v>1.1123049448808537</v>
      </c>
      <c r="F238" s="96" t="s">
        <v>1436</v>
      </c>
      <c r="G238" s="96" t="b">
        <v>0</v>
      </c>
      <c r="H238" s="96" t="b">
        <v>0</v>
      </c>
      <c r="I238" s="96" t="b">
        <v>0</v>
      </c>
      <c r="J238" s="96" t="b">
        <v>0</v>
      </c>
      <c r="K238" s="96" t="b">
        <v>0</v>
      </c>
      <c r="L238" s="96" t="b">
        <v>0</v>
      </c>
    </row>
    <row r="239" spans="1:12" ht="15">
      <c r="A239" s="97" t="s">
        <v>1002</v>
      </c>
      <c r="B239" s="96" t="s">
        <v>1409</v>
      </c>
      <c r="C239" s="96">
        <v>2</v>
      </c>
      <c r="D239" s="110">
        <v>0.0018458427063775017</v>
      </c>
      <c r="E239" s="110">
        <v>1.5516376387111164</v>
      </c>
      <c r="F239" s="96" t="s">
        <v>1436</v>
      </c>
      <c r="G239" s="96" t="b">
        <v>0</v>
      </c>
      <c r="H239" s="96" t="b">
        <v>0</v>
      </c>
      <c r="I239" s="96" t="b">
        <v>0</v>
      </c>
      <c r="J239" s="96" t="b">
        <v>0</v>
      </c>
      <c r="K239" s="96" t="b">
        <v>0</v>
      </c>
      <c r="L239" s="96" t="b">
        <v>0</v>
      </c>
    </row>
    <row r="240" spans="1:12" ht="15">
      <c r="A240" s="97" t="s">
        <v>1420</v>
      </c>
      <c r="B240" s="96" t="s">
        <v>1428</v>
      </c>
      <c r="C240" s="96">
        <v>2</v>
      </c>
      <c r="D240" s="110">
        <v>0.0018458427063775017</v>
      </c>
      <c r="E240" s="110">
        <v>2.966610986681934</v>
      </c>
      <c r="F240" s="96" t="s">
        <v>1436</v>
      </c>
      <c r="G240" s="96" t="b">
        <v>0</v>
      </c>
      <c r="H240" s="96" t="b">
        <v>0</v>
      </c>
      <c r="I240" s="96" t="b">
        <v>0</v>
      </c>
      <c r="J240" s="96" t="b">
        <v>0</v>
      </c>
      <c r="K240" s="96" t="b">
        <v>0</v>
      </c>
      <c r="L240" s="96" t="b">
        <v>0</v>
      </c>
    </row>
    <row r="241" spans="1:12" ht="15">
      <c r="A241" s="97" t="s">
        <v>1393</v>
      </c>
      <c r="B241" s="96" t="s">
        <v>1424</v>
      </c>
      <c r="C241" s="96">
        <v>2</v>
      </c>
      <c r="D241" s="110">
        <v>0.0018458427063775017</v>
      </c>
      <c r="E241" s="110">
        <v>2.966610986681934</v>
      </c>
      <c r="F241" s="96" t="s">
        <v>1436</v>
      </c>
      <c r="G241" s="96" t="b">
        <v>0</v>
      </c>
      <c r="H241" s="96" t="b">
        <v>0</v>
      </c>
      <c r="I241" s="96" t="b">
        <v>0</v>
      </c>
      <c r="J241" s="96" t="b">
        <v>0</v>
      </c>
      <c r="K241" s="96" t="b">
        <v>0</v>
      </c>
      <c r="L241" s="96" t="b">
        <v>0</v>
      </c>
    </row>
    <row r="242" spans="1:12" ht="15">
      <c r="A242" s="97" t="s">
        <v>298</v>
      </c>
      <c r="B242" s="96" t="s">
        <v>1405</v>
      </c>
      <c r="C242" s="96">
        <v>2</v>
      </c>
      <c r="D242" s="110">
        <v>0.0018458427063775017</v>
      </c>
      <c r="E242" s="110">
        <v>2.966610986681934</v>
      </c>
      <c r="F242" s="96" t="s">
        <v>1436</v>
      </c>
      <c r="G242" s="96" t="b">
        <v>0</v>
      </c>
      <c r="H242" s="96" t="b">
        <v>0</v>
      </c>
      <c r="I242" s="96" t="b">
        <v>0</v>
      </c>
      <c r="J242" s="96" t="b">
        <v>0</v>
      </c>
      <c r="K242" s="96" t="b">
        <v>0</v>
      </c>
      <c r="L242" s="96" t="b">
        <v>0</v>
      </c>
    </row>
    <row r="243" spans="1:12" ht="15">
      <c r="A243" s="97" t="s">
        <v>1274</v>
      </c>
      <c r="B243" s="96" t="s">
        <v>1288</v>
      </c>
      <c r="C243" s="96">
        <v>2</v>
      </c>
      <c r="D243" s="110">
        <v>0.0018458427063775017</v>
      </c>
      <c r="E243" s="110">
        <v>1.665580991017953</v>
      </c>
      <c r="F243" s="96" t="s">
        <v>1436</v>
      </c>
      <c r="G243" s="96" t="b">
        <v>0</v>
      </c>
      <c r="H243" s="96" t="b">
        <v>0</v>
      </c>
      <c r="I243" s="96" t="b">
        <v>0</v>
      </c>
      <c r="J243" s="96" t="b">
        <v>0</v>
      </c>
      <c r="K243" s="96" t="b">
        <v>0</v>
      </c>
      <c r="L243" s="96" t="b">
        <v>0</v>
      </c>
    </row>
    <row r="244" spans="1:12" ht="15">
      <c r="A244" s="97" t="s">
        <v>1375</v>
      </c>
      <c r="B244" s="96" t="s">
        <v>1252</v>
      </c>
      <c r="C244" s="96">
        <v>2</v>
      </c>
      <c r="D244" s="110">
        <v>0.0018458427063775017</v>
      </c>
      <c r="E244" s="110">
        <v>1.660185959131247</v>
      </c>
      <c r="F244" s="96" t="s">
        <v>1436</v>
      </c>
      <c r="G244" s="96" t="b">
        <v>0</v>
      </c>
      <c r="H244" s="96" t="b">
        <v>0</v>
      </c>
      <c r="I244" s="96" t="b">
        <v>0</v>
      </c>
      <c r="J244" s="96" t="b">
        <v>0</v>
      </c>
      <c r="K244" s="96" t="b">
        <v>0</v>
      </c>
      <c r="L244" s="96" t="b">
        <v>0</v>
      </c>
    </row>
    <row r="245" spans="1:12" ht="15">
      <c r="A245" s="97" t="s">
        <v>1406</v>
      </c>
      <c r="B245" s="96" t="s">
        <v>1410</v>
      </c>
      <c r="C245" s="96">
        <v>2</v>
      </c>
      <c r="D245" s="110">
        <v>0.0018458427063775017</v>
      </c>
      <c r="E245" s="110">
        <v>2.966610986681934</v>
      </c>
      <c r="F245" s="96" t="s">
        <v>1436</v>
      </c>
      <c r="G245" s="96" t="b">
        <v>0</v>
      </c>
      <c r="H245" s="96" t="b">
        <v>0</v>
      </c>
      <c r="I245" s="96" t="b">
        <v>0</v>
      </c>
      <c r="J245" s="96" t="b">
        <v>0</v>
      </c>
      <c r="K245" s="96" t="b">
        <v>0</v>
      </c>
      <c r="L245" s="96" t="b">
        <v>0</v>
      </c>
    </row>
    <row r="246" spans="1:12" ht="15">
      <c r="A246" s="97" t="s">
        <v>1253</v>
      </c>
      <c r="B246" s="96" t="s">
        <v>1391</v>
      </c>
      <c r="C246" s="96">
        <v>2</v>
      </c>
      <c r="D246" s="110">
        <v>0.0018458427063775017</v>
      </c>
      <c r="E246" s="110">
        <v>1.8526676343750976</v>
      </c>
      <c r="F246" s="96" t="s">
        <v>1436</v>
      </c>
      <c r="G246" s="96" t="b">
        <v>0</v>
      </c>
      <c r="H246" s="96" t="b">
        <v>0</v>
      </c>
      <c r="I246" s="96" t="b">
        <v>0</v>
      </c>
      <c r="J246" s="96" t="b">
        <v>0</v>
      </c>
      <c r="K246" s="96" t="b">
        <v>0</v>
      </c>
      <c r="L246" s="96" t="b">
        <v>0</v>
      </c>
    </row>
    <row r="247" spans="1:12" ht="15">
      <c r="A247" s="97" t="s">
        <v>1009</v>
      </c>
      <c r="B247" s="96" t="s">
        <v>1263</v>
      </c>
      <c r="C247" s="96">
        <v>2</v>
      </c>
      <c r="D247" s="110">
        <v>0.0018458427063775017</v>
      </c>
      <c r="E247" s="110">
        <v>1.0233638615440726</v>
      </c>
      <c r="F247" s="96" t="s">
        <v>1436</v>
      </c>
      <c r="G247" s="96" t="b">
        <v>0</v>
      </c>
      <c r="H247" s="96" t="b">
        <v>0</v>
      </c>
      <c r="I247" s="96" t="b">
        <v>0</v>
      </c>
      <c r="J247" s="96" t="b">
        <v>0</v>
      </c>
      <c r="K247" s="96" t="b">
        <v>0</v>
      </c>
      <c r="L247" s="96" t="b">
        <v>0</v>
      </c>
    </row>
    <row r="248" spans="1:12" ht="15">
      <c r="A248" s="97" t="s">
        <v>1417</v>
      </c>
      <c r="B248" s="96" t="s">
        <v>1387</v>
      </c>
      <c r="C248" s="96">
        <v>2</v>
      </c>
      <c r="D248" s="110">
        <v>0.0018458427063775017</v>
      </c>
      <c r="E248" s="110">
        <v>2.966610986681934</v>
      </c>
      <c r="F248" s="96" t="s">
        <v>1436</v>
      </c>
      <c r="G248" s="96" t="b">
        <v>0</v>
      </c>
      <c r="H248" s="96" t="b">
        <v>0</v>
      </c>
      <c r="I248" s="96" t="b">
        <v>0</v>
      </c>
      <c r="J248" s="96" t="b">
        <v>0</v>
      </c>
      <c r="K248" s="96" t="b">
        <v>0</v>
      </c>
      <c r="L248" s="96" t="b">
        <v>0</v>
      </c>
    </row>
    <row r="249" spans="1:12" ht="15">
      <c r="A249" s="97" t="s">
        <v>1419</v>
      </c>
      <c r="B249" s="96" t="s">
        <v>1256</v>
      </c>
      <c r="C249" s="96">
        <v>2</v>
      </c>
      <c r="D249" s="110">
        <v>0.0018458427063775017</v>
      </c>
      <c r="E249" s="110">
        <v>2.0371920609676417</v>
      </c>
      <c r="F249" s="96" t="s">
        <v>1436</v>
      </c>
      <c r="G249" s="96" t="b">
        <v>0</v>
      </c>
      <c r="H249" s="96" t="b">
        <v>0</v>
      </c>
      <c r="I249" s="96" t="b">
        <v>0</v>
      </c>
      <c r="J249" s="96" t="b">
        <v>0</v>
      </c>
      <c r="K249" s="96" t="b">
        <v>0</v>
      </c>
      <c r="L249" s="96" t="b">
        <v>0</v>
      </c>
    </row>
    <row r="250" spans="1:12" ht="15">
      <c r="A250" s="97" t="s">
        <v>1424</v>
      </c>
      <c r="B250" s="96" t="s">
        <v>1413</v>
      </c>
      <c r="C250" s="96">
        <v>2</v>
      </c>
      <c r="D250" s="110">
        <v>0.0018458427063775017</v>
      </c>
      <c r="E250" s="110">
        <v>2.966610986681934</v>
      </c>
      <c r="F250" s="96" t="s">
        <v>1436</v>
      </c>
      <c r="G250" s="96" t="b">
        <v>0</v>
      </c>
      <c r="H250" s="96" t="b">
        <v>0</v>
      </c>
      <c r="I250" s="96" t="b">
        <v>0</v>
      </c>
      <c r="J250" s="96" t="b">
        <v>0</v>
      </c>
      <c r="K250" s="96" t="b">
        <v>0</v>
      </c>
      <c r="L250" s="96" t="b">
        <v>0</v>
      </c>
    </row>
    <row r="251" spans="1:12" ht="15">
      <c r="A251" s="97" t="s">
        <v>1290</v>
      </c>
      <c r="B251" s="96" t="s">
        <v>298</v>
      </c>
      <c r="C251" s="96">
        <v>2</v>
      </c>
      <c r="D251" s="110">
        <v>0.0018458427063775017</v>
      </c>
      <c r="E251" s="110">
        <v>2.364550995353972</v>
      </c>
      <c r="F251" s="96" t="s">
        <v>1436</v>
      </c>
      <c r="G251" s="96" t="b">
        <v>0</v>
      </c>
      <c r="H251" s="96" t="b">
        <v>0</v>
      </c>
      <c r="I251" s="96" t="b">
        <v>0</v>
      </c>
      <c r="J251" s="96" t="b">
        <v>0</v>
      </c>
      <c r="K251" s="96" t="b">
        <v>0</v>
      </c>
      <c r="L251" s="96" t="b">
        <v>0</v>
      </c>
    </row>
    <row r="252" spans="1:12" ht="15">
      <c r="A252" s="97" t="s">
        <v>1422</v>
      </c>
      <c r="B252" s="96" t="s">
        <v>1420</v>
      </c>
      <c r="C252" s="96">
        <v>2</v>
      </c>
      <c r="D252" s="110">
        <v>0.0018458427063775017</v>
      </c>
      <c r="E252" s="110">
        <v>2.966610986681934</v>
      </c>
      <c r="F252" s="96" t="s">
        <v>1436</v>
      </c>
      <c r="G252" s="96" t="b">
        <v>0</v>
      </c>
      <c r="H252" s="96" t="b">
        <v>0</v>
      </c>
      <c r="I252" s="96" t="b">
        <v>0</v>
      </c>
      <c r="J252" s="96" t="b">
        <v>0</v>
      </c>
      <c r="K252" s="96" t="b">
        <v>0</v>
      </c>
      <c r="L252" s="96" t="b">
        <v>0</v>
      </c>
    </row>
    <row r="253" spans="1:12" ht="15">
      <c r="A253" s="97" t="s">
        <v>1273</v>
      </c>
      <c r="B253" s="96" t="s">
        <v>1392</v>
      </c>
      <c r="C253" s="96">
        <v>2</v>
      </c>
      <c r="D253" s="110">
        <v>0.0018458427063775017</v>
      </c>
      <c r="E253" s="110">
        <v>2.4225429423316585</v>
      </c>
      <c r="F253" s="96" t="s">
        <v>1436</v>
      </c>
      <c r="G253" s="96" t="b">
        <v>0</v>
      </c>
      <c r="H253" s="96" t="b">
        <v>0</v>
      </c>
      <c r="I253" s="96" t="b">
        <v>0</v>
      </c>
      <c r="J253" s="96" t="b">
        <v>0</v>
      </c>
      <c r="K253" s="96" t="b">
        <v>0</v>
      </c>
      <c r="L253" s="96" t="b">
        <v>0</v>
      </c>
    </row>
    <row r="254" spans="1:12" ht="15">
      <c r="A254" s="97" t="s">
        <v>1347</v>
      </c>
      <c r="B254" s="96" t="s">
        <v>1373</v>
      </c>
      <c r="C254" s="96">
        <v>2</v>
      </c>
      <c r="D254" s="110">
        <v>0.0018458427063775017</v>
      </c>
      <c r="E254" s="110">
        <v>2.489489731962272</v>
      </c>
      <c r="F254" s="96" t="s">
        <v>1436</v>
      </c>
      <c r="G254" s="96" t="b">
        <v>0</v>
      </c>
      <c r="H254" s="96" t="b">
        <v>0</v>
      </c>
      <c r="I254" s="96" t="b">
        <v>0</v>
      </c>
      <c r="J254" s="96" t="b">
        <v>0</v>
      </c>
      <c r="K254" s="96" t="b">
        <v>0</v>
      </c>
      <c r="L254" s="96" t="b">
        <v>0</v>
      </c>
    </row>
    <row r="255" spans="1:12" ht="15">
      <c r="A255" s="97" t="s">
        <v>1392</v>
      </c>
      <c r="B255" s="96" t="s">
        <v>1287</v>
      </c>
      <c r="C255" s="96">
        <v>2</v>
      </c>
      <c r="D255" s="110">
        <v>0.0018458427063775017</v>
      </c>
      <c r="E255" s="110">
        <v>2.4225429423316585</v>
      </c>
      <c r="F255" s="96" t="s">
        <v>1436</v>
      </c>
      <c r="G255" s="96" t="b">
        <v>0</v>
      </c>
      <c r="H255" s="96" t="b">
        <v>0</v>
      </c>
      <c r="I255" s="96" t="b">
        <v>0</v>
      </c>
      <c r="J255" s="96" t="b">
        <v>0</v>
      </c>
      <c r="K255" s="96" t="b">
        <v>0</v>
      </c>
      <c r="L255" s="96" t="b">
        <v>0</v>
      </c>
    </row>
    <row r="256" spans="1:12" ht="15">
      <c r="A256" s="97" t="s">
        <v>1398</v>
      </c>
      <c r="B256" s="96" t="s">
        <v>1426</v>
      </c>
      <c r="C256" s="96">
        <v>2</v>
      </c>
      <c r="D256" s="110">
        <v>0.0018458427063775017</v>
      </c>
      <c r="E256" s="110">
        <v>2.966610986681934</v>
      </c>
      <c r="F256" s="96" t="s">
        <v>1436</v>
      </c>
      <c r="G256" s="96" t="b">
        <v>0</v>
      </c>
      <c r="H256" s="96" t="b">
        <v>0</v>
      </c>
      <c r="I256" s="96" t="b">
        <v>0</v>
      </c>
      <c r="J256" s="96" t="b">
        <v>0</v>
      </c>
      <c r="K256" s="96" t="b">
        <v>0</v>
      </c>
      <c r="L256" s="96" t="b">
        <v>0</v>
      </c>
    </row>
    <row r="257" spans="1:12" ht="15">
      <c r="A257" s="97" t="s">
        <v>1401</v>
      </c>
      <c r="B257" s="96" t="s">
        <v>1422</v>
      </c>
      <c r="C257" s="96">
        <v>2</v>
      </c>
      <c r="D257" s="110">
        <v>0.0018458427063775017</v>
      </c>
      <c r="E257" s="110">
        <v>2.966610986681934</v>
      </c>
      <c r="F257" s="96" t="s">
        <v>1436</v>
      </c>
      <c r="G257" s="96" t="b">
        <v>0</v>
      </c>
      <c r="H257" s="96" t="b">
        <v>0</v>
      </c>
      <c r="I257" s="96" t="b">
        <v>0</v>
      </c>
      <c r="J257" s="96" t="b">
        <v>0</v>
      </c>
      <c r="K257" s="96" t="b">
        <v>0</v>
      </c>
      <c r="L257" s="96" t="b">
        <v>0</v>
      </c>
    </row>
    <row r="258" spans="1:12" ht="15">
      <c r="A258" s="97" t="s">
        <v>1000</v>
      </c>
      <c r="B258" s="96" t="s">
        <v>1411</v>
      </c>
      <c r="C258" s="96">
        <v>2</v>
      </c>
      <c r="D258" s="110">
        <v>0.0018458427063775017</v>
      </c>
      <c r="E258" s="110">
        <v>1.1470670511400656</v>
      </c>
      <c r="F258" s="96" t="s">
        <v>1436</v>
      </c>
      <c r="G258" s="96" t="b">
        <v>0</v>
      </c>
      <c r="H258" s="96" t="b">
        <v>0</v>
      </c>
      <c r="I258" s="96" t="b">
        <v>0</v>
      </c>
      <c r="J258" s="96" t="b">
        <v>0</v>
      </c>
      <c r="K258" s="96" t="b">
        <v>0</v>
      </c>
      <c r="L258" s="96" t="b">
        <v>0</v>
      </c>
    </row>
    <row r="259" spans="1:12" ht="15">
      <c r="A259" s="97" t="s">
        <v>1409</v>
      </c>
      <c r="B259" s="96" t="s">
        <v>1425</v>
      </c>
      <c r="C259" s="96">
        <v>2</v>
      </c>
      <c r="D259" s="110">
        <v>0.0018458427063775017</v>
      </c>
      <c r="E259" s="110">
        <v>2.966610986681934</v>
      </c>
      <c r="F259" s="96" t="s">
        <v>1436</v>
      </c>
      <c r="G259" s="96" t="b">
        <v>0</v>
      </c>
      <c r="H259" s="96" t="b">
        <v>0</v>
      </c>
      <c r="I259" s="96" t="b">
        <v>0</v>
      </c>
      <c r="J259" s="96" t="b">
        <v>1</v>
      </c>
      <c r="K259" s="96" t="b">
        <v>0</v>
      </c>
      <c r="L259" s="96" t="b">
        <v>0</v>
      </c>
    </row>
    <row r="260" spans="1:12" ht="15">
      <c r="A260" s="97" t="s">
        <v>1294</v>
      </c>
      <c r="B260" s="96" t="s">
        <v>1419</v>
      </c>
      <c r="C260" s="96">
        <v>2</v>
      </c>
      <c r="D260" s="110">
        <v>0.0018458427063775017</v>
      </c>
      <c r="E260" s="110">
        <v>2.4225429423316585</v>
      </c>
      <c r="F260" s="96" t="s">
        <v>1436</v>
      </c>
      <c r="G260" s="96" t="b">
        <v>0</v>
      </c>
      <c r="H260" s="96" t="b">
        <v>0</v>
      </c>
      <c r="I260" s="96" t="b">
        <v>0</v>
      </c>
      <c r="J260" s="96" t="b">
        <v>0</v>
      </c>
      <c r="K260" s="96" t="b">
        <v>0</v>
      </c>
      <c r="L260" s="96" t="b">
        <v>0</v>
      </c>
    </row>
    <row r="261" spans="1:12" ht="15">
      <c r="A261" s="97" t="s">
        <v>1002</v>
      </c>
      <c r="B261" s="96" t="s">
        <v>1396</v>
      </c>
      <c r="C261" s="96">
        <v>2</v>
      </c>
      <c r="D261" s="110">
        <v>0.0018458427063775017</v>
      </c>
      <c r="E261" s="110">
        <v>1.5516376387111164</v>
      </c>
      <c r="F261" s="96" t="s">
        <v>1436</v>
      </c>
      <c r="G261" s="96" t="b">
        <v>0</v>
      </c>
      <c r="H261" s="96" t="b">
        <v>0</v>
      </c>
      <c r="I261" s="96" t="b">
        <v>0</v>
      </c>
      <c r="J261" s="96" t="b">
        <v>0</v>
      </c>
      <c r="K261" s="96" t="b">
        <v>0</v>
      </c>
      <c r="L261" s="96" t="b">
        <v>0</v>
      </c>
    </row>
    <row r="262" spans="1:12" ht="15">
      <c r="A262" s="97" t="s">
        <v>1002</v>
      </c>
      <c r="B262" s="96" t="s">
        <v>1423</v>
      </c>
      <c r="C262" s="96">
        <v>2</v>
      </c>
      <c r="D262" s="110">
        <v>0.0018458427063775017</v>
      </c>
      <c r="E262" s="110">
        <v>1.5516376387111164</v>
      </c>
      <c r="F262" s="96" t="s">
        <v>1436</v>
      </c>
      <c r="G262" s="96" t="b">
        <v>0</v>
      </c>
      <c r="H262" s="96" t="b">
        <v>0</v>
      </c>
      <c r="I262" s="96" t="b">
        <v>0</v>
      </c>
      <c r="J262" s="96" t="b">
        <v>0</v>
      </c>
      <c r="K262" s="96" t="b">
        <v>0</v>
      </c>
      <c r="L262" s="96" t="b">
        <v>0</v>
      </c>
    </row>
    <row r="263" spans="1:12" ht="15">
      <c r="A263" s="97" t="s">
        <v>1002</v>
      </c>
      <c r="B263" s="96" t="s">
        <v>1414</v>
      </c>
      <c r="C263" s="96">
        <v>2</v>
      </c>
      <c r="D263" s="110">
        <v>0.0018458427063775017</v>
      </c>
      <c r="E263" s="110">
        <v>1.5516376387111164</v>
      </c>
      <c r="F263" s="96" t="s">
        <v>1436</v>
      </c>
      <c r="G263" s="96" t="b">
        <v>0</v>
      </c>
      <c r="H263" s="96" t="b">
        <v>0</v>
      </c>
      <c r="I263" s="96" t="b">
        <v>0</v>
      </c>
      <c r="J263" s="96" t="b">
        <v>0</v>
      </c>
      <c r="K263" s="96" t="b">
        <v>0</v>
      </c>
      <c r="L263" s="96" t="b">
        <v>0</v>
      </c>
    </row>
    <row r="264" spans="1:12" ht="15">
      <c r="A264" s="97" t="s">
        <v>1264</v>
      </c>
      <c r="B264" s="96" t="s">
        <v>1394</v>
      </c>
      <c r="C264" s="96">
        <v>2</v>
      </c>
      <c r="D264" s="110">
        <v>0.0018458427063775017</v>
      </c>
      <c r="E264" s="110">
        <v>2.153697630039079</v>
      </c>
      <c r="F264" s="96" t="s">
        <v>1436</v>
      </c>
      <c r="G264" s="96" t="b">
        <v>0</v>
      </c>
      <c r="H264" s="96" t="b">
        <v>0</v>
      </c>
      <c r="I264" s="96" t="b">
        <v>0</v>
      </c>
      <c r="J264" s="96" t="b">
        <v>0</v>
      </c>
      <c r="K264" s="96" t="b">
        <v>0</v>
      </c>
      <c r="L264" s="96" t="b">
        <v>0</v>
      </c>
    </row>
    <row r="265" spans="1:12" ht="15">
      <c r="A265" s="97" t="s">
        <v>1347</v>
      </c>
      <c r="B265" s="96" t="s">
        <v>1289</v>
      </c>
      <c r="C265" s="96">
        <v>2</v>
      </c>
      <c r="D265" s="110">
        <v>0.0018458427063775017</v>
      </c>
      <c r="E265" s="110">
        <v>2.063520999689991</v>
      </c>
      <c r="F265" s="96" t="s">
        <v>1436</v>
      </c>
      <c r="G265" s="96" t="b">
        <v>0</v>
      </c>
      <c r="H265" s="96" t="b">
        <v>0</v>
      </c>
      <c r="I265" s="96" t="b">
        <v>0</v>
      </c>
      <c r="J265" s="96" t="b">
        <v>0</v>
      </c>
      <c r="K265" s="96" t="b">
        <v>0</v>
      </c>
      <c r="L265" s="96" t="b">
        <v>0</v>
      </c>
    </row>
    <row r="266" spans="1:12" ht="15">
      <c r="A266" s="97" t="s">
        <v>1256</v>
      </c>
      <c r="B266" s="96" t="s">
        <v>982</v>
      </c>
      <c r="C266" s="96">
        <v>2</v>
      </c>
      <c r="D266" s="110">
        <v>0.0018458427063775017</v>
      </c>
      <c r="E266" s="110">
        <v>0.6139461870308338</v>
      </c>
      <c r="F266" s="96" t="s">
        <v>1436</v>
      </c>
      <c r="G266" s="96" t="b">
        <v>0</v>
      </c>
      <c r="H266" s="96" t="b">
        <v>0</v>
      </c>
      <c r="I266" s="96" t="b">
        <v>0</v>
      </c>
      <c r="J266" s="96" t="b">
        <v>0</v>
      </c>
      <c r="K266" s="96" t="b">
        <v>0</v>
      </c>
      <c r="L266" s="96" t="b">
        <v>0</v>
      </c>
    </row>
    <row r="267" spans="1:12" ht="15">
      <c r="A267" s="97" t="s">
        <v>1412</v>
      </c>
      <c r="B267" s="96" t="s">
        <v>1252</v>
      </c>
      <c r="C267" s="96">
        <v>2</v>
      </c>
      <c r="D267" s="110">
        <v>0.0018458427063775017</v>
      </c>
      <c r="E267" s="110">
        <v>1.8362772181869282</v>
      </c>
      <c r="F267" s="96" t="s">
        <v>1436</v>
      </c>
      <c r="G267" s="96" t="b">
        <v>0</v>
      </c>
      <c r="H267" s="96" t="b">
        <v>0</v>
      </c>
      <c r="I267" s="96" t="b">
        <v>0</v>
      </c>
      <c r="J267" s="96" t="b">
        <v>0</v>
      </c>
      <c r="K267" s="96" t="b">
        <v>0</v>
      </c>
      <c r="L267" s="96" t="b">
        <v>0</v>
      </c>
    </row>
    <row r="268" spans="1:12" ht="15">
      <c r="A268" s="97" t="s">
        <v>1366</v>
      </c>
      <c r="B268" s="96" t="s">
        <v>1256</v>
      </c>
      <c r="C268" s="96">
        <v>2</v>
      </c>
      <c r="D268" s="110">
        <v>0.0018458427063775017</v>
      </c>
      <c r="E268" s="110">
        <v>1.8611008019119604</v>
      </c>
      <c r="F268" s="96" t="s">
        <v>1436</v>
      </c>
      <c r="G268" s="96" t="b">
        <v>0</v>
      </c>
      <c r="H268" s="96" t="b">
        <v>0</v>
      </c>
      <c r="I268" s="96" t="b">
        <v>0</v>
      </c>
      <c r="J268" s="96" t="b">
        <v>0</v>
      </c>
      <c r="K268" s="96" t="b">
        <v>0</v>
      </c>
      <c r="L268" s="96" t="b">
        <v>0</v>
      </c>
    </row>
    <row r="269" spans="1:12" ht="15">
      <c r="A269" s="97" t="s">
        <v>310</v>
      </c>
      <c r="B269" s="96" t="s">
        <v>1281</v>
      </c>
      <c r="C269" s="96">
        <v>2</v>
      </c>
      <c r="D269" s="110">
        <v>0.0018458427063775017</v>
      </c>
      <c r="E269" s="110">
        <v>2.3133984729065906</v>
      </c>
      <c r="F269" s="96" t="s">
        <v>1436</v>
      </c>
      <c r="G269" s="96" t="b">
        <v>0</v>
      </c>
      <c r="H269" s="96" t="b">
        <v>0</v>
      </c>
      <c r="I269" s="96" t="b">
        <v>0</v>
      </c>
      <c r="J269" s="96" t="b">
        <v>0</v>
      </c>
      <c r="K269" s="96" t="b">
        <v>0</v>
      </c>
      <c r="L269" s="96" t="b">
        <v>0</v>
      </c>
    </row>
    <row r="270" spans="1:12" ht="15">
      <c r="A270" s="97" t="s">
        <v>1396</v>
      </c>
      <c r="B270" s="96" t="s">
        <v>1412</v>
      </c>
      <c r="C270" s="96">
        <v>2</v>
      </c>
      <c r="D270" s="110">
        <v>0.0018458427063775017</v>
      </c>
      <c r="E270" s="110">
        <v>2.966610986681934</v>
      </c>
      <c r="F270" s="96" t="s">
        <v>1436</v>
      </c>
      <c r="G270" s="96" t="b">
        <v>0</v>
      </c>
      <c r="H270" s="96" t="b">
        <v>0</v>
      </c>
      <c r="I270" s="96" t="b">
        <v>0</v>
      </c>
      <c r="J270" s="96" t="b">
        <v>0</v>
      </c>
      <c r="K270" s="96" t="b">
        <v>0</v>
      </c>
      <c r="L270" s="96" t="b">
        <v>0</v>
      </c>
    </row>
    <row r="271" spans="1:12" ht="15">
      <c r="A271" s="97" t="s">
        <v>1288</v>
      </c>
      <c r="B271" s="96" t="s">
        <v>1000</v>
      </c>
      <c r="C271" s="96">
        <v>2</v>
      </c>
      <c r="D271" s="110">
        <v>0.0018458427063775017</v>
      </c>
      <c r="E271" s="110">
        <v>0.9495776473831541</v>
      </c>
      <c r="F271" s="96" t="s">
        <v>1436</v>
      </c>
      <c r="G271" s="96" t="b">
        <v>0</v>
      </c>
      <c r="H271" s="96" t="b">
        <v>0</v>
      </c>
      <c r="I271" s="96" t="b">
        <v>0</v>
      </c>
      <c r="J271" s="96" t="b">
        <v>0</v>
      </c>
      <c r="K271" s="96" t="b">
        <v>0</v>
      </c>
      <c r="L271" s="96" t="b">
        <v>0</v>
      </c>
    </row>
    <row r="272" spans="1:12" ht="15">
      <c r="A272" s="97" t="s">
        <v>1391</v>
      </c>
      <c r="B272" s="96" t="s">
        <v>1257</v>
      </c>
      <c r="C272" s="96">
        <v>2</v>
      </c>
      <c r="D272" s="110">
        <v>0.0018458427063775017</v>
      </c>
      <c r="E272" s="110">
        <v>2.3133984729065906</v>
      </c>
      <c r="F272" s="96" t="s">
        <v>1436</v>
      </c>
      <c r="G272" s="96" t="b">
        <v>0</v>
      </c>
      <c r="H272" s="96" t="b">
        <v>0</v>
      </c>
      <c r="I272" s="96" t="b">
        <v>0</v>
      </c>
      <c r="J272" s="96" t="b">
        <v>0</v>
      </c>
      <c r="K272" s="96" t="b">
        <v>0</v>
      </c>
      <c r="L272" s="96" t="b">
        <v>0</v>
      </c>
    </row>
    <row r="273" spans="1:12" ht="15">
      <c r="A273" s="97" t="s">
        <v>1286</v>
      </c>
      <c r="B273" s="96" t="s">
        <v>1389</v>
      </c>
      <c r="C273" s="96">
        <v>2</v>
      </c>
      <c r="D273" s="110">
        <v>0.0018458427063775017</v>
      </c>
      <c r="E273" s="110">
        <v>2.3133984729065906</v>
      </c>
      <c r="F273" s="96" t="s">
        <v>1436</v>
      </c>
      <c r="G273" s="96" t="b">
        <v>0</v>
      </c>
      <c r="H273" s="96" t="b">
        <v>0</v>
      </c>
      <c r="I273" s="96" t="b">
        <v>0</v>
      </c>
      <c r="J273" s="96" t="b">
        <v>0</v>
      </c>
      <c r="K273" s="96" t="b">
        <v>0</v>
      </c>
      <c r="L273" s="96" t="b">
        <v>0</v>
      </c>
    </row>
    <row r="274" spans="1:12" ht="15">
      <c r="A274" s="97" t="s">
        <v>1255</v>
      </c>
      <c r="B274" s="96" t="s">
        <v>1353</v>
      </c>
      <c r="C274" s="96">
        <v>2</v>
      </c>
      <c r="D274" s="110">
        <v>0.0018458427063775017</v>
      </c>
      <c r="E274" s="110">
        <v>1.8362772181869282</v>
      </c>
      <c r="F274" s="96" t="s">
        <v>1436</v>
      </c>
      <c r="G274" s="96" t="b">
        <v>0</v>
      </c>
      <c r="H274" s="96" t="b">
        <v>0</v>
      </c>
      <c r="I274" s="96" t="b">
        <v>0</v>
      </c>
      <c r="J274" s="96" t="b">
        <v>0</v>
      </c>
      <c r="K274" s="96" t="b">
        <v>0</v>
      </c>
      <c r="L274" s="96" t="b">
        <v>0</v>
      </c>
    </row>
    <row r="275" spans="1:12" ht="15">
      <c r="A275" s="97" t="s">
        <v>1428</v>
      </c>
      <c r="B275" s="96" t="s">
        <v>1427</v>
      </c>
      <c r="C275" s="96">
        <v>2</v>
      </c>
      <c r="D275" s="110">
        <v>0.0018458427063775017</v>
      </c>
      <c r="E275" s="110">
        <v>2.966610986681934</v>
      </c>
      <c r="F275" s="96" t="s">
        <v>1436</v>
      </c>
      <c r="G275" s="96" t="b">
        <v>0</v>
      </c>
      <c r="H275" s="96" t="b">
        <v>0</v>
      </c>
      <c r="I275" s="96" t="b">
        <v>0</v>
      </c>
      <c r="J275" s="96" t="b">
        <v>0</v>
      </c>
      <c r="K275" s="96" t="b">
        <v>0</v>
      </c>
      <c r="L275" s="96" t="b">
        <v>0</v>
      </c>
    </row>
    <row r="276" spans="1:12" ht="15">
      <c r="A276" s="97" t="s">
        <v>1355</v>
      </c>
      <c r="B276" s="96" t="s">
        <v>1397</v>
      </c>
      <c r="C276" s="96">
        <v>2</v>
      </c>
      <c r="D276" s="110">
        <v>0.0018458427063775017</v>
      </c>
      <c r="E276" s="110">
        <v>2.790519727626253</v>
      </c>
      <c r="F276" s="96" t="s">
        <v>1436</v>
      </c>
      <c r="G276" s="96" t="b">
        <v>0</v>
      </c>
      <c r="H276" s="96" t="b">
        <v>0</v>
      </c>
      <c r="I276" s="96" t="b">
        <v>0</v>
      </c>
      <c r="J276" s="96" t="b">
        <v>0</v>
      </c>
      <c r="K276" s="96" t="b">
        <v>0</v>
      </c>
      <c r="L276" s="96" t="b">
        <v>0</v>
      </c>
    </row>
    <row r="277" spans="1:12" ht="15">
      <c r="A277" s="97" t="s">
        <v>1264</v>
      </c>
      <c r="B277" s="96" t="s">
        <v>1390</v>
      </c>
      <c r="C277" s="96">
        <v>2</v>
      </c>
      <c r="D277" s="110">
        <v>0.0018458427063775017</v>
      </c>
      <c r="E277" s="110">
        <v>2.153697630039079</v>
      </c>
      <c r="F277" s="96" t="s">
        <v>1436</v>
      </c>
      <c r="G277" s="96" t="b">
        <v>0</v>
      </c>
      <c r="H277" s="96" t="b">
        <v>0</v>
      </c>
      <c r="I277" s="96" t="b">
        <v>0</v>
      </c>
      <c r="J277" s="96" t="b">
        <v>0</v>
      </c>
      <c r="K277" s="96" t="b">
        <v>0</v>
      </c>
      <c r="L277" s="96" t="b">
        <v>0</v>
      </c>
    </row>
    <row r="278" spans="1:12" ht="15">
      <c r="A278" s="97" t="s">
        <v>1418</v>
      </c>
      <c r="B278" s="96" t="s">
        <v>1429</v>
      </c>
      <c r="C278" s="96">
        <v>2</v>
      </c>
      <c r="D278" s="110">
        <v>0.0018458427063775017</v>
      </c>
      <c r="E278" s="110">
        <v>2.966610986681934</v>
      </c>
      <c r="F278" s="96" t="s">
        <v>1436</v>
      </c>
      <c r="G278" s="96" t="b">
        <v>0</v>
      </c>
      <c r="H278" s="96" t="b">
        <v>0</v>
      </c>
      <c r="I278" s="96" t="b">
        <v>0</v>
      </c>
      <c r="J278" s="96" t="b">
        <v>0</v>
      </c>
      <c r="K278" s="96" t="b">
        <v>0</v>
      </c>
      <c r="L278" s="96" t="b">
        <v>0</v>
      </c>
    </row>
    <row r="279" spans="1:12" ht="15">
      <c r="A279" s="97" t="s">
        <v>1430</v>
      </c>
      <c r="B279" s="96" t="s">
        <v>1001</v>
      </c>
      <c r="C279" s="96">
        <v>2</v>
      </c>
      <c r="D279" s="110">
        <v>0.0018458427063775017</v>
      </c>
      <c r="E279" s="110">
        <v>1.5516376387111164</v>
      </c>
      <c r="F279" s="96" t="s">
        <v>1436</v>
      </c>
      <c r="G279" s="96" t="b">
        <v>0</v>
      </c>
      <c r="H279" s="96" t="b">
        <v>0</v>
      </c>
      <c r="I279" s="96" t="b">
        <v>0</v>
      </c>
      <c r="J279" s="96" t="b">
        <v>0</v>
      </c>
      <c r="K279" s="96" t="b">
        <v>0</v>
      </c>
      <c r="L279" s="96" t="b">
        <v>0</v>
      </c>
    </row>
    <row r="280" spans="1:12" ht="15">
      <c r="A280" s="97" t="s">
        <v>1265</v>
      </c>
      <c r="B280" s="96" t="s">
        <v>987</v>
      </c>
      <c r="C280" s="96">
        <v>2</v>
      </c>
      <c r="D280" s="110">
        <v>0.0018458427063775017</v>
      </c>
      <c r="E280" s="110">
        <v>2.1884597362982907</v>
      </c>
      <c r="F280" s="96" t="s">
        <v>1436</v>
      </c>
      <c r="G280" s="96" t="b">
        <v>0</v>
      </c>
      <c r="H280" s="96" t="b">
        <v>0</v>
      </c>
      <c r="I280" s="96" t="b">
        <v>0</v>
      </c>
      <c r="J280" s="96" t="b">
        <v>0</v>
      </c>
      <c r="K280" s="96" t="b">
        <v>0</v>
      </c>
      <c r="L280" s="96" t="b">
        <v>0</v>
      </c>
    </row>
    <row r="281" spans="1:12" ht="15">
      <c r="A281" s="97" t="s">
        <v>1414</v>
      </c>
      <c r="B281" s="96" t="s">
        <v>1399</v>
      </c>
      <c r="C281" s="96">
        <v>2</v>
      </c>
      <c r="D281" s="110">
        <v>0.0018458427063775017</v>
      </c>
      <c r="E281" s="110">
        <v>2.966610986681934</v>
      </c>
      <c r="F281" s="96" t="s">
        <v>1436</v>
      </c>
      <c r="G281" s="96" t="b">
        <v>0</v>
      </c>
      <c r="H281" s="96" t="b">
        <v>0</v>
      </c>
      <c r="I281" s="96" t="b">
        <v>0</v>
      </c>
      <c r="J281" s="96" t="b">
        <v>0</v>
      </c>
      <c r="K281" s="96" t="b">
        <v>0</v>
      </c>
      <c r="L281" s="96" t="b">
        <v>0</v>
      </c>
    </row>
    <row r="282" spans="1:12" ht="15">
      <c r="A282" s="97" t="s">
        <v>1411</v>
      </c>
      <c r="B282" s="96" t="s">
        <v>1430</v>
      </c>
      <c r="C282" s="96">
        <v>2</v>
      </c>
      <c r="D282" s="110">
        <v>0.0018458427063775017</v>
      </c>
      <c r="E282" s="110">
        <v>2.966610986681934</v>
      </c>
      <c r="F282" s="96" t="s">
        <v>1436</v>
      </c>
      <c r="G282" s="96" t="b">
        <v>0</v>
      </c>
      <c r="H282" s="96" t="b">
        <v>0</v>
      </c>
      <c r="I282" s="96" t="b">
        <v>0</v>
      </c>
      <c r="J282" s="96" t="b">
        <v>0</v>
      </c>
      <c r="K282" s="96" t="b">
        <v>0</v>
      </c>
      <c r="L282" s="96" t="b">
        <v>0</v>
      </c>
    </row>
    <row r="283" spans="1:12" ht="15">
      <c r="A283" s="97" t="s">
        <v>1399</v>
      </c>
      <c r="B283" s="96" t="s">
        <v>1252</v>
      </c>
      <c r="C283" s="96">
        <v>2</v>
      </c>
      <c r="D283" s="110">
        <v>0.0018458427063775017</v>
      </c>
      <c r="E283" s="110">
        <v>1.8362772181869282</v>
      </c>
      <c r="F283" s="96" t="s">
        <v>1436</v>
      </c>
      <c r="G283" s="96" t="b">
        <v>0</v>
      </c>
      <c r="H283" s="96" t="b">
        <v>0</v>
      </c>
      <c r="I283" s="96" t="b">
        <v>0</v>
      </c>
      <c r="J283" s="96" t="b">
        <v>0</v>
      </c>
      <c r="K283" s="96" t="b">
        <v>0</v>
      </c>
      <c r="L283" s="96" t="b">
        <v>0</v>
      </c>
    </row>
    <row r="284" spans="1:12" ht="15">
      <c r="A284" s="97" t="s">
        <v>1000</v>
      </c>
      <c r="B284" s="96" t="s">
        <v>1401</v>
      </c>
      <c r="C284" s="96">
        <v>2</v>
      </c>
      <c r="D284" s="110">
        <v>0.0018458427063775017</v>
      </c>
      <c r="E284" s="110">
        <v>1.1470670511400656</v>
      </c>
      <c r="F284" s="96" t="s">
        <v>1436</v>
      </c>
      <c r="G284" s="96" t="b">
        <v>0</v>
      </c>
      <c r="H284" s="96" t="b">
        <v>0</v>
      </c>
      <c r="I284" s="96" t="b">
        <v>0</v>
      </c>
      <c r="J284" s="96" t="b">
        <v>0</v>
      </c>
      <c r="K284" s="96" t="b">
        <v>0</v>
      </c>
      <c r="L284" s="96" t="b">
        <v>0</v>
      </c>
    </row>
    <row r="285" spans="1:12" ht="15">
      <c r="A285" s="97" t="s">
        <v>1287</v>
      </c>
      <c r="B285" s="96" t="s">
        <v>1318</v>
      </c>
      <c r="C285" s="96">
        <v>2</v>
      </c>
      <c r="D285" s="110">
        <v>0.0018458427063775017</v>
      </c>
      <c r="E285" s="110">
        <v>1.9666109866819343</v>
      </c>
      <c r="F285" s="96" t="s">
        <v>1436</v>
      </c>
      <c r="G285" s="96" t="b">
        <v>0</v>
      </c>
      <c r="H285" s="96" t="b">
        <v>0</v>
      </c>
      <c r="I285" s="96" t="b">
        <v>0</v>
      </c>
      <c r="J285" s="96" t="b">
        <v>0</v>
      </c>
      <c r="K285" s="96" t="b">
        <v>0</v>
      </c>
      <c r="L285" s="96" t="b">
        <v>0</v>
      </c>
    </row>
    <row r="286" spans="1:12" ht="15">
      <c r="A286" s="97" t="s">
        <v>1000</v>
      </c>
      <c r="B286" s="96" t="s">
        <v>1009</v>
      </c>
      <c r="C286" s="96">
        <v>6</v>
      </c>
      <c r="D286" s="110">
        <v>0.01111495368605469</v>
      </c>
      <c r="E286" s="110">
        <v>1.011205078163337</v>
      </c>
      <c r="F286" s="96" t="s">
        <v>914</v>
      </c>
      <c r="G286" s="96" t="b">
        <v>0</v>
      </c>
      <c r="H286" s="96" t="b">
        <v>0</v>
      </c>
      <c r="I286" s="96" t="b">
        <v>0</v>
      </c>
      <c r="J286" s="96" t="b">
        <v>0</v>
      </c>
      <c r="K286" s="96" t="b">
        <v>0</v>
      </c>
      <c r="L286" s="96" t="b">
        <v>0</v>
      </c>
    </row>
    <row r="287" spans="1:12" ht="15">
      <c r="A287" s="97" t="s">
        <v>1000</v>
      </c>
      <c r="B287" s="96" t="s">
        <v>982</v>
      </c>
      <c r="C287" s="96">
        <v>5</v>
      </c>
      <c r="D287" s="110">
        <v>0.01048063442116288</v>
      </c>
      <c r="E287" s="110">
        <v>0.9900157790933991</v>
      </c>
      <c r="F287" s="96" t="s">
        <v>914</v>
      </c>
      <c r="G287" s="96" t="b">
        <v>0</v>
      </c>
      <c r="H287" s="96" t="b">
        <v>0</v>
      </c>
      <c r="I287" s="96" t="b">
        <v>0</v>
      </c>
      <c r="J287" s="96" t="b">
        <v>0</v>
      </c>
      <c r="K287" s="96" t="b">
        <v>0</v>
      </c>
      <c r="L287" s="96" t="b">
        <v>0</v>
      </c>
    </row>
    <row r="288" spans="1:12" ht="15">
      <c r="A288" s="97" t="s">
        <v>1003</v>
      </c>
      <c r="B288" s="96" t="s">
        <v>1004</v>
      </c>
      <c r="C288" s="96">
        <v>5</v>
      </c>
      <c r="D288" s="110">
        <v>0.01048063442116288</v>
      </c>
      <c r="E288" s="110">
        <v>1.7004152452101997</v>
      </c>
      <c r="F288" s="96" t="s">
        <v>914</v>
      </c>
      <c r="G288" s="96" t="b">
        <v>0</v>
      </c>
      <c r="H288" s="96" t="b">
        <v>0</v>
      </c>
      <c r="I288" s="96" t="b">
        <v>0</v>
      </c>
      <c r="J288" s="96" t="b">
        <v>0</v>
      </c>
      <c r="K288" s="96" t="b">
        <v>0</v>
      </c>
      <c r="L288" s="96" t="b">
        <v>0</v>
      </c>
    </row>
    <row r="289" spans="1:12" ht="15">
      <c r="A289" s="97" t="s">
        <v>982</v>
      </c>
      <c r="B289" s="96" t="s">
        <v>1003</v>
      </c>
      <c r="C289" s="96">
        <v>5</v>
      </c>
      <c r="D289" s="110">
        <v>0.01048063442116288</v>
      </c>
      <c r="E289" s="110">
        <v>1.4451427401068937</v>
      </c>
      <c r="F289" s="96" t="s">
        <v>914</v>
      </c>
      <c r="G289" s="96" t="b">
        <v>0</v>
      </c>
      <c r="H289" s="96" t="b">
        <v>0</v>
      </c>
      <c r="I289" s="96" t="b">
        <v>0</v>
      </c>
      <c r="J289" s="96" t="b">
        <v>0</v>
      </c>
      <c r="K289" s="96" t="b">
        <v>0</v>
      </c>
      <c r="L289" s="96" t="b">
        <v>0</v>
      </c>
    </row>
    <row r="290" spans="1:12" ht="15">
      <c r="A290" s="97" t="s">
        <v>1270</v>
      </c>
      <c r="B290" s="96" t="s">
        <v>1255</v>
      </c>
      <c r="C290" s="96">
        <v>4</v>
      </c>
      <c r="D290" s="110">
        <v>0.009577246158567922</v>
      </c>
      <c r="E290" s="110">
        <v>1.7004152452101997</v>
      </c>
      <c r="F290" s="96" t="s">
        <v>914</v>
      </c>
      <c r="G290" s="96" t="b">
        <v>0</v>
      </c>
      <c r="H290" s="96" t="b">
        <v>0</v>
      </c>
      <c r="I290" s="96" t="b">
        <v>0</v>
      </c>
      <c r="J290" s="96" t="b">
        <v>0</v>
      </c>
      <c r="K290" s="96" t="b">
        <v>0</v>
      </c>
      <c r="L290" s="96" t="b">
        <v>0</v>
      </c>
    </row>
    <row r="291" spans="1:12" ht="15">
      <c r="A291" s="97" t="s">
        <v>1260</v>
      </c>
      <c r="B291" s="96" t="s">
        <v>1286</v>
      </c>
      <c r="C291" s="96">
        <v>4</v>
      </c>
      <c r="D291" s="110">
        <v>0.009577246158567922</v>
      </c>
      <c r="E291" s="110">
        <v>1.876506504265881</v>
      </c>
      <c r="F291" s="96" t="s">
        <v>914</v>
      </c>
      <c r="G291" s="96" t="b">
        <v>0</v>
      </c>
      <c r="H291" s="96" t="b">
        <v>0</v>
      </c>
      <c r="I291" s="96" t="b">
        <v>0</v>
      </c>
      <c r="J291" s="96" t="b">
        <v>0</v>
      </c>
      <c r="K291" s="96" t="b">
        <v>0</v>
      </c>
      <c r="L291" s="96" t="b">
        <v>0</v>
      </c>
    </row>
    <row r="292" spans="1:12" ht="15">
      <c r="A292" s="97" t="s">
        <v>1286</v>
      </c>
      <c r="B292" s="96" t="s">
        <v>1300</v>
      </c>
      <c r="C292" s="96">
        <v>4</v>
      </c>
      <c r="D292" s="110">
        <v>0.009577246158567922</v>
      </c>
      <c r="E292" s="110">
        <v>1.876506504265881</v>
      </c>
      <c r="F292" s="96" t="s">
        <v>914</v>
      </c>
      <c r="G292" s="96" t="b">
        <v>0</v>
      </c>
      <c r="H292" s="96" t="b">
        <v>0</v>
      </c>
      <c r="I292" s="96" t="b">
        <v>0</v>
      </c>
      <c r="J292" s="96" t="b">
        <v>0</v>
      </c>
      <c r="K292" s="96" t="b">
        <v>0</v>
      </c>
      <c r="L292" s="96" t="b">
        <v>0</v>
      </c>
    </row>
    <row r="293" spans="1:12" ht="15">
      <c r="A293" s="97" t="s">
        <v>1002</v>
      </c>
      <c r="B293" s="96" t="s">
        <v>1005</v>
      </c>
      <c r="C293" s="96">
        <v>4</v>
      </c>
      <c r="D293" s="110">
        <v>0.009577246158567922</v>
      </c>
      <c r="E293" s="110">
        <v>1.3024752365381622</v>
      </c>
      <c r="F293" s="96" t="s">
        <v>914</v>
      </c>
      <c r="G293" s="96" t="b">
        <v>0</v>
      </c>
      <c r="H293" s="96" t="b">
        <v>0</v>
      </c>
      <c r="I293" s="96" t="b">
        <v>0</v>
      </c>
      <c r="J293" s="96" t="b">
        <v>0</v>
      </c>
      <c r="K293" s="96" t="b">
        <v>0</v>
      </c>
      <c r="L293" s="96" t="b">
        <v>0</v>
      </c>
    </row>
    <row r="294" spans="1:12" ht="15">
      <c r="A294" s="97" t="s">
        <v>1010</v>
      </c>
      <c r="B294" s="96" t="s">
        <v>1005</v>
      </c>
      <c r="C294" s="96">
        <v>4</v>
      </c>
      <c r="D294" s="110">
        <v>0.009577246158567922</v>
      </c>
      <c r="E294" s="110">
        <v>1.235528446907549</v>
      </c>
      <c r="F294" s="96" t="s">
        <v>914</v>
      </c>
      <c r="G294" s="96" t="b">
        <v>0</v>
      </c>
      <c r="H294" s="96" t="b">
        <v>0</v>
      </c>
      <c r="I294" s="96" t="b">
        <v>0</v>
      </c>
      <c r="J294" s="96" t="b">
        <v>0</v>
      </c>
      <c r="K294" s="96" t="b">
        <v>0</v>
      </c>
      <c r="L294" s="96" t="b">
        <v>0</v>
      </c>
    </row>
    <row r="295" spans="1:12" ht="15">
      <c r="A295" s="97" t="s">
        <v>305</v>
      </c>
      <c r="B295" s="96" t="s">
        <v>307</v>
      </c>
      <c r="C295" s="96">
        <v>4</v>
      </c>
      <c r="D295" s="110">
        <v>0.009577246158567922</v>
      </c>
      <c r="E295" s="110">
        <v>1.5243239861545186</v>
      </c>
      <c r="F295" s="96" t="s">
        <v>914</v>
      </c>
      <c r="G295" s="96" t="b">
        <v>0</v>
      </c>
      <c r="H295" s="96" t="b">
        <v>0</v>
      </c>
      <c r="I295" s="96" t="b">
        <v>0</v>
      </c>
      <c r="J295" s="96" t="b">
        <v>0</v>
      </c>
      <c r="K295" s="96" t="b">
        <v>0</v>
      </c>
      <c r="L295" s="96" t="b">
        <v>0</v>
      </c>
    </row>
    <row r="296" spans="1:12" ht="15">
      <c r="A296" s="97" t="s">
        <v>313</v>
      </c>
      <c r="B296" s="96" t="s">
        <v>312</v>
      </c>
      <c r="C296" s="96">
        <v>4</v>
      </c>
      <c r="D296" s="110">
        <v>0.009577246158567922</v>
      </c>
      <c r="E296" s="110">
        <v>1.876506504265881</v>
      </c>
      <c r="F296" s="96" t="s">
        <v>914</v>
      </c>
      <c r="G296" s="96" t="b">
        <v>0</v>
      </c>
      <c r="H296" s="96" t="b">
        <v>0</v>
      </c>
      <c r="I296" s="96" t="b">
        <v>0</v>
      </c>
      <c r="J296" s="96" t="b">
        <v>0</v>
      </c>
      <c r="K296" s="96" t="b">
        <v>0</v>
      </c>
      <c r="L296" s="96" t="b">
        <v>0</v>
      </c>
    </row>
    <row r="297" spans="1:12" ht="15">
      <c r="A297" s="97" t="s">
        <v>1263</v>
      </c>
      <c r="B297" s="96" t="s">
        <v>1262</v>
      </c>
      <c r="C297" s="96">
        <v>4</v>
      </c>
      <c r="D297" s="110">
        <v>0.009577246158567922</v>
      </c>
      <c r="E297" s="110">
        <v>1.876506504265881</v>
      </c>
      <c r="F297" s="96" t="s">
        <v>914</v>
      </c>
      <c r="G297" s="96" t="b">
        <v>0</v>
      </c>
      <c r="H297" s="96" t="b">
        <v>0</v>
      </c>
      <c r="I297" s="96" t="b">
        <v>0</v>
      </c>
      <c r="J297" s="96" t="b">
        <v>0</v>
      </c>
      <c r="K297" s="96" t="b">
        <v>0</v>
      </c>
      <c r="L297" s="96" t="b">
        <v>0</v>
      </c>
    </row>
    <row r="298" spans="1:12" ht="15">
      <c r="A298" s="97" t="s">
        <v>1005</v>
      </c>
      <c r="B298" s="96" t="s">
        <v>1254</v>
      </c>
      <c r="C298" s="96">
        <v>4</v>
      </c>
      <c r="D298" s="110">
        <v>0.009577246158567922</v>
      </c>
      <c r="E298" s="110">
        <v>1.6035052322021432</v>
      </c>
      <c r="F298" s="96" t="s">
        <v>914</v>
      </c>
      <c r="G298" s="96" t="b">
        <v>0</v>
      </c>
      <c r="H298" s="96" t="b">
        <v>0</v>
      </c>
      <c r="I298" s="96" t="b">
        <v>0</v>
      </c>
      <c r="J298" s="96" t="b">
        <v>0</v>
      </c>
      <c r="K298" s="96" t="b">
        <v>0</v>
      </c>
      <c r="L298" s="96" t="b">
        <v>0</v>
      </c>
    </row>
    <row r="299" spans="1:12" ht="15">
      <c r="A299" s="97" t="s">
        <v>311</v>
      </c>
      <c r="B299" s="96" t="s">
        <v>301</v>
      </c>
      <c r="C299" s="96">
        <v>4</v>
      </c>
      <c r="D299" s="110">
        <v>0.009577246158567922</v>
      </c>
      <c r="E299" s="110">
        <v>1.7795964912578246</v>
      </c>
      <c r="F299" s="96" t="s">
        <v>914</v>
      </c>
      <c r="G299" s="96" t="b">
        <v>0</v>
      </c>
      <c r="H299" s="96" t="b">
        <v>0</v>
      </c>
      <c r="I299" s="96" t="b">
        <v>0</v>
      </c>
      <c r="J299" s="96" t="b">
        <v>0</v>
      </c>
      <c r="K299" s="96" t="b">
        <v>0</v>
      </c>
      <c r="L299" s="96" t="b">
        <v>0</v>
      </c>
    </row>
    <row r="300" spans="1:12" ht="15">
      <c r="A300" s="97" t="s">
        <v>310</v>
      </c>
      <c r="B300" s="96" t="s">
        <v>308</v>
      </c>
      <c r="C300" s="96">
        <v>4</v>
      </c>
      <c r="D300" s="110">
        <v>0.009577246158567922</v>
      </c>
      <c r="E300" s="110">
        <v>1.7004152452101997</v>
      </c>
      <c r="F300" s="96" t="s">
        <v>914</v>
      </c>
      <c r="G300" s="96" t="b">
        <v>0</v>
      </c>
      <c r="H300" s="96" t="b">
        <v>0</v>
      </c>
      <c r="I300" s="96" t="b">
        <v>0</v>
      </c>
      <c r="J300" s="96" t="b">
        <v>0</v>
      </c>
      <c r="K300" s="96" t="b">
        <v>0</v>
      </c>
      <c r="L300" s="96" t="b">
        <v>0</v>
      </c>
    </row>
    <row r="301" spans="1:12" ht="15">
      <c r="A301" s="97" t="s">
        <v>302</v>
      </c>
      <c r="B301" s="96" t="s">
        <v>311</v>
      </c>
      <c r="C301" s="96">
        <v>4</v>
      </c>
      <c r="D301" s="110">
        <v>0.009577246158567922</v>
      </c>
      <c r="E301" s="110">
        <v>1.876506504265881</v>
      </c>
      <c r="F301" s="96" t="s">
        <v>914</v>
      </c>
      <c r="G301" s="96" t="b">
        <v>0</v>
      </c>
      <c r="H301" s="96" t="b">
        <v>0</v>
      </c>
      <c r="I301" s="96" t="b">
        <v>0</v>
      </c>
      <c r="J301" s="96" t="b">
        <v>0</v>
      </c>
      <c r="K301" s="96" t="b">
        <v>0</v>
      </c>
      <c r="L301" s="96" t="b">
        <v>0</v>
      </c>
    </row>
    <row r="302" spans="1:12" ht="15">
      <c r="A302" s="97" t="s">
        <v>976</v>
      </c>
      <c r="B302" s="96" t="s">
        <v>1002</v>
      </c>
      <c r="C302" s="96">
        <v>4</v>
      </c>
      <c r="D302" s="110">
        <v>0.009577246158567922</v>
      </c>
      <c r="E302" s="110">
        <v>1.5243239861545186</v>
      </c>
      <c r="F302" s="96" t="s">
        <v>914</v>
      </c>
      <c r="G302" s="96" t="b">
        <v>0</v>
      </c>
      <c r="H302" s="96" t="b">
        <v>0</v>
      </c>
      <c r="I302" s="96" t="b">
        <v>0</v>
      </c>
      <c r="J302" s="96" t="b">
        <v>0</v>
      </c>
      <c r="K302" s="96" t="b">
        <v>0</v>
      </c>
      <c r="L302" s="96" t="b">
        <v>0</v>
      </c>
    </row>
    <row r="303" spans="1:12" ht="15">
      <c r="A303" s="97" t="s">
        <v>309</v>
      </c>
      <c r="B303" s="96" t="s">
        <v>304</v>
      </c>
      <c r="C303" s="96">
        <v>4</v>
      </c>
      <c r="D303" s="110">
        <v>0.009577246158567922</v>
      </c>
      <c r="E303" s="110">
        <v>1.876506504265881</v>
      </c>
      <c r="F303" s="96" t="s">
        <v>914</v>
      </c>
      <c r="G303" s="96" t="b">
        <v>0</v>
      </c>
      <c r="H303" s="96" t="b">
        <v>0</v>
      </c>
      <c r="I303" s="96" t="b">
        <v>0</v>
      </c>
      <c r="J303" s="96" t="b">
        <v>0</v>
      </c>
      <c r="K303" s="96" t="b">
        <v>0</v>
      </c>
      <c r="L303" s="96" t="b">
        <v>0</v>
      </c>
    </row>
    <row r="304" spans="1:12" ht="15">
      <c r="A304" s="97" t="s">
        <v>301</v>
      </c>
      <c r="B304" s="96" t="s">
        <v>299</v>
      </c>
      <c r="C304" s="96">
        <v>4</v>
      </c>
      <c r="D304" s="110">
        <v>0.009577246158567922</v>
      </c>
      <c r="E304" s="110">
        <v>1.7795964912578246</v>
      </c>
      <c r="F304" s="96" t="s">
        <v>914</v>
      </c>
      <c r="G304" s="96" t="b">
        <v>0</v>
      </c>
      <c r="H304" s="96" t="b">
        <v>0</v>
      </c>
      <c r="I304" s="96" t="b">
        <v>0</v>
      </c>
      <c r="J304" s="96" t="b">
        <v>0</v>
      </c>
      <c r="K304" s="96" t="b">
        <v>0</v>
      </c>
      <c r="L304" s="96" t="b">
        <v>0</v>
      </c>
    </row>
    <row r="305" spans="1:12" ht="15">
      <c r="A305" s="97" t="s">
        <v>1000</v>
      </c>
      <c r="B305" s="96" t="s">
        <v>1270</v>
      </c>
      <c r="C305" s="96">
        <v>4</v>
      </c>
      <c r="D305" s="110">
        <v>0.009577246158567922</v>
      </c>
      <c r="E305" s="110">
        <v>1.136143814771637</v>
      </c>
      <c r="F305" s="96" t="s">
        <v>914</v>
      </c>
      <c r="G305" s="96" t="b">
        <v>0</v>
      </c>
      <c r="H305" s="96" t="b">
        <v>0</v>
      </c>
      <c r="I305" s="96" t="b">
        <v>0</v>
      </c>
      <c r="J305" s="96" t="b">
        <v>0</v>
      </c>
      <c r="K305" s="96" t="b">
        <v>0</v>
      </c>
      <c r="L305" s="96" t="b">
        <v>0</v>
      </c>
    </row>
    <row r="306" spans="1:12" ht="15">
      <c r="A306" s="97" t="s">
        <v>1259</v>
      </c>
      <c r="B306" s="96" t="s">
        <v>1260</v>
      </c>
      <c r="C306" s="96">
        <v>4</v>
      </c>
      <c r="D306" s="110">
        <v>0.009577246158567922</v>
      </c>
      <c r="E306" s="110">
        <v>1.876506504265881</v>
      </c>
      <c r="F306" s="96" t="s">
        <v>914</v>
      </c>
      <c r="G306" s="96" t="b">
        <v>0</v>
      </c>
      <c r="H306" s="96" t="b">
        <v>0</v>
      </c>
      <c r="I306" s="96" t="b">
        <v>0</v>
      </c>
      <c r="J306" s="96" t="b">
        <v>0</v>
      </c>
      <c r="K306" s="96" t="b">
        <v>0</v>
      </c>
      <c r="L306" s="96" t="b">
        <v>0</v>
      </c>
    </row>
    <row r="307" spans="1:12" ht="15">
      <c r="A307" s="97" t="s">
        <v>296</v>
      </c>
      <c r="B307" s="96" t="s">
        <v>302</v>
      </c>
      <c r="C307" s="96">
        <v>4</v>
      </c>
      <c r="D307" s="110">
        <v>0.009577246158567922</v>
      </c>
      <c r="E307" s="110">
        <v>1.876506504265881</v>
      </c>
      <c r="F307" s="96" t="s">
        <v>914</v>
      </c>
      <c r="G307" s="96" t="b">
        <v>0</v>
      </c>
      <c r="H307" s="96" t="b">
        <v>0</v>
      </c>
      <c r="I307" s="96" t="b">
        <v>0</v>
      </c>
      <c r="J307" s="96" t="b">
        <v>0</v>
      </c>
      <c r="K307" s="96" t="b">
        <v>0</v>
      </c>
      <c r="L307" s="96" t="b">
        <v>0</v>
      </c>
    </row>
    <row r="308" spans="1:12" ht="15">
      <c r="A308" s="97" t="s">
        <v>308</v>
      </c>
      <c r="B308" s="96" t="s">
        <v>309</v>
      </c>
      <c r="C308" s="96">
        <v>4</v>
      </c>
      <c r="D308" s="110">
        <v>0.009577246158567922</v>
      </c>
      <c r="E308" s="110">
        <v>1.7004152452101997</v>
      </c>
      <c r="F308" s="96" t="s">
        <v>914</v>
      </c>
      <c r="G308" s="96" t="b">
        <v>0</v>
      </c>
      <c r="H308" s="96" t="b">
        <v>0</v>
      </c>
      <c r="I308" s="96" t="b">
        <v>0</v>
      </c>
      <c r="J308" s="96" t="b">
        <v>0</v>
      </c>
      <c r="K308" s="96" t="b">
        <v>0</v>
      </c>
      <c r="L308" s="96" t="b">
        <v>0</v>
      </c>
    </row>
    <row r="309" spans="1:12" ht="15">
      <c r="A309" s="97" t="s">
        <v>1001</v>
      </c>
      <c r="B309" s="96" t="s">
        <v>1259</v>
      </c>
      <c r="C309" s="96">
        <v>4</v>
      </c>
      <c r="D309" s="110">
        <v>0.009577246158567922</v>
      </c>
      <c r="E309" s="110">
        <v>1.7004152452101997</v>
      </c>
      <c r="F309" s="96" t="s">
        <v>914</v>
      </c>
      <c r="G309" s="96" t="b">
        <v>0</v>
      </c>
      <c r="H309" s="96" t="b">
        <v>0</v>
      </c>
      <c r="I309" s="96" t="b">
        <v>0</v>
      </c>
      <c r="J309" s="96" t="b">
        <v>0</v>
      </c>
      <c r="K309" s="96" t="b">
        <v>0</v>
      </c>
      <c r="L309" s="96" t="b">
        <v>0</v>
      </c>
    </row>
    <row r="310" spans="1:12" ht="15">
      <c r="A310" s="97" t="s">
        <v>299</v>
      </c>
      <c r="B310" s="96" t="s">
        <v>305</v>
      </c>
      <c r="C310" s="96">
        <v>4</v>
      </c>
      <c r="D310" s="110">
        <v>0.009577246158567922</v>
      </c>
      <c r="E310" s="110">
        <v>1.7004152452101997</v>
      </c>
      <c r="F310" s="96" t="s">
        <v>914</v>
      </c>
      <c r="G310" s="96" t="b">
        <v>0</v>
      </c>
      <c r="H310" s="96" t="b">
        <v>0</v>
      </c>
      <c r="I310" s="96" t="b">
        <v>0</v>
      </c>
      <c r="J310" s="96" t="b">
        <v>0</v>
      </c>
      <c r="K310" s="96" t="b">
        <v>0</v>
      </c>
      <c r="L310" s="96" t="b">
        <v>0</v>
      </c>
    </row>
    <row r="311" spans="1:12" ht="15">
      <c r="A311" s="97" t="s">
        <v>1004</v>
      </c>
      <c r="B311" s="96" t="s">
        <v>976</v>
      </c>
      <c r="C311" s="96">
        <v>4</v>
      </c>
      <c r="D311" s="110">
        <v>0.009577246158567922</v>
      </c>
      <c r="E311" s="110">
        <v>1.6035052322021432</v>
      </c>
      <c r="F311" s="96" t="s">
        <v>914</v>
      </c>
      <c r="G311" s="96" t="b">
        <v>0</v>
      </c>
      <c r="H311" s="96" t="b">
        <v>0</v>
      </c>
      <c r="I311" s="96" t="b">
        <v>0</v>
      </c>
      <c r="J311" s="96" t="b">
        <v>0</v>
      </c>
      <c r="K311" s="96" t="b">
        <v>0</v>
      </c>
      <c r="L311" s="96" t="b">
        <v>0</v>
      </c>
    </row>
    <row r="312" spans="1:12" ht="15">
      <c r="A312" s="97" t="s">
        <v>307</v>
      </c>
      <c r="B312" s="96" t="s">
        <v>310</v>
      </c>
      <c r="C312" s="96">
        <v>4</v>
      </c>
      <c r="D312" s="110">
        <v>0.009577246158567922</v>
      </c>
      <c r="E312" s="110">
        <v>1.7004152452101997</v>
      </c>
      <c r="F312" s="96" t="s">
        <v>914</v>
      </c>
      <c r="G312" s="96" t="b">
        <v>0</v>
      </c>
      <c r="H312" s="96" t="b">
        <v>0</v>
      </c>
      <c r="I312" s="96" t="b">
        <v>0</v>
      </c>
      <c r="J312" s="96" t="b">
        <v>0</v>
      </c>
      <c r="K312" s="96" t="b">
        <v>0</v>
      </c>
      <c r="L312" s="96" t="b">
        <v>0</v>
      </c>
    </row>
    <row r="313" spans="1:12" ht="15">
      <c r="A313" s="97" t="s">
        <v>1262</v>
      </c>
      <c r="B313" s="96" t="s">
        <v>1264</v>
      </c>
      <c r="C313" s="96">
        <v>4</v>
      </c>
      <c r="D313" s="110">
        <v>0.009577246158567922</v>
      </c>
      <c r="E313" s="110">
        <v>1.876506504265881</v>
      </c>
      <c r="F313" s="96" t="s">
        <v>914</v>
      </c>
      <c r="G313" s="96" t="b">
        <v>0</v>
      </c>
      <c r="H313" s="96" t="b">
        <v>0</v>
      </c>
      <c r="I313" s="96" t="b">
        <v>0</v>
      </c>
      <c r="J313" s="96" t="b">
        <v>0</v>
      </c>
      <c r="K313" s="96" t="b">
        <v>0</v>
      </c>
      <c r="L313" s="96" t="b">
        <v>0</v>
      </c>
    </row>
    <row r="314" spans="1:12" ht="15">
      <c r="A314" s="97" t="s">
        <v>312</v>
      </c>
      <c r="B314" s="96" t="s">
        <v>296</v>
      </c>
      <c r="C314" s="96">
        <v>4</v>
      </c>
      <c r="D314" s="110">
        <v>0.009577246158567922</v>
      </c>
      <c r="E314" s="110">
        <v>1.876506504265881</v>
      </c>
      <c r="F314" s="96" t="s">
        <v>914</v>
      </c>
      <c r="G314" s="96" t="b">
        <v>0</v>
      </c>
      <c r="H314" s="96" t="b">
        <v>0</v>
      </c>
      <c r="I314" s="96" t="b">
        <v>0</v>
      </c>
      <c r="J314" s="96" t="b">
        <v>0</v>
      </c>
      <c r="K314" s="96" t="b">
        <v>0</v>
      </c>
      <c r="L314" s="96" t="b">
        <v>0</v>
      </c>
    </row>
    <row r="315" spans="1:12" ht="15">
      <c r="A315" s="97" t="s">
        <v>1255</v>
      </c>
      <c r="B315" s="96" t="s">
        <v>1001</v>
      </c>
      <c r="C315" s="96">
        <v>4</v>
      </c>
      <c r="D315" s="110">
        <v>0.009577246158567922</v>
      </c>
      <c r="E315" s="110">
        <v>1.4573771965239053</v>
      </c>
      <c r="F315" s="96" t="s">
        <v>914</v>
      </c>
      <c r="G315" s="96" t="b">
        <v>0</v>
      </c>
      <c r="H315" s="96" t="b">
        <v>0</v>
      </c>
      <c r="I315" s="96" t="b">
        <v>0</v>
      </c>
      <c r="J315" s="96" t="b">
        <v>0</v>
      </c>
      <c r="K315" s="96" t="b">
        <v>0</v>
      </c>
      <c r="L315" s="96" t="b">
        <v>0</v>
      </c>
    </row>
    <row r="316" spans="1:12" ht="15">
      <c r="A316" s="97" t="s">
        <v>1300</v>
      </c>
      <c r="B316" s="96" t="s">
        <v>313</v>
      </c>
      <c r="C316" s="96">
        <v>4</v>
      </c>
      <c r="D316" s="110">
        <v>0.009577246158567922</v>
      </c>
      <c r="E316" s="110">
        <v>1.876506504265881</v>
      </c>
      <c r="F316" s="96" t="s">
        <v>914</v>
      </c>
      <c r="G316" s="96" t="b">
        <v>0</v>
      </c>
      <c r="H316" s="96" t="b">
        <v>0</v>
      </c>
      <c r="I316" s="96" t="b">
        <v>0</v>
      </c>
      <c r="J316" s="96" t="b">
        <v>0</v>
      </c>
      <c r="K316" s="96" t="b">
        <v>0</v>
      </c>
      <c r="L316" s="96" t="b">
        <v>0</v>
      </c>
    </row>
    <row r="317" spans="1:12" ht="15">
      <c r="A317" s="97" t="s">
        <v>1009</v>
      </c>
      <c r="B317" s="96" t="s">
        <v>1010</v>
      </c>
      <c r="C317" s="96">
        <v>3</v>
      </c>
      <c r="D317" s="110">
        <v>0.008336215264541019</v>
      </c>
      <c r="E317" s="110">
        <v>1.156347200859924</v>
      </c>
      <c r="F317" s="96" t="s">
        <v>914</v>
      </c>
      <c r="G317" s="96" t="b">
        <v>0</v>
      </c>
      <c r="H317" s="96" t="b">
        <v>0</v>
      </c>
      <c r="I317" s="96" t="b">
        <v>0</v>
      </c>
      <c r="J317" s="96" t="b">
        <v>0</v>
      </c>
      <c r="K317" s="96" t="b">
        <v>0</v>
      </c>
      <c r="L317" s="96" t="b">
        <v>0</v>
      </c>
    </row>
    <row r="318" spans="1:12" ht="15">
      <c r="A318" s="97" t="s">
        <v>1253</v>
      </c>
      <c r="B318" s="96" t="s">
        <v>1282</v>
      </c>
      <c r="C318" s="96">
        <v>2</v>
      </c>
      <c r="D318" s="110">
        <v>0.006641115360293076</v>
      </c>
      <c r="E318" s="110">
        <v>1.7795964912578246</v>
      </c>
      <c r="F318" s="96" t="s">
        <v>914</v>
      </c>
      <c r="G318" s="96" t="b">
        <v>0</v>
      </c>
      <c r="H318" s="96" t="b">
        <v>0</v>
      </c>
      <c r="I318" s="96" t="b">
        <v>0</v>
      </c>
      <c r="J318" s="96" t="b">
        <v>0</v>
      </c>
      <c r="K318" s="96" t="b">
        <v>0</v>
      </c>
      <c r="L318" s="96" t="b">
        <v>0</v>
      </c>
    </row>
    <row r="319" spans="1:12" ht="15">
      <c r="A319" s="97" t="s">
        <v>1339</v>
      </c>
      <c r="B319" s="96" t="s">
        <v>1350</v>
      </c>
      <c r="C319" s="96">
        <v>2</v>
      </c>
      <c r="D319" s="110">
        <v>0.006641115360293076</v>
      </c>
      <c r="E319" s="110">
        <v>2.1775364999298623</v>
      </c>
      <c r="F319" s="96" t="s">
        <v>914</v>
      </c>
      <c r="G319" s="96" t="b">
        <v>0</v>
      </c>
      <c r="H319" s="96" t="b">
        <v>0</v>
      </c>
      <c r="I319" s="96" t="b">
        <v>0</v>
      </c>
      <c r="J319" s="96" t="b">
        <v>0</v>
      </c>
      <c r="K319" s="96" t="b">
        <v>0</v>
      </c>
      <c r="L319" s="96" t="b">
        <v>0</v>
      </c>
    </row>
    <row r="320" spans="1:12" ht="15">
      <c r="A320" s="97" t="s">
        <v>1015</v>
      </c>
      <c r="B320" s="96" t="s">
        <v>1278</v>
      </c>
      <c r="C320" s="96">
        <v>2</v>
      </c>
      <c r="D320" s="110">
        <v>0.006641115360293076</v>
      </c>
      <c r="E320" s="110">
        <v>2.1775364999298623</v>
      </c>
      <c r="F320" s="96" t="s">
        <v>914</v>
      </c>
      <c r="G320" s="96" t="b">
        <v>0</v>
      </c>
      <c r="H320" s="96" t="b">
        <v>0</v>
      </c>
      <c r="I320" s="96" t="b">
        <v>0</v>
      </c>
      <c r="J320" s="96" t="b">
        <v>0</v>
      </c>
      <c r="K320" s="96" t="b">
        <v>0</v>
      </c>
      <c r="L320" s="96" t="b">
        <v>0</v>
      </c>
    </row>
    <row r="321" spans="1:12" ht="15">
      <c r="A321" s="97" t="s">
        <v>1256</v>
      </c>
      <c r="B321" s="96" t="s">
        <v>1290</v>
      </c>
      <c r="C321" s="96">
        <v>2</v>
      </c>
      <c r="D321" s="110">
        <v>0.006641115360293076</v>
      </c>
      <c r="E321" s="110">
        <v>2.1775364999298623</v>
      </c>
      <c r="F321" s="96" t="s">
        <v>914</v>
      </c>
      <c r="G321" s="96" t="b">
        <v>0</v>
      </c>
      <c r="H321" s="96" t="b">
        <v>0</v>
      </c>
      <c r="I321" s="96" t="b">
        <v>0</v>
      </c>
      <c r="J321" s="96" t="b">
        <v>0</v>
      </c>
      <c r="K321" s="96" t="b">
        <v>0</v>
      </c>
      <c r="L321" s="96" t="b">
        <v>0</v>
      </c>
    </row>
    <row r="322" spans="1:12" ht="15">
      <c r="A322" s="97" t="s">
        <v>1253</v>
      </c>
      <c r="B322" s="96" t="s">
        <v>1293</v>
      </c>
      <c r="C322" s="96">
        <v>2</v>
      </c>
      <c r="D322" s="110">
        <v>0.006641115360293076</v>
      </c>
      <c r="E322" s="110">
        <v>1.7795964912578246</v>
      </c>
      <c r="F322" s="96" t="s">
        <v>914</v>
      </c>
      <c r="G322" s="96" t="b">
        <v>0</v>
      </c>
      <c r="H322" s="96" t="b">
        <v>0</v>
      </c>
      <c r="I322" s="96" t="b">
        <v>0</v>
      </c>
      <c r="J322" s="96" t="b">
        <v>0</v>
      </c>
      <c r="K322" s="96" t="b">
        <v>0</v>
      </c>
      <c r="L322" s="96" t="b">
        <v>0</v>
      </c>
    </row>
    <row r="323" spans="1:12" ht="15">
      <c r="A323" s="97" t="s">
        <v>1317</v>
      </c>
      <c r="B323" s="96" t="s">
        <v>1258</v>
      </c>
      <c r="C323" s="96">
        <v>2</v>
      </c>
      <c r="D323" s="110">
        <v>0.006641115360293076</v>
      </c>
      <c r="E323" s="110">
        <v>2.001445240874181</v>
      </c>
      <c r="F323" s="96" t="s">
        <v>914</v>
      </c>
      <c r="G323" s="96" t="b">
        <v>0</v>
      </c>
      <c r="H323" s="96" t="b">
        <v>0</v>
      </c>
      <c r="I323" s="96" t="b">
        <v>0</v>
      </c>
      <c r="J323" s="96" t="b">
        <v>0</v>
      </c>
      <c r="K323" s="96" t="b">
        <v>0</v>
      </c>
      <c r="L323" s="96" t="b">
        <v>0</v>
      </c>
    </row>
    <row r="324" spans="1:12" ht="15">
      <c r="A324" s="97" t="s">
        <v>1282</v>
      </c>
      <c r="B324" s="96" t="s">
        <v>1266</v>
      </c>
      <c r="C324" s="96">
        <v>2</v>
      </c>
      <c r="D324" s="110">
        <v>0.006641115360293076</v>
      </c>
      <c r="E324" s="110">
        <v>2.1775364999298623</v>
      </c>
      <c r="F324" s="96" t="s">
        <v>914</v>
      </c>
      <c r="G324" s="96" t="b">
        <v>0</v>
      </c>
      <c r="H324" s="96" t="b">
        <v>0</v>
      </c>
      <c r="I324" s="96" t="b">
        <v>0</v>
      </c>
      <c r="J324" s="96" t="b">
        <v>0</v>
      </c>
      <c r="K324" s="96" t="b">
        <v>0</v>
      </c>
      <c r="L324" s="96" t="b">
        <v>0</v>
      </c>
    </row>
    <row r="325" spans="1:12" ht="15">
      <c r="A325" s="97" t="s">
        <v>1257</v>
      </c>
      <c r="B325" s="96" t="s">
        <v>1319</v>
      </c>
      <c r="C325" s="96">
        <v>2</v>
      </c>
      <c r="D325" s="110">
        <v>0.006641115360293076</v>
      </c>
      <c r="E325" s="110">
        <v>1.876506504265881</v>
      </c>
      <c r="F325" s="96" t="s">
        <v>914</v>
      </c>
      <c r="G325" s="96" t="b">
        <v>0</v>
      </c>
      <c r="H325" s="96" t="b">
        <v>0</v>
      </c>
      <c r="I325" s="96" t="b">
        <v>0</v>
      </c>
      <c r="J325" s="96" t="b">
        <v>0</v>
      </c>
      <c r="K325" s="96" t="b">
        <v>0</v>
      </c>
      <c r="L325" s="96" t="b">
        <v>0</v>
      </c>
    </row>
    <row r="326" spans="1:12" ht="15">
      <c r="A326" s="97" t="s">
        <v>1322</v>
      </c>
      <c r="B326" s="96" t="s">
        <v>1009</v>
      </c>
      <c r="C326" s="96">
        <v>2</v>
      </c>
      <c r="D326" s="110">
        <v>0.006641115360293076</v>
      </c>
      <c r="E326" s="110">
        <v>1.5754765086018998</v>
      </c>
      <c r="F326" s="96" t="s">
        <v>914</v>
      </c>
      <c r="G326" s="96" t="b">
        <v>0</v>
      </c>
      <c r="H326" s="96" t="b">
        <v>0</v>
      </c>
      <c r="I326" s="96" t="b">
        <v>0</v>
      </c>
      <c r="J326" s="96" t="b">
        <v>0</v>
      </c>
      <c r="K326" s="96" t="b">
        <v>0</v>
      </c>
      <c r="L326" s="96" t="b">
        <v>0</v>
      </c>
    </row>
    <row r="327" spans="1:12" ht="15">
      <c r="A327" s="97" t="s">
        <v>1258</v>
      </c>
      <c r="B327" s="96" t="s">
        <v>1308</v>
      </c>
      <c r="C327" s="96">
        <v>2</v>
      </c>
      <c r="D327" s="110">
        <v>0.006641115360293076</v>
      </c>
      <c r="E327" s="110">
        <v>2.001445240874181</v>
      </c>
      <c r="F327" s="96" t="s">
        <v>914</v>
      </c>
      <c r="G327" s="96" t="b">
        <v>0</v>
      </c>
      <c r="H327" s="96" t="b">
        <v>0</v>
      </c>
      <c r="I327" s="96" t="b">
        <v>0</v>
      </c>
      <c r="J327" s="96" t="b">
        <v>0</v>
      </c>
      <c r="K327" s="96" t="b">
        <v>0</v>
      </c>
      <c r="L327" s="96" t="b">
        <v>0</v>
      </c>
    </row>
    <row r="328" spans="1:12" ht="15">
      <c r="A328" s="97" t="s">
        <v>1316</v>
      </c>
      <c r="B328" s="96" t="s">
        <v>1000</v>
      </c>
      <c r="C328" s="96">
        <v>2</v>
      </c>
      <c r="D328" s="110">
        <v>0.006641115360293076</v>
      </c>
      <c r="E328" s="110">
        <v>1.4785664955938433</v>
      </c>
      <c r="F328" s="96" t="s">
        <v>914</v>
      </c>
      <c r="G328" s="96" t="b">
        <v>0</v>
      </c>
      <c r="H328" s="96" t="b">
        <v>0</v>
      </c>
      <c r="I328" s="96" t="b">
        <v>0</v>
      </c>
      <c r="J328" s="96" t="b">
        <v>0</v>
      </c>
      <c r="K328" s="96" t="b">
        <v>0</v>
      </c>
      <c r="L328" s="96" t="b">
        <v>0</v>
      </c>
    </row>
    <row r="329" spans="1:12" ht="15">
      <c r="A329" s="97" t="s">
        <v>1293</v>
      </c>
      <c r="B329" s="96" t="s">
        <v>982</v>
      </c>
      <c r="C329" s="96">
        <v>2</v>
      </c>
      <c r="D329" s="110">
        <v>0.006641115360293076</v>
      </c>
      <c r="E329" s="110">
        <v>1.6334684555795864</v>
      </c>
      <c r="F329" s="96" t="s">
        <v>914</v>
      </c>
      <c r="G329" s="96" t="b">
        <v>0</v>
      </c>
      <c r="H329" s="96" t="b">
        <v>0</v>
      </c>
      <c r="I329" s="96" t="b">
        <v>0</v>
      </c>
      <c r="J329" s="96" t="b">
        <v>0</v>
      </c>
      <c r="K329" s="96" t="b">
        <v>0</v>
      </c>
      <c r="L329" s="96" t="b">
        <v>0</v>
      </c>
    </row>
    <row r="330" spans="1:12" ht="15">
      <c r="A330" s="97" t="s">
        <v>1302</v>
      </c>
      <c r="B330" s="96" t="s">
        <v>1331</v>
      </c>
      <c r="C330" s="96">
        <v>2</v>
      </c>
      <c r="D330" s="110">
        <v>0.006641115360293076</v>
      </c>
      <c r="E330" s="110">
        <v>2.1775364999298623</v>
      </c>
      <c r="F330" s="96" t="s">
        <v>914</v>
      </c>
      <c r="G330" s="96" t="b">
        <v>0</v>
      </c>
      <c r="H330" s="96" t="b">
        <v>0</v>
      </c>
      <c r="I330" s="96" t="b">
        <v>0</v>
      </c>
      <c r="J330" s="96" t="b">
        <v>1</v>
      </c>
      <c r="K330" s="96" t="b">
        <v>0</v>
      </c>
      <c r="L330" s="96" t="b">
        <v>0</v>
      </c>
    </row>
    <row r="331" spans="1:12" ht="15">
      <c r="A331" s="97" t="s">
        <v>1312</v>
      </c>
      <c r="B331" s="96" t="s">
        <v>1257</v>
      </c>
      <c r="C331" s="96">
        <v>2</v>
      </c>
      <c r="D331" s="110">
        <v>0.006641115360293076</v>
      </c>
      <c r="E331" s="110">
        <v>2.1775364999298623</v>
      </c>
      <c r="F331" s="96" t="s">
        <v>914</v>
      </c>
      <c r="G331" s="96" t="b">
        <v>0</v>
      </c>
      <c r="H331" s="96" t="b">
        <v>0</v>
      </c>
      <c r="I331" s="96" t="b">
        <v>0</v>
      </c>
      <c r="J331" s="96" t="b">
        <v>0</v>
      </c>
      <c r="K331" s="96" t="b">
        <v>0</v>
      </c>
      <c r="L331" s="96" t="b">
        <v>0</v>
      </c>
    </row>
    <row r="332" spans="1:12" ht="15">
      <c r="A332" s="97" t="s">
        <v>1001</v>
      </c>
      <c r="B332" s="96" t="s">
        <v>1002</v>
      </c>
      <c r="C332" s="96">
        <v>2</v>
      </c>
      <c r="D332" s="110">
        <v>0.006641115360293076</v>
      </c>
      <c r="E332" s="110">
        <v>1.2232939904905373</v>
      </c>
      <c r="F332" s="96" t="s">
        <v>914</v>
      </c>
      <c r="G332" s="96" t="b">
        <v>0</v>
      </c>
      <c r="H332" s="96" t="b">
        <v>0</v>
      </c>
      <c r="I332" s="96" t="b">
        <v>0</v>
      </c>
      <c r="J332" s="96" t="b">
        <v>0</v>
      </c>
      <c r="K332" s="96" t="b">
        <v>0</v>
      </c>
      <c r="L332" s="96" t="b">
        <v>0</v>
      </c>
    </row>
    <row r="333" spans="1:12" ht="15">
      <c r="A333" s="97" t="s">
        <v>1284</v>
      </c>
      <c r="B333" s="96" t="s">
        <v>1285</v>
      </c>
      <c r="C333" s="96">
        <v>2</v>
      </c>
      <c r="D333" s="110">
        <v>0.006641115360293076</v>
      </c>
      <c r="E333" s="110">
        <v>2.1775364999298623</v>
      </c>
      <c r="F333" s="96" t="s">
        <v>914</v>
      </c>
      <c r="G333" s="96" t="b">
        <v>0</v>
      </c>
      <c r="H333" s="96" t="b">
        <v>0</v>
      </c>
      <c r="I333" s="96" t="b">
        <v>0</v>
      </c>
      <c r="J333" s="96" t="b">
        <v>0</v>
      </c>
      <c r="K333" s="96" t="b">
        <v>0</v>
      </c>
      <c r="L333" s="96" t="b">
        <v>0</v>
      </c>
    </row>
    <row r="334" spans="1:12" ht="15">
      <c r="A334" s="97" t="s">
        <v>1257</v>
      </c>
      <c r="B334" s="96" t="s">
        <v>1294</v>
      </c>
      <c r="C334" s="96">
        <v>2</v>
      </c>
      <c r="D334" s="110">
        <v>0.006641115360293076</v>
      </c>
      <c r="E334" s="110">
        <v>1.876506504265881</v>
      </c>
      <c r="F334" s="96" t="s">
        <v>914</v>
      </c>
      <c r="G334" s="96" t="b">
        <v>0</v>
      </c>
      <c r="H334" s="96" t="b">
        <v>0</v>
      </c>
      <c r="I334" s="96" t="b">
        <v>0</v>
      </c>
      <c r="J334" s="96" t="b">
        <v>0</v>
      </c>
      <c r="K334" s="96" t="b">
        <v>0</v>
      </c>
      <c r="L334" s="96" t="b">
        <v>0</v>
      </c>
    </row>
    <row r="335" spans="1:12" ht="15">
      <c r="A335" s="97" t="s">
        <v>1350</v>
      </c>
      <c r="B335" s="96" t="s">
        <v>1316</v>
      </c>
      <c r="C335" s="96">
        <v>2</v>
      </c>
      <c r="D335" s="110">
        <v>0.006641115360293076</v>
      </c>
      <c r="E335" s="110">
        <v>2.1775364999298623</v>
      </c>
      <c r="F335" s="96" t="s">
        <v>914</v>
      </c>
      <c r="G335" s="96" t="b">
        <v>0</v>
      </c>
      <c r="H335" s="96" t="b">
        <v>0</v>
      </c>
      <c r="I335" s="96" t="b">
        <v>0</v>
      </c>
      <c r="J335" s="96" t="b">
        <v>0</v>
      </c>
      <c r="K335" s="96" t="b">
        <v>0</v>
      </c>
      <c r="L335" s="96" t="b">
        <v>0</v>
      </c>
    </row>
    <row r="336" spans="1:12" ht="15">
      <c r="A336" s="97" t="s">
        <v>1308</v>
      </c>
      <c r="B336" s="96" t="s">
        <v>1302</v>
      </c>
      <c r="C336" s="96">
        <v>2</v>
      </c>
      <c r="D336" s="110">
        <v>0.006641115360293076</v>
      </c>
      <c r="E336" s="110">
        <v>2.1775364999298623</v>
      </c>
      <c r="F336" s="96" t="s">
        <v>914</v>
      </c>
      <c r="G336" s="96" t="b">
        <v>0</v>
      </c>
      <c r="H336" s="96" t="b">
        <v>0</v>
      </c>
      <c r="I336" s="96" t="b">
        <v>0</v>
      </c>
      <c r="J336" s="96" t="b">
        <v>0</v>
      </c>
      <c r="K336" s="96" t="b">
        <v>0</v>
      </c>
      <c r="L336" s="96" t="b">
        <v>0</v>
      </c>
    </row>
    <row r="337" spans="1:12" ht="15">
      <c r="A337" s="97" t="s">
        <v>982</v>
      </c>
      <c r="B337" s="96" t="s">
        <v>976</v>
      </c>
      <c r="C337" s="96">
        <v>2</v>
      </c>
      <c r="D337" s="110">
        <v>0.006641115360293076</v>
      </c>
      <c r="E337" s="110">
        <v>1.047202731434856</v>
      </c>
      <c r="F337" s="96" t="s">
        <v>914</v>
      </c>
      <c r="G337" s="96" t="b">
        <v>0</v>
      </c>
      <c r="H337" s="96" t="b">
        <v>0</v>
      </c>
      <c r="I337" s="96" t="b">
        <v>0</v>
      </c>
      <c r="J337" s="96" t="b">
        <v>0</v>
      </c>
      <c r="K337" s="96" t="b">
        <v>0</v>
      </c>
      <c r="L337" s="96" t="b">
        <v>0</v>
      </c>
    </row>
    <row r="338" spans="1:12" ht="15">
      <c r="A338" s="97" t="s">
        <v>976</v>
      </c>
      <c r="B338" s="96" t="s">
        <v>1330</v>
      </c>
      <c r="C338" s="96">
        <v>2</v>
      </c>
      <c r="D338" s="110">
        <v>0.006641115360293076</v>
      </c>
      <c r="E338" s="110">
        <v>1.7004152452101997</v>
      </c>
      <c r="F338" s="96" t="s">
        <v>914</v>
      </c>
      <c r="G338" s="96" t="b">
        <v>0</v>
      </c>
      <c r="H338" s="96" t="b">
        <v>0</v>
      </c>
      <c r="I338" s="96" t="b">
        <v>0</v>
      </c>
      <c r="J338" s="96" t="b">
        <v>0</v>
      </c>
      <c r="K338" s="96" t="b">
        <v>0</v>
      </c>
      <c r="L338" s="96" t="b">
        <v>0</v>
      </c>
    </row>
    <row r="339" spans="1:12" ht="15">
      <c r="A339" s="97" t="s">
        <v>1330</v>
      </c>
      <c r="B339" s="96" t="s">
        <v>1253</v>
      </c>
      <c r="C339" s="96">
        <v>2</v>
      </c>
      <c r="D339" s="110">
        <v>0.006641115360293076</v>
      </c>
      <c r="E339" s="110">
        <v>1.7795964912578246</v>
      </c>
      <c r="F339" s="96" t="s">
        <v>914</v>
      </c>
      <c r="G339" s="96" t="b">
        <v>0</v>
      </c>
      <c r="H339" s="96" t="b">
        <v>0</v>
      </c>
      <c r="I339" s="96" t="b">
        <v>0</v>
      </c>
      <c r="J339" s="96" t="b">
        <v>0</v>
      </c>
      <c r="K339" s="96" t="b">
        <v>0</v>
      </c>
      <c r="L339" s="96" t="b">
        <v>0</v>
      </c>
    </row>
    <row r="340" spans="1:12" ht="15">
      <c r="A340" s="97" t="s">
        <v>1005</v>
      </c>
      <c r="B340" s="96" t="s">
        <v>1263</v>
      </c>
      <c r="C340" s="96">
        <v>2</v>
      </c>
      <c r="D340" s="110">
        <v>0.006641115360293076</v>
      </c>
      <c r="E340" s="110">
        <v>1.3993852495462187</v>
      </c>
      <c r="F340" s="96" t="s">
        <v>914</v>
      </c>
      <c r="G340" s="96" t="b">
        <v>0</v>
      </c>
      <c r="H340" s="96" t="b">
        <v>0</v>
      </c>
      <c r="I340" s="96" t="b">
        <v>0</v>
      </c>
      <c r="J340" s="96" t="b">
        <v>0</v>
      </c>
      <c r="K340" s="96" t="b">
        <v>0</v>
      </c>
      <c r="L340" s="96" t="b">
        <v>0</v>
      </c>
    </row>
    <row r="341" spans="1:12" ht="15">
      <c r="A341" s="97" t="s">
        <v>982</v>
      </c>
      <c r="B341" s="96" t="s">
        <v>1317</v>
      </c>
      <c r="C341" s="96">
        <v>2</v>
      </c>
      <c r="D341" s="110">
        <v>0.006641115360293076</v>
      </c>
      <c r="E341" s="110">
        <v>1.5243239861545184</v>
      </c>
      <c r="F341" s="96" t="s">
        <v>914</v>
      </c>
      <c r="G341" s="96" t="b">
        <v>0</v>
      </c>
      <c r="H341" s="96" t="b">
        <v>0</v>
      </c>
      <c r="I341" s="96" t="b">
        <v>0</v>
      </c>
      <c r="J341" s="96" t="b">
        <v>0</v>
      </c>
      <c r="K341" s="96" t="b">
        <v>0</v>
      </c>
      <c r="L341" s="96" t="b">
        <v>0</v>
      </c>
    </row>
    <row r="342" spans="1:12" ht="15">
      <c r="A342" s="97" t="s">
        <v>1009</v>
      </c>
      <c r="B342" s="96" t="s">
        <v>1312</v>
      </c>
      <c r="C342" s="96">
        <v>2</v>
      </c>
      <c r="D342" s="110">
        <v>0.006641115360293076</v>
      </c>
      <c r="E342" s="110">
        <v>1.5243239861545184</v>
      </c>
      <c r="F342" s="96" t="s">
        <v>914</v>
      </c>
      <c r="G342" s="96" t="b">
        <v>0</v>
      </c>
      <c r="H342" s="96" t="b">
        <v>0</v>
      </c>
      <c r="I342" s="96" t="b">
        <v>0</v>
      </c>
      <c r="J342" s="96" t="b">
        <v>0</v>
      </c>
      <c r="K342" s="96" t="b">
        <v>0</v>
      </c>
      <c r="L342" s="96" t="b">
        <v>0</v>
      </c>
    </row>
    <row r="343" spans="1:12" ht="15">
      <c r="A343" s="97" t="s">
        <v>1333</v>
      </c>
      <c r="B343" s="96" t="s">
        <v>1296</v>
      </c>
      <c r="C343" s="96">
        <v>2</v>
      </c>
      <c r="D343" s="110">
        <v>0.006641115360293076</v>
      </c>
      <c r="E343" s="110">
        <v>2.1775364999298623</v>
      </c>
      <c r="F343" s="96" t="s">
        <v>914</v>
      </c>
      <c r="G343" s="96" t="b">
        <v>0</v>
      </c>
      <c r="H343" s="96" t="b">
        <v>0</v>
      </c>
      <c r="I343" s="96" t="b">
        <v>0</v>
      </c>
      <c r="J343" s="96" t="b">
        <v>0</v>
      </c>
      <c r="K343" s="96" t="b">
        <v>0</v>
      </c>
      <c r="L343" s="96" t="b">
        <v>0</v>
      </c>
    </row>
    <row r="344" spans="1:12" ht="15">
      <c r="A344" s="97" t="s">
        <v>1319</v>
      </c>
      <c r="B344" s="96" t="s">
        <v>1333</v>
      </c>
      <c r="C344" s="96">
        <v>2</v>
      </c>
      <c r="D344" s="110">
        <v>0.006641115360293076</v>
      </c>
      <c r="E344" s="110">
        <v>2.1775364999298623</v>
      </c>
      <c r="F344" s="96" t="s">
        <v>914</v>
      </c>
      <c r="G344" s="96" t="b">
        <v>0</v>
      </c>
      <c r="H344" s="96" t="b">
        <v>0</v>
      </c>
      <c r="I344" s="96" t="b">
        <v>0</v>
      </c>
      <c r="J344" s="96" t="b">
        <v>0</v>
      </c>
      <c r="K344" s="96" t="b">
        <v>0</v>
      </c>
      <c r="L344" s="96" t="b">
        <v>0</v>
      </c>
    </row>
    <row r="345" spans="1:12" ht="15">
      <c r="A345" s="97" t="s">
        <v>1264</v>
      </c>
      <c r="B345" s="96" t="s">
        <v>1400</v>
      </c>
      <c r="C345" s="96">
        <v>2</v>
      </c>
      <c r="D345" s="110">
        <v>0.006641115360293076</v>
      </c>
      <c r="E345" s="110">
        <v>1.876506504265881</v>
      </c>
      <c r="F345" s="96" t="s">
        <v>914</v>
      </c>
      <c r="G345" s="96" t="b">
        <v>0</v>
      </c>
      <c r="H345" s="96" t="b">
        <v>0</v>
      </c>
      <c r="I345" s="96" t="b">
        <v>0</v>
      </c>
      <c r="J345" s="96" t="b">
        <v>0</v>
      </c>
      <c r="K345" s="96" t="b">
        <v>0</v>
      </c>
      <c r="L345" s="96" t="b">
        <v>0</v>
      </c>
    </row>
    <row r="346" spans="1:12" ht="15">
      <c r="A346" s="97" t="s">
        <v>1009</v>
      </c>
      <c r="B346" s="96" t="s">
        <v>1280</v>
      </c>
      <c r="C346" s="96">
        <v>2</v>
      </c>
      <c r="D346" s="110">
        <v>0.006641115360293076</v>
      </c>
      <c r="E346" s="110">
        <v>1.5243239861545184</v>
      </c>
      <c r="F346" s="96" t="s">
        <v>914</v>
      </c>
      <c r="G346" s="96" t="b">
        <v>0</v>
      </c>
      <c r="H346" s="96" t="b">
        <v>0</v>
      </c>
      <c r="I346" s="96" t="b">
        <v>0</v>
      </c>
      <c r="J346" s="96" t="b">
        <v>0</v>
      </c>
      <c r="K346" s="96" t="b">
        <v>0</v>
      </c>
      <c r="L346" s="96" t="b">
        <v>0</v>
      </c>
    </row>
    <row r="347" spans="1:12" ht="15">
      <c r="A347" s="97" t="s">
        <v>1274</v>
      </c>
      <c r="B347" s="96" t="s">
        <v>1322</v>
      </c>
      <c r="C347" s="96">
        <v>2</v>
      </c>
      <c r="D347" s="110">
        <v>0.006641115360293076</v>
      </c>
      <c r="E347" s="110">
        <v>2.001445240874181</v>
      </c>
      <c r="F347" s="96" t="s">
        <v>914</v>
      </c>
      <c r="G347" s="96" t="b">
        <v>0</v>
      </c>
      <c r="H347" s="96" t="b">
        <v>0</v>
      </c>
      <c r="I347" s="96" t="b">
        <v>0</v>
      </c>
      <c r="J347" s="96" t="b">
        <v>0</v>
      </c>
      <c r="K347" s="96" t="b">
        <v>0</v>
      </c>
      <c r="L347" s="96" t="b">
        <v>0</v>
      </c>
    </row>
    <row r="348" spans="1:12" ht="15">
      <c r="A348" s="97" t="s">
        <v>1280</v>
      </c>
      <c r="B348" s="96" t="s">
        <v>308</v>
      </c>
      <c r="C348" s="96">
        <v>2</v>
      </c>
      <c r="D348" s="110">
        <v>0.006641115360293076</v>
      </c>
      <c r="E348" s="110">
        <v>1.7004152452101997</v>
      </c>
      <c r="F348" s="96" t="s">
        <v>914</v>
      </c>
      <c r="G348" s="96" t="b">
        <v>0</v>
      </c>
      <c r="H348" s="96" t="b">
        <v>0</v>
      </c>
      <c r="I348" s="96" t="b">
        <v>0</v>
      </c>
      <c r="J348" s="96" t="b">
        <v>0</v>
      </c>
      <c r="K348" s="96" t="b">
        <v>0</v>
      </c>
      <c r="L348" s="96" t="b">
        <v>0</v>
      </c>
    </row>
    <row r="349" spans="1:12" ht="15">
      <c r="A349" s="97" t="s">
        <v>1315</v>
      </c>
      <c r="B349" s="96" t="s">
        <v>1000</v>
      </c>
      <c r="C349" s="96">
        <v>2</v>
      </c>
      <c r="D349" s="110">
        <v>0.006641115360293076</v>
      </c>
      <c r="E349" s="110">
        <v>1.4785664955938433</v>
      </c>
      <c r="F349" s="96" t="s">
        <v>914</v>
      </c>
      <c r="G349" s="96" t="b">
        <v>0</v>
      </c>
      <c r="H349" s="96" t="b">
        <v>0</v>
      </c>
      <c r="I349" s="96" t="b">
        <v>0</v>
      </c>
      <c r="J349" s="96" t="b">
        <v>0</v>
      </c>
      <c r="K349" s="96" t="b">
        <v>0</v>
      </c>
      <c r="L349" s="96" t="b">
        <v>0</v>
      </c>
    </row>
    <row r="350" spans="1:12" ht="15">
      <c r="A350" s="97" t="s">
        <v>1285</v>
      </c>
      <c r="B350" s="96" t="s">
        <v>1274</v>
      </c>
      <c r="C350" s="96">
        <v>2</v>
      </c>
      <c r="D350" s="110">
        <v>0.006641115360293076</v>
      </c>
      <c r="E350" s="110">
        <v>2.001445240874181</v>
      </c>
      <c r="F350" s="96" t="s">
        <v>914</v>
      </c>
      <c r="G350" s="96" t="b">
        <v>0</v>
      </c>
      <c r="H350" s="96" t="b">
        <v>0</v>
      </c>
      <c r="I350" s="96" t="b">
        <v>0</v>
      </c>
      <c r="J350" s="96" t="b">
        <v>0</v>
      </c>
      <c r="K350" s="96" t="b">
        <v>0</v>
      </c>
      <c r="L350" s="96" t="b">
        <v>0</v>
      </c>
    </row>
    <row r="351" spans="1:12" ht="15">
      <c r="A351" s="97" t="s">
        <v>1266</v>
      </c>
      <c r="B351" s="96" t="s">
        <v>1284</v>
      </c>
      <c r="C351" s="96">
        <v>2</v>
      </c>
      <c r="D351" s="110">
        <v>0.006641115360293076</v>
      </c>
      <c r="E351" s="110">
        <v>2.1775364999298623</v>
      </c>
      <c r="F351" s="96" t="s">
        <v>914</v>
      </c>
      <c r="G351" s="96" t="b">
        <v>0</v>
      </c>
      <c r="H351" s="96" t="b">
        <v>0</v>
      </c>
      <c r="I351" s="96" t="b">
        <v>0</v>
      </c>
      <c r="J351" s="96" t="b">
        <v>0</v>
      </c>
      <c r="K351" s="96" t="b">
        <v>0</v>
      </c>
      <c r="L351" s="96" t="b">
        <v>0</v>
      </c>
    </row>
    <row r="352" spans="1:12" ht="15">
      <c r="A352" s="97" t="s">
        <v>1296</v>
      </c>
      <c r="B352" s="96" t="s">
        <v>1253</v>
      </c>
      <c r="C352" s="96">
        <v>2</v>
      </c>
      <c r="D352" s="110">
        <v>0.006641115360293076</v>
      </c>
      <c r="E352" s="110">
        <v>1.7795964912578246</v>
      </c>
      <c r="F352" s="96" t="s">
        <v>914</v>
      </c>
      <c r="G352" s="96" t="b">
        <v>0</v>
      </c>
      <c r="H352" s="96" t="b">
        <v>0</v>
      </c>
      <c r="I352" s="96" t="b">
        <v>0</v>
      </c>
      <c r="J352" s="96" t="b">
        <v>0</v>
      </c>
      <c r="K352" s="96" t="b">
        <v>0</v>
      </c>
      <c r="L352" s="96" t="b">
        <v>0</v>
      </c>
    </row>
    <row r="353" spans="1:12" ht="15">
      <c r="A353" s="97" t="s">
        <v>1331</v>
      </c>
      <c r="B353" s="96" t="s">
        <v>1315</v>
      </c>
      <c r="C353" s="96">
        <v>2</v>
      </c>
      <c r="D353" s="110">
        <v>0.006641115360293076</v>
      </c>
      <c r="E353" s="110">
        <v>2.1775364999298623</v>
      </c>
      <c r="F353" s="96" t="s">
        <v>914</v>
      </c>
      <c r="G353" s="96" t="b">
        <v>1</v>
      </c>
      <c r="H353" s="96" t="b">
        <v>0</v>
      </c>
      <c r="I353" s="96" t="b">
        <v>0</v>
      </c>
      <c r="J353" s="96" t="b">
        <v>0</v>
      </c>
      <c r="K353" s="96" t="b">
        <v>0</v>
      </c>
      <c r="L353" s="96" t="b">
        <v>0</v>
      </c>
    </row>
    <row r="354" spans="1:12" ht="15">
      <c r="A354" s="97" t="s">
        <v>1003</v>
      </c>
      <c r="B354" s="96" t="s">
        <v>1004</v>
      </c>
      <c r="C354" s="96">
        <v>18</v>
      </c>
      <c r="D354" s="110">
        <v>0.010753604874524364</v>
      </c>
      <c r="E354" s="110">
        <v>1.5308397786165204</v>
      </c>
      <c r="F354" s="96" t="s">
        <v>915</v>
      </c>
      <c r="G354" s="96" t="b">
        <v>0</v>
      </c>
      <c r="H354" s="96" t="b">
        <v>0</v>
      </c>
      <c r="I354" s="96" t="b">
        <v>0</v>
      </c>
      <c r="J354" s="96" t="b">
        <v>0</v>
      </c>
      <c r="K354" s="96" t="b">
        <v>0</v>
      </c>
      <c r="L354" s="96" t="b">
        <v>0</v>
      </c>
    </row>
    <row r="355" spans="1:12" ht="15">
      <c r="A355" s="97" t="s">
        <v>982</v>
      </c>
      <c r="B355" s="96" t="s">
        <v>1003</v>
      </c>
      <c r="C355" s="96">
        <v>18</v>
      </c>
      <c r="D355" s="110">
        <v>0.010753604874524364</v>
      </c>
      <c r="E355" s="110">
        <v>1.4638929889859074</v>
      </c>
      <c r="F355" s="96" t="s">
        <v>915</v>
      </c>
      <c r="G355" s="96" t="b">
        <v>0</v>
      </c>
      <c r="H355" s="96" t="b">
        <v>0</v>
      </c>
      <c r="I355" s="96" t="b">
        <v>0</v>
      </c>
      <c r="J355" s="96" t="b">
        <v>0</v>
      </c>
      <c r="K355" s="96" t="b">
        <v>0</v>
      </c>
      <c r="L355" s="96" t="b">
        <v>0</v>
      </c>
    </row>
    <row r="356" spans="1:12" ht="15">
      <c r="A356" s="97" t="s">
        <v>1001</v>
      </c>
      <c r="B356" s="96" t="s">
        <v>1002</v>
      </c>
      <c r="C356" s="96">
        <v>16</v>
      </c>
      <c r="D356" s="110">
        <v>0.010682991151045911</v>
      </c>
      <c r="E356" s="110">
        <v>1.4584979570992012</v>
      </c>
      <c r="F356" s="96" t="s">
        <v>915</v>
      </c>
      <c r="G356" s="96" t="b">
        <v>0</v>
      </c>
      <c r="H356" s="96" t="b">
        <v>0</v>
      </c>
      <c r="I356" s="96" t="b">
        <v>0</v>
      </c>
      <c r="J356" s="96" t="b">
        <v>0</v>
      </c>
      <c r="K356" s="96" t="b">
        <v>0</v>
      </c>
      <c r="L356" s="96" t="b">
        <v>0</v>
      </c>
    </row>
    <row r="357" spans="1:12" ht="15">
      <c r="A357" s="97" t="s">
        <v>1000</v>
      </c>
      <c r="B357" s="96" t="s">
        <v>982</v>
      </c>
      <c r="C357" s="96">
        <v>14</v>
      </c>
      <c r="D357" s="110">
        <v>0.01046284700673607</v>
      </c>
      <c r="E357" s="110">
        <v>0.9957265769191713</v>
      </c>
      <c r="F357" s="96" t="s">
        <v>915</v>
      </c>
      <c r="G357" s="96" t="b">
        <v>0</v>
      </c>
      <c r="H357" s="96" t="b">
        <v>0</v>
      </c>
      <c r="I357" s="96" t="b">
        <v>0</v>
      </c>
      <c r="J357" s="96" t="b">
        <v>0</v>
      </c>
      <c r="K357" s="96" t="b">
        <v>0</v>
      </c>
      <c r="L357" s="96" t="b">
        <v>0</v>
      </c>
    </row>
    <row r="358" spans="1:12" ht="15">
      <c r="A358" s="97" t="s">
        <v>1250</v>
      </c>
      <c r="B358" s="96" t="s">
        <v>1249</v>
      </c>
      <c r="C358" s="96">
        <v>13</v>
      </c>
      <c r="D358" s="110">
        <v>0.01029022728074423</v>
      </c>
      <c r="E358" s="110">
        <v>1.717926421973665</v>
      </c>
      <c r="F358" s="96" t="s">
        <v>915</v>
      </c>
      <c r="G358" s="96" t="b">
        <v>0</v>
      </c>
      <c r="H358" s="96" t="b">
        <v>0</v>
      </c>
      <c r="I358" s="96" t="b">
        <v>0</v>
      </c>
      <c r="J358" s="96" t="b">
        <v>0</v>
      </c>
      <c r="K358" s="96" t="b">
        <v>0</v>
      </c>
      <c r="L358" s="96" t="b">
        <v>0</v>
      </c>
    </row>
    <row r="359" spans="1:12" ht="15">
      <c r="A359" s="97" t="s">
        <v>1004</v>
      </c>
      <c r="B359" s="96" t="s">
        <v>1001</v>
      </c>
      <c r="C359" s="96">
        <v>13</v>
      </c>
      <c r="D359" s="110">
        <v>0.01029022728074423</v>
      </c>
      <c r="E359" s="110">
        <v>1.4117870205312035</v>
      </c>
      <c r="F359" s="96" t="s">
        <v>915</v>
      </c>
      <c r="G359" s="96" t="b">
        <v>0</v>
      </c>
      <c r="H359" s="96" t="b">
        <v>0</v>
      </c>
      <c r="I359" s="96" t="b">
        <v>0</v>
      </c>
      <c r="J359" s="96" t="b">
        <v>0</v>
      </c>
      <c r="K359" s="96" t="b">
        <v>0</v>
      </c>
      <c r="L359" s="96" t="b">
        <v>0</v>
      </c>
    </row>
    <row r="360" spans="1:12" ht="15">
      <c r="A360" s="97" t="s">
        <v>1013</v>
      </c>
      <c r="B360" s="96" t="s">
        <v>1007</v>
      </c>
      <c r="C360" s="96">
        <v>13</v>
      </c>
      <c r="D360" s="110">
        <v>0.01029022728074423</v>
      </c>
      <c r="E360" s="110">
        <v>1.717926421973665</v>
      </c>
      <c r="F360" s="96" t="s">
        <v>915</v>
      </c>
      <c r="G360" s="96" t="b">
        <v>0</v>
      </c>
      <c r="H360" s="96" t="b">
        <v>0</v>
      </c>
      <c r="I360" s="96" t="b">
        <v>0</v>
      </c>
      <c r="J360" s="96" t="b">
        <v>0</v>
      </c>
      <c r="K360" s="96" t="b">
        <v>0</v>
      </c>
      <c r="L360" s="96" t="b">
        <v>0</v>
      </c>
    </row>
    <row r="361" spans="1:12" ht="15">
      <c r="A361" s="97" t="s">
        <v>1251</v>
      </c>
      <c r="B361" s="96" t="s">
        <v>1006</v>
      </c>
      <c r="C361" s="96">
        <v>13</v>
      </c>
      <c r="D361" s="110">
        <v>0.01029022728074423</v>
      </c>
      <c r="E361" s="110">
        <v>1.717926421973665</v>
      </c>
      <c r="F361" s="96" t="s">
        <v>915</v>
      </c>
      <c r="G361" s="96" t="b">
        <v>0</v>
      </c>
      <c r="H361" s="96" t="b">
        <v>0</v>
      </c>
      <c r="I361" s="96" t="b">
        <v>0</v>
      </c>
      <c r="J361" s="96" t="b">
        <v>0</v>
      </c>
      <c r="K361" s="96" t="b">
        <v>0</v>
      </c>
      <c r="L361" s="96" t="b">
        <v>0</v>
      </c>
    </row>
    <row r="362" spans="1:12" ht="15">
      <c r="A362" s="97" t="s">
        <v>1007</v>
      </c>
      <c r="B362" s="96" t="s">
        <v>1012</v>
      </c>
      <c r="C362" s="96">
        <v>13</v>
      </c>
      <c r="D362" s="110">
        <v>0.01029022728074423</v>
      </c>
      <c r="E362" s="110">
        <v>1.717926421973665</v>
      </c>
      <c r="F362" s="96" t="s">
        <v>915</v>
      </c>
      <c r="G362" s="96" t="b">
        <v>0</v>
      </c>
      <c r="H362" s="96" t="b">
        <v>0</v>
      </c>
      <c r="I362" s="96" t="b">
        <v>0</v>
      </c>
      <c r="J362" s="96" t="b">
        <v>0</v>
      </c>
      <c r="K362" s="96" t="b">
        <v>0</v>
      </c>
      <c r="L362" s="96" t="b">
        <v>0</v>
      </c>
    </row>
    <row r="363" spans="1:12" ht="15">
      <c r="A363" s="97" t="s">
        <v>875</v>
      </c>
      <c r="B363" s="96" t="s">
        <v>1013</v>
      </c>
      <c r="C363" s="96">
        <v>13</v>
      </c>
      <c r="D363" s="110">
        <v>0.01029022728074423</v>
      </c>
      <c r="E363" s="110">
        <v>1.6014208529022278</v>
      </c>
      <c r="F363" s="96" t="s">
        <v>915</v>
      </c>
      <c r="G363" s="96" t="b">
        <v>0</v>
      </c>
      <c r="H363" s="96" t="b">
        <v>0</v>
      </c>
      <c r="I363" s="96" t="b">
        <v>0</v>
      </c>
      <c r="J363" s="96" t="b">
        <v>0</v>
      </c>
      <c r="K363" s="96" t="b">
        <v>0</v>
      </c>
      <c r="L363" s="96" t="b">
        <v>0</v>
      </c>
    </row>
    <row r="364" spans="1:12" ht="15">
      <c r="A364" s="97" t="s">
        <v>1006</v>
      </c>
      <c r="B364" s="96" t="s">
        <v>875</v>
      </c>
      <c r="C364" s="96">
        <v>13</v>
      </c>
      <c r="D364" s="110">
        <v>0.01029022728074423</v>
      </c>
      <c r="E364" s="110">
        <v>1.627749791624577</v>
      </c>
      <c r="F364" s="96" t="s">
        <v>915</v>
      </c>
      <c r="G364" s="96" t="b">
        <v>0</v>
      </c>
      <c r="H364" s="96" t="b">
        <v>0</v>
      </c>
      <c r="I364" s="96" t="b">
        <v>0</v>
      </c>
      <c r="J364" s="96" t="b">
        <v>0</v>
      </c>
      <c r="K364" s="96" t="b">
        <v>0</v>
      </c>
      <c r="L364" s="96" t="b">
        <v>0</v>
      </c>
    </row>
    <row r="365" spans="1:12" ht="15">
      <c r="A365" s="97" t="s">
        <v>1012</v>
      </c>
      <c r="B365" s="96" t="s">
        <v>1250</v>
      </c>
      <c r="C365" s="96">
        <v>13</v>
      </c>
      <c r="D365" s="110">
        <v>0.01029022728074423</v>
      </c>
      <c r="E365" s="110">
        <v>1.717926421973665</v>
      </c>
      <c r="F365" s="96" t="s">
        <v>915</v>
      </c>
      <c r="G365" s="96" t="b">
        <v>0</v>
      </c>
      <c r="H365" s="96" t="b">
        <v>0</v>
      </c>
      <c r="I365" s="96" t="b">
        <v>0</v>
      </c>
      <c r="J365" s="96" t="b">
        <v>0</v>
      </c>
      <c r="K365" s="96" t="b">
        <v>0</v>
      </c>
      <c r="L365" s="96" t="b">
        <v>0</v>
      </c>
    </row>
    <row r="366" spans="1:12" ht="15">
      <c r="A366" s="97" t="s">
        <v>1252</v>
      </c>
      <c r="B366" s="96" t="s">
        <v>1251</v>
      </c>
      <c r="C366" s="96">
        <v>12</v>
      </c>
      <c r="D366" s="110">
        <v>0.01007167308759707</v>
      </c>
      <c r="E366" s="110">
        <v>1.717926421973665</v>
      </c>
      <c r="F366" s="96" t="s">
        <v>915</v>
      </c>
      <c r="G366" s="96" t="b">
        <v>0</v>
      </c>
      <c r="H366" s="96" t="b">
        <v>0</v>
      </c>
      <c r="I366" s="96" t="b">
        <v>0</v>
      </c>
      <c r="J366" s="96" t="b">
        <v>0</v>
      </c>
      <c r="K366" s="96" t="b">
        <v>0</v>
      </c>
      <c r="L366" s="96" t="b">
        <v>0</v>
      </c>
    </row>
    <row r="367" spans="1:12" ht="15">
      <c r="A367" s="97" t="s">
        <v>1000</v>
      </c>
      <c r="B367" s="96" t="s">
        <v>1254</v>
      </c>
      <c r="C367" s="96">
        <v>5</v>
      </c>
      <c r="D367" s="110">
        <v>0.006807871398986916</v>
      </c>
      <c r="E367" s="110">
        <v>0.8495985412409333</v>
      </c>
      <c r="F367" s="96" t="s">
        <v>915</v>
      </c>
      <c r="G367" s="96" t="b">
        <v>0</v>
      </c>
      <c r="H367" s="96" t="b">
        <v>0</v>
      </c>
      <c r="I367" s="96" t="b">
        <v>0</v>
      </c>
      <c r="J367" s="96" t="b">
        <v>0</v>
      </c>
      <c r="K367" s="96" t="b">
        <v>0</v>
      </c>
      <c r="L367" s="96" t="b">
        <v>0</v>
      </c>
    </row>
    <row r="368" spans="1:12" ht="15">
      <c r="A368" s="97" t="s">
        <v>1002</v>
      </c>
      <c r="B368" s="96" t="s">
        <v>1005</v>
      </c>
      <c r="C368" s="96">
        <v>5</v>
      </c>
      <c r="D368" s="110">
        <v>0.006807871398986916</v>
      </c>
      <c r="E368" s="110">
        <v>1.1294392378349762</v>
      </c>
      <c r="F368" s="96" t="s">
        <v>915</v>
      </c>
      <c r="G368" s="96" t="b">
        <v>0</v>
      </c>
      <c r="H368" s="96" t="b">
        <v>0</v>
      </c>
      <c r="I368" s="96" t="b">
        <v>0</v>
      </c>
      <c r="J368" s="96" t="b">
        <v>0</v>
      </c>
      <c r="K368" s="96" t="b">
        <v>0</v>
      </c>
      <c r="L368" s="96" t="b">
        <v>0</v>
      </c>
    </row>
    <row r="369" spans="1:12" ht="15">
      <c r="A369" s="97" t="s">
        <v>1301</v>
      </c>
      <c r="B369" s="96" t="s">
        <v>1299</v>
      </c>
      <c r="C369" s="96">
        <v>5</v>
      </c>
      <c r="D369" s="110">
        <v>0.006807871398986916</v>
      </c>
      <c r="E369" s="110">
        <v>2.132899769944483</v>
      </c>
      <c r="F369" s="96" t="s">
        <v>915</v>
      </c>
      <c r="G369" s="96" t="b">
        <v>0</v>
      </c>
      <c r="H369" s="96" t="b">
        <v>0</v>
      </c>
      <c r="I369" s="96" t="b">
        <v>0</v>
      </c>
      <c r="J369" s="96" t="b">
        <v>0</v>
      </c>
      <c r="K369" s="96" t="b">
        <v>0</v>
      </c>
      <c r="L369" s="96" t="b">
        <v>0</v>
      </c>
    </row>
    <row r="370" spans="1:12" ht="15">
      <c r="A370" s="97" t="s">
        <v>1005</v>
      </c>
      <c r="B370" s="96" t="s">
        <v>1254</v>
      </c>
      <c r="C370" s="96">
        <v>5</v>
      </c>
      <c r="D370" s="110">
        <v>0.006807871398986916</v>
      </c>
      <c r="E370" s="110">
        <v>1.627749791624577</v>
      </c>
      <c r="F370" s="96" t="s">
        <v>915</v>
      </c>
      <c r="G370" s="96" t="b">
        <v>0</v>
      </c>
      <c r="H370" s="96" t="b">
        <v>0</v>
      </c>
      <c r="I370" s="96" t="b">
        <v>0</v>
      </c>
      <c r="J370" s="96" t="b">
        <v>0</v>
      </c>
      <c r="K370" s="96" t="b">
        <v>0</v>
      </c>
      <c r="L370" s="96" t="b">
        <v>0</v>
      </c>
    </row>
    <row r="371" spans="1:12" ht="15">
      <c r="A371" s="97" t="s">
        <v>1275</v>
      </c>
      <c r="B371" s="96" t="s">
        <v>1255</v>
      </c>
      <c r="C371" s="96">
        <v>5</v>
      </c>
      <c r="D371" s="110">
        <v>0.006807871398986916</v>
      </c>
      <c r="E371" s="110">
        <v>1.9867717342662448</v>
      </c>
      <c r="F371" s="96" t="s">
        <v>915</v>
      </c>
      <c r="G371" s="96" t="b">
        <v>0</v>
      </c>
      <c r="H371" s="96" t="b">
        <v>0</v>
      </c>
      <c r="I371" s="96" t="b">
        <v>0</v>
      </c>
      <c r="J371" s="96" t="b">
        <v>0</v>
      </c>
      <c r="K371" s="96" t="b">
        <v>0</v>
      </c>
      <c r="L371" s="96" t="b">
        <v>0</v>
      </c>
    </row>
    <row r="372" spans="1:12" ht="15">
      <c r="A372" s="97" t="s">
        <v>976</v>
      </c>
      <c r="B372" s="96" t="s">
        <v>1002</v>
      </c>
      <c r="C372" s="96">
        <v>5</v>
      </c>
      <c r="D372" s="110">
        <v>0.006807871398986916</v>
      </c>
      <c r="E372" s="110">
        <v>1.4304692334989575</v>
      </c>
      <c r="F372" s="96" t="s">
        <v>915</v>
      </c>
      <c r="G372" s="96" t="b">
        <v>0</v>
      </c>
      <c r="H372" s="96" t="b">
        <v>0</v>
      </c>
      <c r="I372" s="96" t="b">
        <v>0</v>
      </c>
      <c r="J372" s="96" t="b">
        <v>0</v>
      </c>
      <c r="K372" s="96" t="b">
        <v>0</v>
      </c>
      <c r="L372" s="96" t="b">
        <v>0</v>
      </c>
    </row>
    <row r="373" spans="1:12" ht="15">
      <c r="A373" s="97" t="s">
        <v>1281</v>
      </c>
      <c r="B373" s="96" t="s">
        <v>1275</v>
      </c>
      <c r="C373" s="96">
        <v>5</v>
      </c>
      <c r="D373" s="110">
        <v>0.006807871398986916</v>
      </c>
      <c r="E373" s="110">
        <v>2.132899769944483</v>
      </c>
      <c r="F373" s="96" t="s">
        <v>915</v>
      </c>
      <c r="G373" s="96" t="b">
        <v>0</v>
      </c>
      <c r="H373" s="96" t="b">
        <v>0</v>
      </c>
      <c r="I373" s="96" t="b">
        <v>0</v>
      </c>
      <c r="J373" s="96" t="b">
        <v>0</v>
      </c>
      <c r="K373" s="96" t="b">
        <v>0</v>
      </c>
      <c r="L373" s="96" t="b">
        <v>0</v>
      </c>
    </row>
    <row r="374" spans="1:12" ht="15">
      <c r="A374" s="97" t="s">
        <v>1004</v>
      </c>
      <c r="B374" s="96" t="s">
        <v>976</v>
      </c>
      <c r="C374" s="96">
        <v>5</v>
      </c>
      <c r="D374" s="110">
        <v>0.006807871398986916</v>
      </c>
      <c r="E374" s="110">
        <v>1.4974160231295708</v>
      </c>
      <c r="F374" s="96" t="s">
        <v>915</v>
      </c>
      <c r="G374" s="96" t="b">
        <v>0</v>
      </c>
      <c r="H374" s="96" t="b">
        <v>0</v>
      </c>
      <c r="I374" s="96" t="b">
        <v>0</v>
      </c>
      <c r="J374" s="96" t="b">
        <v>0</v>
      </c>
      <c r="K374" s="96" t="b">
        <v>0</v>
      </c>
      <c r="L374" s="96" t="b">
        <v>0</v>
      </c>
    </row>
    <row r="375" spans="1:12" ht="15">
      <c r="A375" s="97" t="s">
        <v>1291</v>
      </c>
      <c r="B375" s="96" t="s">
        <v>1000</v>
      </c>
      <c r="C375" s="96">
        <v>5</v>
      </c>
      <c r="D375" s="110">
        <v>0.006807871398986916</v>
      </c>
      <c r="E375" s="110">
        <v>1.5531161733276728</v>
      </c>
      <c r="F375" s="96" t="s">
        <v>915</v>
      </c>
      <c r="G375" s="96" t="b">
        <v>1</v>
      </c>
      <c r="H375" s="96" t="b">
        <v>0</v>
      </c>
      <c r="I375" s="96" t="b">
        <v>0</v>
      </c>
      <c r="J375" s="96" t="b">
        <v>0</v>
      </c>
      <c r="K375" s="96" t="b">
        <v>0</v>
      </c>
      <c r="L375" s="96" t="b">
        <v>0</v>
      </c>
    </row>
    <row r="376" spans="1:12" ht="15">
      <c r="A376" s="97" t="s">
        <v>1253</v>
      </c>
      <c r="B376" s="96" t="s">
        <v>1282</v>
      </c>
      <c r="C376" s="96">
        <v>4</v>
      </c>
      <c r="D376" s="110">
        <v>0.005978769718134898</v>
      </c>
      <c r="E376" s="110">
        <v>1.8318697742805017</v>
      </c>
      <c r="F376" s="96" t="s">
        <v>915</v>
      </c>
      <c r="G376" s="96" t="b">
        <v>0</v>
      </c>
      <c r="H376" s="96" t="b">
        <v>0</v>
      </c>
      <c r="I376" s="96" t="b">
        <v>0</v>
      </c>
      <c r="J376" s="96" t="b">
        <v>0</v>
      </c>
      <c r="K376" s="96" t="b">
        <v>0</v>
      </c>
      <c r="L376" s="96" t="b">
        <v>0</v>
      </c>
    </row>
    <row r="377" spans="1:12" ht="15">
      <c r="A377" s="97" t="s">
        <v>1000</v>
      </c>
      <c r="B377" s="96" t="s">
        <v>1009</v>
      </c>
      <c r="C377" s="96">
        <v>4</v>
      </c>
      <c r="D377" s="110">
        <v>0.005978769718134898</v>
      </c>
      <c r="E377" s="110">
        <v>1.053718523896858</v>
      </c>
      <c r="F377" s="96" t="s">
        <v>915</v>
      </c>
      <c r="G377" s="96" t="b">
        <v>0</v>
      </c>
      <c r="H377" s="96" t="b">
        <v>0</v>
      </c>
      <c r="I377" s="96" t="b">
        <v>0</v>
      </c>
      <c r="J377" s="96" t="b">
        <v>0</v>
      </c>
      <c r="K377" s="96" t="b">
        <v>0</v>
      </c>
      <c r="L377" s="96" t="b">
        <v>0</v>
      </c>
    </row>
    <row r="378" spans="1:12" ht="15">
      <c r="A378" s="97" t="s">
        <v>1282</v>
      </c>
      <c r="B378" s="96" t="s">
        <v>1266</v>
      </c>
      <c r="C378" s="96">
        <v>4</v>
      </c>
      <c r="D378" s="110">
        <v>0.005978769718134898</v>
      </c>
      <c r="E378" s="110">
        <v>2.0537185238968583</v>
      </c>
      <c r="F378" s="96" t="s">
        <v>915</v>
      </c>
      <c r="G378" s="96" t="b">
        <v>0</v>
      </c>
      <c r="H378" s="96" t="b">
        <v>0</v>
      </c>
      <c r="I378" s="96" t="b">
        <v>0</v>
      </c>
      <c r="J378" s="96" t="b">
        <v>0</v>
      </c>
      <c r="K378" s="96" t="b">
        <v>0</v>
      </c>
      <c r="L378" s="96" t="b">
        <v>0</v>
      </c>
    </row>
    <row r="379" spans="1:12" ht="15">
      <c r="A379" s="97" t="s">
        <v>1263</v>
      </c>
      <c r="B379" s="96" t="s">
        <v>1262</v>
      </c>
      <c r="C379" s="96">
        <v>4</v>
      </c>
      <c r="D379" s="110">
        <v>0.005978769718134898</v>
      </c>
      <c r="E379" s="110">
        <v>2.229809782952539</v>
      </c>
      <c r="F379" s="96" t="s">
        <v>915</v>
      </c>
      <c r="G379" s="96" t="b">
        <v>0</v>
      </c>
      <c r="H379" s="96" t="b">
        <v>0</v>
      </c>
      <c r="I379" s="96" t="b">
        <v>0</v>
      </c>
      <c r="J379" s="96" t="b">
        <v>0</v>
      </c>
      <c r="K379" s="96" t="b">
        <v>0</v>
      </c>
      <c r="L379" s="96" t="b">
        <v>0</v>
      </c>
    </row>
    <row r="380" spans="1:12" ht="15">
      <c r="A380" s="97" t="s">
        <v>1284</v>
      </c>
      <c r="B380" s="96" t="s">
        <v>1285</v>
      </c>
      <c r="C380" s="96">
        <v>4</v>
      </c>
      <c r="D380" s="110">
        <v>0.005978769718134898</v>
      </c>
      <c r="E380" s="110">
        <v>2.229809782952539</v>
      </c>
      <c r="F380" s="96" t="s">
        <v>915</v>
      </c>
      <c r="G380" s="96" t="b">
        <v>0</v>
      </c>
      <c r="H380" s="96" t="b">
        <v>0</v>
      </c>
      <c r="I380" s="96" t="b">
        <v>0</v>
      </c>
      <c r="J380" s="96" t="b">
        <v>0</v>
      </c>
      <c r="K380" s="96" t="b">
        <v>0</v>
      </c>
      <c r="L380" s="96" t="b">
        <v>0</v>
      </c>
    </row>
    <row r="381" spans="1:12" ht="15">
      <c r="A381" s="97" t="s">
        <v>1266</v>
      </c>
      <c r="B381" s="96" t="s">
        <v>1284</v>
      </c>
      <c r="C381" s="96">
        <v>4</v>
      </c>
      <c r="D381" s="110">
        <v>0.005978769718134898</v>
      </c>
      <c r="E381" s="110">
        <v>2.0537185238968583</v>
      </c>
      <c r="F381" s="96" t="s">
        <v>915</v>
      </c>
      <c r="G381" s="96" t="b">
        <v>0</v>
      </c>
      <c r="H381" s="96" t="b">
        <v>0</v>
      </c>
      <c r="I381" s="96" t="b">
        <v>0</v>
      </c>
      <c r="J381" s="96" t="b">
        <v>0</v>
      </c>
      <c r="K381" s="96" t="b">
        <v>0</v>
      </c>
      <c r="L381" s="96" t="b">
        <v>0</v>
      </c>
    </row>
    <row r="382" spans="1:12" ht="15">
      <c r="A382" s="97" t="s">
        <v>1262</v>
      </c>
      <c r="B382" s="96" t="s">
        <v>1264</v>
      </c>
      <c r="C382" s="96">
        <v>4</v>
      </c>
      <c r="D382" s="110">
        <v>0.005978769718134898</v>
      </c>
      <c r="E382" s="110">
        <v>2.229809782952539</v>
      </c>
      <c r="F382" s="96" t="s">
        <v>915</v>
      </c>
      <c r="G382" s="96" t="b">
        <v>0</v>
      </c>
      <c r="H382" s="96" t="b">
        <v>0</v>
      </c>
      <c r="I382" s="96" t="b">
        <v>0</v>
      </c>
      <c r="J382" s="96" t="b">
        <v>0</v>
      </c>
      <c r="K382" s="96" t="b">
        <v>0</v>
      </c>
      <c r="L382" s="96" t="b">
        <v>0</v>
      </c>
    </row>
    <row r="383" spans="1:12" ht="15">
      <c r="A383" s="97" t="s">
        <v>1255</v>
      </c>
      <c r="B383" s="96" t="s">
        <v>1000</v>
      </c>
      <c r="C383" s="96">
        <v>3</v>
      </c>
      <c r="D383" s="110">
        <v>0.004998934719679332</v>
      </c>
      <c r="E383" s="110">
        <v>1.1851393880330783</v>
      </c>
      <c r="F383" s="96" t="s">
        <v>915</v>
      </c>
      <c r="G383" s="96" t="b">
        <v>0</v>
      </c>
      <c r="H383" s="96" t="b">
        <v>0</v>
      </c>
      <c r="I383" s="96" t="b">
        <v>0</v>
      </c>
      <c r="J383" s="96" t="b">
        <v>0</v>
      </c>
      <c r="K383" s="96" t="b">
        <v>0</v>
      </c>
      <c r="L383" s="96" t="b">
        <v>0</v>
      </c>
    </row>
    <row r="384" spans="1:12" ht="15">
      <c r="A384" s="97" t="s">
        <v>1268</v>
      </c>
      <c r="B384" s="96" t="s">
        <v>1258</v>
      </c>
      <c r="C384" s="96">
        <v>3</v>
      </c>
      <c r="D384" s="110">
        <v>0.004998934719679332</v>
      </c>
      <c r="E384" s="110">
        <v>2.229809782952539</v>
      </c>
      <c r="F384" s="96" t="s">
        <v>915</v>
      </c>
      <c r="G384" s="96" t="b">
        <v>0</v>
      </c>
      <c r="H384" s="96" t="b">
        <v>0</v>
      </c>
      <c r="I384" s="96" t="b">
        <v>0</v>
      </c>
      <c r="J384" s="96" t="b">
        <v>0</v>
      </c>
      <c r="K384" s="96" t="b">
        <v>0</v>
      </c>
      <c r="L384" s="96" t="b">
        <v>0</v>
      </c>
    </row>
    <row r="385" spans="1:12" ht="15">
      <c r="A385" s="97" t="s">
        <v>1353</v>
      </c>
      <c r="B385" s="96" t="s">
        <v>1378</v>
      </c>
      <c r="C385" s="96">
        <v>3</v>
      </c>
      <c r="D385" s="110">
        <v>0.004998934719679332</v>
      </c>
      <c r="E385" s="110">
        <v>2.354748519560839</v>
      </c>
      <c r="F385" s="96" t="s">
        <v>915</v>
      </c>
      <c r="G385" s="96" t="b">
        <v>0</v>
      </c>
      <c r="H385" s="96" t="b">
        <v>0</v>
      </c>
      <c r="I385" s="96" t="b">
        <v>0</v>
      </c>
      <c r="J385" s="96" t="b">
        <v>0</v>
      </c>
      <c r="K385" s="96" t="b">
        <v>0</v>
      </c>
      <c r="L385" s="96" t="b">
        <v>0</v>
      </c>
    </row>
    <row r="386" spans="1:12" ht="15">
      <c r="A386" s="97" t="s">
        <v>1270</v>
      </c>
      <c r="B386" s="96" t="s">
        <v>1288</v>
      </c>
      <c r="C386" s="96">
        <v>3</v>
      </c>
      <c r="D386" s="110">
        <v>0.004998934719679332</v>
      </c>
      <c r="E386" s="110">
        <v>2.1048710463442393</v>
      </c>
      <c r="F386" s="96" t="s">
        <v>915</v>
      </c>
      <c r="G386" s="96" t="b">
        <v>0</v>
      </c>
      <c r="H386" s="96" t="b">
        <v>0</v>
      </c>
      <c r="I386" s="96" t="b">
        <v>0</v>
      </c>
      <c r="J386" s="96" t="b">
        <v>0</v>
      </c>
      <c r="K386" s="96" t="b">
        <v>0</v>
      </c>
      <c r="L386" s="96" t="b">
        <v>0</v>
      </c>
    </row>
    <row r="387" spans="1:12" ht="15">
      <c r="A387" s="97" t="s">
        <v>1335</v>
      </c>
      <c r="B387" s="96" t="s">
        <v>1253</v>
      </c>
      <c r="C387" s="96">
        <v>3</v>
      </c>
      <c r="D387" s="110">
        <v>0.004998934719679332</v>
      </c>
      <c r="E387" s="110">
        <v>1.8318697742805017</v>
      </c>
      <c r="F387" s="96" t="s">
        <v>915</v>
      </c>
      <c r="G387" s="96" t="b">
        <v>0</v>
      </c>
      <c r="H387" s="96" t="b">
        <v>0</v>
      </c>
      <c r="I387" s="96" t="b">
        <v>0</v>
      </c>
      <c r="J387" s="96" t="b">
        <v>0</v>
      </c>
      <c r="K387" s="96" t="b">
        <v>0</v>
      </c>
      <c r="L387" s="96" t="b">
        <v>0</v>
      </c>
    </row>
    <row r="388" spans="1:12" ht="15">
      <c r="A388" s="97" t="s">
        <v>1336</v>
      </c>
      <c r="B388" s="96" t="s">
        <v>1348</v>
      </c>
      <c r="C388" s="96">
        <v>3</v>
      </c>
      <c r="D388" s="110">
        <v>0.004998934719679332</v>
      </c>
      <c r="E388" s="110">
        <v>2.354748519560839</v>
      </c>
      <c r="F388" s="96" t="s">
        <v>915</v>
      </c>
      <c r="G388" s="96" t="b">
        <v>0</v>
      </c>
      <c r="H388" s="96" t="b">
        <v>0</v>
      </c>
      <c r="I388" s="96" t="b">
        <v>0</v>
      </c>
      <c r="J388" s="96" t="b">
        <v>0</v>
      </c>
      <c r="K388" s="96" t="b">
        <v>0</v>
      </c>
      <c r="L388" s="96" t="b">
        <v>0</v>
      </c>
    </row>
    <row r="389" spans="1:12" ht="15">
      <c r="A389" s="97" t="s">
        <v>1259</v>
      </c>
      <c r="B389" s="96" t="s">
        <v>1283</v>
      </c>
      <c r="C389" s="96">
        <v>3</v>
      </c>
      <c r="D389" s="110">
        <v>0.004998934719679332</v>
      </c>
      <c r="E389" s="110">
        <v>2.007961033336183</v>
      </c>
      <c r="F389" s="96" t="s">
        <v>915</v>
      </c>
      <c r="G389" s="96" t="b">
        <v>0</v>
      </c>
      <c r="H389" s="96" t="b">
        <v>0</v>
      </c>
      <c r="I389" s="96" t="b">
        <v>0</v>
      </c>
      <c r="J389" s="96" t="b">
        <v>0</v>
      </c>
      <c r="K389" s="96" t="b">
        <v>0</v>
      </c>
      <c r="L389" s="96" t="b">
        <v>0</v>
      </c>
    </row>
    <row r="390" spans="1:12" ht="15">
      <c r="A390" s="97" t="s">
        <v>1271</v>
      </c>
      <c r="B390" s="96" t="s">
        <v>1272</v>
      </c>
      <c r="C390" s="96">
        <v>3</v>
      </c>
      <c r="D390" s="110">
        <v>0.004998934719679332</v>
      </c>
      <c r="E390" s="110">
        <v>2.354748519560839</v>
      </c>
      <c r="F390" s="96" t="s">
        <v>915</v>
      </c>
      <c r="G390" s="96" t="b">
        <v>0</v>
      </c>
      <c r="H390" s="96" t="b">
        <v>0</v>
      </c>
      <c r="I390" s="96" t="b">
        <v>0</v>
      </c>
      <c r="J390" s="96" t="b">
        <v>0</v>
      </c>
      <c r="K390" s="96" t="b">
        <v>0</v>
      </c>
      <c r="L390" s="96" t="b">
        <v>0</v>
      </c>
    </row>
    <row r="391" spans="1:12" ht="15">
      <c r="A391" s="97" t="s">
        <v>1324</v>
      </c>
      <c r="B391" s="96" t="s">
        <v>1270</v>
      </c>
      <c r="C391" s="96">
        <v>3</v>
      </c>
      <c r="D391" s="110">
        <v>0.004998934719679332</v>
      </c>
      <c r="E391" s="110">
        <v>2.229809782952539</v>
      </c>
      <c r="F391" s="96" t="s">
        <v>915</v>
      </c>
      <c r="G391" s="96" t="b">
        <v>0</v>
      </c>
      <c r="H391" s="96" t="b">
        <v>0</v>
      </c>
      <c r="I391" s="96" t="b">
        <v>0</v>
      </c>
      <c r="J391" s="96" t="b">
        <v>0</v>
      </c>
      <c r="K391" s="96" t="b">
        <v>0</v>
      </c>
      <c r="L391" s="96" t="b">
        <v>0</v>
      </c>
    </row>
    <row r="392" spans="1:12" ht="15">
      <c r="A392" s="97" t="s">
        <v>1334</v>
      </c>
      <c r="B392" s="96" t="s">
        <v>1344</v>
      </c>
      <c r="C392" s="96">
        <v>3</v>
      </c>
      <c r="D392" s="110">
        <v>0.004998934719679332</v>
      </c>
      <c r="E392" s="110">
        <v>2.354748519560839</v>
      </c>
      <c r="F392" s="96" t="s">
        <v>915</v>
      </c>
      <c r="G392" s="96" t="b">
        <v>0</v>
      </c>
      <c r="H392" s="96" t="b">
        <v>0</v>
      </c>
      <c r="I392" s="96" t="b">
        <v>0</v>
      </c>
      <c r="J392" s="96" t="b">
        <v>0</v>
      </c>
      <c r="K392" s="96" t="b">
        <v>0</v>
      </c>
      <c r="L392" s="96" t="b">
        <v>0</v>
      </c>
    </row>
    <row r="393" spans="1:12" ht="15">
      <c r="A393" s="97" t="s">
        <v>1311</v>
      </c>
      <c r="B393" s="96" t="s">
        <v>1327</v>
      </c>
      <c r="C393" s="96">
        <v>3</v>
      </c>
      <c r="D393" s="110">
        <v>0.004998934719679332</v>
      </c>
      <c r="E393" s="110">
        <v>2.354748519560839</v>
      </c>
      <c r="F393" s="96" t="s">
        <v>915</v>
      </c>
      <c r="G393" s="96" t="b">
        <v>0</v>
      </c>
      <c r="H393" s="96" t="b">
        <v>0</v>
      </c>
      <c r="I393" s="96" t="b">
        <v>0</v>
      </c>
      <c r="J393" s="96" t="b">
        <v>0</v>
      </c>
      <c r="K393" s="96" t="b">
        <v>0</v>
      </c>
      <c r="L393" s="96" t="b">
        <v>0</v>
      </c>
    </row>
    <row r="394" spans="1:12" ht="15">
      <c r="A394" s="97" t="s">
        <v>1327</v>
      </c>
      <c r="B394" s="96" t="s">
        <v>1325</v>
      </c>
      <c r="C394" s="96">
        <v>3</v>
      </c>
      <c r="D394" s="110">
        <v>0.004998934719679332</v>
      </c>
      <c r="E394" s="110">
        <v>2.354748519560839</v>
      </c>
      <c r="F394" s="96" t="s">
        <v>915</v>
      </c>
      <c r="G394" s="96" t="b">
        <v>0</v>
      </c>
      <c r="H394" s="96" t="b">
        <v>0</v>
      </c>
      <c r="I394" s="96" t="b">
        <v>0</v>
      </c>
      <c r="J394" s="96" t="b">
        <v>0</v>
      </c>
      <c r="K394" s="96" t="b">
        <v>0</v>
      </c>
      <c r="L394" s="96" t="b">
        <v>0</v>
      </c>
    </row>
    <row r="395" spans="1:12" ht="15">
      <c r="A395" s="97" t="s">
        <v>1310</v>
      </c>
      <c r="B395" s="96" t="s">
        <v>1260</v>
      </c>
      <c r="C395" s="96">
        <v>3</v>
      </c>
      <c r="D395" s="110">
        <v>0.004998934719679332</v>
      </c>
      <c r="E395" s="110">
        <v>2.132899769944483</v>
      </c>
      <c r="F395" s="96" t="s">
        <v>915</v>
      </c>
      <c r="G395" s="96" t="b">
        <v>0</v>
      </c>
      <c r="H395" s="96" t="b">
        <v>0</v>
      </c>
      <c r="I395" s="96" t="b">
        <v>0</v>
      </c>
      <c r="J395" s="96" t="b">
        <v>0</v>
      </c>
      <c r="K395" s="96" t="b">
        <v>0</v>
      </c>
      <c r="L395" s="96" t="b">
        <v>0</v>
      </c>
    </row>
    <row r="396" spans="1:12" ht="15">
      <c r="A396" s="97" t="s">
        <v>1010</v>
      </c>
      <c r="B396" s="96" t="s">
        <v>1005</v>
      </c>
      <c r="C396" s="96">
        <v>3</v>
      </c>
      <c r="D396" s="110">
        <v>0.004998934719679332</v>
      </c>
      <c r="E396" s="110">
        <v>1.3847117429382825</v>
      </c>
      <c r="F396" s="96" t="s">
        <v>915</v>
      </c>
      <c r="G396" s="96" t="b">
        <v>0</v>
      </c>
      <c r="H396" s="96" t="b">
        <v>0</v>
      </c>
      <c r="I396" s="96" t="b">
        <v>0</v>
      </c>
      <c r="J396" s="96" t="b">
        <v>0</v>
      </c>
      <c r="K396" s="96" t="b">
        <v>0</v>
      </c>
      <c r="L396" s="96" t="b">
        <v>0</v>
      </c>
    </row>
    <row r="397" spans="1:12" ht="15">
      <c r="A397" s="97" t="s">
        <v>1265</v>
      </c>
      <c r="B397" s="96" t="s">
        <v>1279</v>
      </c>
      <c r="C397" s="96">
        <v>3</v>
      </c>
      <c r="D397" s="110">
        <v>0.004998934719679332</v>
      </c>
      <c r="E397" s="110">
        <v>2.354748519560839</v>
      </c>
      <c r="F397" s="96" t="s">
        <v>915</v>
      </c>
      <c r="G397" s="96" t="b">
        <v>0</v>
      </c>
      <c r="H397" s="96" t="b">
        <v>0</v>
      </c>
      <c r="I397" s="96" t="b">
        <v>0</v>
      </c>
      <c r="J397" s="96" t="b">
        <v>0</v>
      </c>
      <c r="K397" s="96" t="b">
        <v>0</v>
      </c>
      <c r="L397" s="96" t="b">
        <v>0</v>
      </c>
    </row>
    <row r="398" spans="1:12" ht="15">
      <c r="A398" s="97" t="s">
        <v>1002</v>
      </c>
      <c r="B398" s="96" t="s">
        <v>1301</v>
      </c>
      <c r="C398" s="96">
        <v>3</v>
      </c>
      <c r="D398" s="110">
        <v>0.004998934719679332</v>
      </c>
      <c r="E398" s="110">
        <v>1.287801729930226</v>
      </c>
      <c r="F398" s="96" t="s">
        <v>915</v>
      </c>
      <c r="G398" s="96" t="b">
        <v>0</v>
      </c>
      <c r="H398" s="96" t="b">
        <v>0</v>
      </c>
      <c r="I398" s="96" t="b">
        <v>0</v>
      </c>
      <c r="J398" s="96" t="b">
        <v>0</v>
      </c>
      <c r="K398" s="96" t="b">
        <v>0</v>
      </c>
      <c r="L398" s="96" t="b">
        <v>0</v>
      </c>
    </row>
    <row r="399" spans="1:12" ht="15">
      <c r="A399" s="97" t="s">
        <v>1325</v>
      </c>
      <c r="B399" s="96" t="s">
        <v>1297</v>
      </c>
      <c r="C399" s="96">
        <v>3</v>
      </c>
      <c r="D399" s="110">
        <v>0.004998934719679332</v>
      </c>
      <c r="E399" s="110">
        <v>2.354748519560839</v>
      </c>
      <c r="F399" s="96" t="s">
        <v>915</v>
      </c>
      <c r="G399" s="96" t="b">
        <v>0</v>
      </c>
      <c r="H399" s="96" t="b">
        <v>0</v>
      </c>
      <c r="I399" s="96" t="b">
        <v>0</v>
      </c>
      <c r="J399" s="96" t="b">
        <v>0</v>
      </c>
      <c r="K399" s="96" t="b">
        <v>0</v>
      </c>
      <c r="L399" s="96" t="b">
        <v>0</v>
      </c>
    </row>
    <row r="400" spans="1:12" ht="15">
      <c r="A400" s="97" t="s">
        <v>1344</v>
      </c>
      <c r="B400" s="96" t="s">
        <v>1347</v>
      </c>
      <c r="C400" s="96">
        <v>3</v>
      </c>
      <c r="D400" s="110">
        <v>0.004998934719679332</v>
      </c>
      <c r="E400" s="110">
        <v>2.354748519560839</v>
      </c>
      <c r="F400" s="96" t="s">
        <v>915</v>
      </c>
      <c r="G400" s="96" t="b">
        <v>0</v>
      </c>
      <c r="H400" s="96" t="b">
        <v>0</v>
      </c>
      <c r="I400" s="96" t="b">
        <v>0</v>
      </c>
      <c r="J400" s="96" t="b">
        <v>0</v>
      </c>
      <c r="K400" s="96" t="b">
        <v>0</v>
      </c>
      <c r="L400" s="96" t="b">
        <v>0</v>
      </c>
    </row>
    <row r="401" spans="1:12" ht="15">
      <c r="A401" s="97" t="s">
        <v>875</v>
      </c>
      <c r="B401" s="96" t="s">
        <v>1328</v>
      </c>
      <c r="C401" s="96">
        <v>3</v>
      </c>
      <c r="D401" s="110">
        <v>0.004998934719679332</v>
      </c>
      <c r="E401" s="110">
        <v>1.6014208529022278</v>
      </c>
      <c r="F401" s="96" t="s">
        <v>915</v>
      </c>
      <c r="G401" s="96" t="b">
        <v>0</v>
      </c>
      <c r="H401" s="96" t="b">
        <v>0</v>
      </c>
      <c r="I401" s="96" t="b">
        <v>0</v>
      </c>
      <c r="J401" s="96" t="b">
        <v>0</v>
      </c>
      <c r="K401" s="96" t="b">
        <v>0</v>
      </c>
      <c r="L401" s="96" t="b">
        <v>0</v>
      </c>
    </row>
    <row r="402" spans="1:12" ht="15">
      <c r="A402" s="97" t="s">
        <v>1313</v>
      </c>
      <c r="B402" s="96" t="s">
        <v>1305</v>
      </c>
      <c r="C402" s="96">
        <v>3</v>
      </c>
      <c r="D402" s="110">
        <v>0.004998934719679332</v>
      </c>
      <c r="E402" s="110">
        <v>2.354748519560839</v>
      </c>
      <c r="F402" s="96" t="s">
        <v>915</v>
      </c>
      <c r="G402" s="96" t="b">
        <v>0</v>
      </c>
      <c r="H402" s="96" t="b">
        <v>0</v>
      </c>
      <c r="I402" s="96" t="b">
        <v>0</v>
      </c>
      <c r="J402" s="96" t="b">
        <v>0</v>
      </c>
      <c r="K402" s="96" t="b">
        <v>0</v>
      </c>
      <c r="L402" s="96" t="b">
        <v>0</v>
      </c>
    </row>
    <row r="403" spans="1:12" ht="15">
      <c r="A403" s="97" t="s">
        <v>1279</v>
      </c>
      <c r="B403" s="96" t="s">
        <v>1269</v>
      </c>
      <c r="C403" s="96">
        <v>3</v>
      </c>
      <c r="D403" s="110">
        <v>0.004998934719679332</v>
      </c>
      <c r="E403" s="110">
        <v>2.354748519560839</v>
      </c>
      <c r="F403" s="96" t="s">
        <v>915</v>
      </c>
      <c r="G403" s="96" t="b">
        <v>0</v>
      </c>
      <c r="H403" s="96" t="b">
        <v>0</v>
      </c>
      <c r="I403" s="96" t="b">
        <v>0</v>
      </c>
      <c r="J403" s="96" t="b">
        <v>0</v>
      </c>
      <c r="K403" s="96" t="b">
        <v>0</v>
      </c>
      <c r="L403" s="96" t="b">
        <v>0</v>
      </c>
    </row>
    <row r="404" spans="1:12" ht="15">
      <c r="A404" s="97" t="s">
        <v>1345</v>
      </c>
      <c r="B404" s="96" t="s">
        <v>1253</v>
      </c>
      <c r="C404" s="96">
        <v>3</v>
      </c>
      <c r="D404" s="110">
        <v>0.004998934719679332</v>
      </c>
      <c r="E404" s="110">
        <v>1.8318697742805017</v>
      </c>
      <c r="F404" s="96" t="s">
        <v>915</v>
      </c>
      <c r="G404" s="96" t="b">
        <v>0</v>
      </c>
      <c r="H404" s="96" t="b">
        <v>0</v>
      </c>
      <c r="I404" s="96" t="b">
        <v>0</v>
      </c>
      <c r="J404" s="96" t="b">
        <v>0</v>
      </c>
      <c r="K404" s="96" t="b">
        <v>0</v>
      </c>
      <c r="L404" s="96" t="b">
        <v>0</v>
      </c>
    </row>
    <row r="405" spans="1:12" ht="15">
      <c r="A405" s="97" t="s">
        <v>1258</v>
      </c>
      <c r="B405" s="96" t="s">
        <v>1267</v>
      </c>
      <c r="C405" s="96">
        <v>3</v>
      </c>
      <c r="D405" s="110">
        <v>0.004998934719679332</v>
      </c>
      <c r="E405" s="110">
        <v>2.229809782952539</v>
      </c>
      <c r="F405" s="96" t="s">
        <v>915</v>
      </c>
      <c r="G405" s="96" t="b">
        <v>0</v>
      </c>
      <c r="H405" s="96" t="b">
        <v>0</v>
      </c>
      <c r="I405" s="96" t="b">
        <v>0</v>
      </c>
      <c r="J405" s="96" t="b">
        <v>0</v>
      </c>
      <c r="K405" s="96" t="b">
        <v>0</v>
      </c>
      <c r="L405" s="96" t="b">
        <v>0</v>
      </c>
    </row>
    <row r="406" spans="1:12" ht="15">
      <c r="A406" s="97" t="s">
        <v>1257</v>
      </c>
      <c r="B406" s="96" t="s">
        <v>1335</v>
      </c>
      <c r="C406" s="96">
        <v>3</v>
      </c>
      <c r="D406" s="110">
        <v>0.004998934719679332</v>
      </c>
      <c r="E406" s="110">
        <v>2.0537185238968583</v>
      </c>
      <c r="F406" s="96" t="s">
        <v>915</v>
      </c>
      <c r="G406" s="96" t="b">
        <v>0</v>
      </c>
      <c r="H406" s="96" t="b">
        <v>0</v>
      </c>
      <c r="I406" s="96" t="b">
        <v>0</v>
      </c>
      <c r="J406" s="96" t="b">
        <v>0</v>
      </c>
      <c r="K406" s="96" t="b">
        <v>0</v>
      </c>
      <c r="L406" s="96" t="b">
        <v>0</v>
      </c>
    </row>
    <row r="407" spans="1:12" ht="15">
      <c r="A407" s="97" t="s">
        <v>1276</v>
      </c>
      <c r="B407" s="96" t="s">
        <v>1277</v>
      </c>
      <c r="C407" s="96">
        <v>3</v>
      </c>
      <c r="D407" s="110">
        <v>0.004998934719679332</v>
      </c>
      <c r="E407" s="110">
        <v>2.354748519560839</v>
      </c>
      <c r="F407" s="96" t="s">
        <v>915</v>
      </c>
      <c r="G407" s="96" t="b">
        <v>0</v>
      </c>
      <c r="H407" s="96" t="b">
        <v>0</v>
      </c>
      <c r="I407" s="96" t="b">
        <v>0</v>
      </c>
      <c r="J407" s="96" t="b">
        <v>0</v>
      </c>
      <c r="K407" s="96" t="b">
        <v>0</v>
      </c>
      <c r="L407" s="96" t="b">
        <v>0</v>
      </c>
    </row>
    <row r="408" spans="1:12" ht="15">
      <c r="A408" s="97" t="s">
        <v>1323</v>
      </c>
      <c r="B408" s="96" t="s">
        <v>1311</v>
      </c>
      <c r="C408" s="96">
        <v>3</v>
      </c>
      <c r="D408" s="110">
        <v>0.004998934719679332</v>
      </c>
      <c r="E408" s="110">
        <v>2.354748519560839</v>
      </c>
      <c r="F408" s="96" t="s">
        <v>915</v>
      </c>
      <c r="G408" s="96" t="b">
        <v>0</v>
      </c>
      <c r="H408" s="96" t="b">
        <v>0</v>
      </c>
      <c r="I408" s="96" t="b">
        <v>0</v>
      </c>
      <c r="J408" s="96" t="b">
        <v>0</v>
      </c>
      <c r="K408" s="96" t="b">
        <v>0</v>
      </c>
      <c r="L408" s="96" t="b">
        <v>0</v>
      </c>
    </row>
    <row r="409" spans="1:12" ht="15">
      <c r="A409" s="97" t="s">
        <v>1303</v>
      </c>
      <c r="B409" s="96" t="s">
        <v>1321</v>
      </c>
      <c r="C409" s="96">
        <v>3</v>
      </c>
      <c r="D409" s="110">
        <v>0.004998934719679332</v>
      </c>
      <c r="E409" s="110">
        <v>2.354748519560839</v>
      </c>
      <c r="F409" s="96" t="s">
        <v>915</v>
      </c>
      <c r="G409" s="96" t="b">
        <v>0</v>
      </c>
      <c r="H409" s="96" t="b">
        <v>0</v>
      </c>
      <c r="I409" s="96" t="b">
        <v>0</v>
      </c>
      <c r="J409" s="96" t="b">
        <v>0</v>
      </c>
      <c r="K409" s="96" t="b">
        <v>0</v>
      </c>
      <c r="L409" s="96" t="b">
        <v>0</v>
      </c>
    </row>
    <row r="410" spans="1:12" ht="15">
      <c r="A410" s="97" t="s">
        <v>1285</v>
      </c>
      <c r="B410" s="96" t="s">
        <v>1336</v>
      </c>
      <c r="C410" s="96">
        <v>3</v>
      </c>
      <c r="D410" s="110">
        <v>0.004998934719679332</v>
      </c>
      <c r="E410" s="110">
        <v>2.229809782952539</v>
      </c>
      <c r="F410" s="96" t="s">
        <v>915</v>
      </c>
      <c r="G410" s="96" t="b">
        <v>0</v>
      </c>
      <c r="H410" s="96" t="b">
        <v>0</v>
      </c>
      <c r="I410" s="96" t="b">
        <v>0</v>
      </c>
      <c r="J410" s="96" t="b">
        <v>0</v>
      </c>
      <c r="K410" s="96" t="b">
        <v>0</v>
      </c>
      <c r="L410" s="96" t="b">
        <v>0</v>
      </c>
    </row>
    <row r="411" spans="1:12" ht="15">
      <c r="A411" s="97" t="s">
        <v>1005</v>
      </c>
      <c r="B411" s="96" t="s">
        <v>1263</v>
      </c>
      <c r="C411" s="96">
        <v>3</v>
      </c>
      <c r="D411" s="110">
        <v>0.004998934719679332</v>
      </c>
      <c r="E411" s="110">
        <v>1.8038410506802582</v>
      </c>
      <c r="F411" s="96" t="s">
        <v>915</v>
      </c>
      <c r="G411" s="96" t="b">
        <v>0</v>
      </c>
      <c r="H411" s="96" t="b">
        <v>0</v>
      </c>
      <c r="I411" s="96" t="b">
        <v>0</v>
      </c>
      <c r="J411" s="96" t="b">
        <v>0</v>
      </c>
      <c r="K411" s="96" t="b">
        <v>0</v>
      </c>
      <c r="L411" s="96" t="b">
        <v>0</v>
      </c>
    </row>
    <row r="412" spans="1:12" ht="15">
      <c r="A412" s="97" t="s">
        <v>1306</v>
      </c>
      <c r="B412" s="96" t="s">
        <v>1314</v>
      </c>
      <c r="C412" s="96">
        <v>3</v>
      </c>
      <c r="D412" s="110">
        <v>0.004998934719679332</v>
      </c>
      <c r="E412" s="110">
        <v>2.354748519560839</v>
      </c>
      <c r="F412" s="96" t="s">
        <v>915</v>
      </c>
      <c r="G412" s="96" t="b">
        <v>0</v>
      </c>
      <c r="H412" s="96" t="b">
        <v>0</v>
      </c>
      <c r="I412" s="96" t="b">
        <v>0</v>
      </c>
      <c r="J412" s="96" t="b">
        <v>0</v>
      </c>
      <c r="K412" s="96" t="b">
        <v>0</v>
      </c>
      <c r="L412" s="96" t="b">
        <v>0</v>
      </c>
    </row>
    <row r="413" spans="1:12" ht="15">
      <c r="A413" s="97" t="s">
        <v>1348</v>
      </c>
      <c r="B413" s="96" t="s">
        <v>1334</v>
      </c>
      <c r="C413" s="96">
        <v>3</v>
      </c>
      <c r="D413" s="110">
        <v>0.004998934719679332</v>
      </c>
      <c r="E413" s="110">
        <v>2.354748519560839</v>
      </c>
      <c r="F413" s="96" t="s">
        <v>915</v>
      </c>
      <c r="G413" s="96" t="b">
        <v>0</v>
      </c>
      <c r="H413" s="96" t="b">
        <v>0</v>
      </c>
      <c r="I413" s="96" t="b">
        <v>0</v>
      </c>
      <c r="J413" s="96" t="b">
        <v>0</v>
      </c>
      <c r="K413" s="96" t="b">
        <v>0</v>
      </c>
      <c r="L413" s="96" t="b">
        <v>0</v>
      </c>
    </row>
    <row r="414" spans="1:12" ht="15">
      <c r="A414" s="97" t="s">
        <v>1305</v>
      </c>
      <c r="B414" s="96" t="s">
        <v>1303</v>
      </c>
      <c r="C414" s="96">
        <v>3</v>
      </c>
      <c r="D414" s="110">
        <v>0.004998934719679332</v>
      </c>
      <c r="E414" s="110">
        <v>2.354748519560839</v>
      </c>
      <c r="F414" s="96" t="s">
        <v>915</v>
      </c>
      <c r="G414" s="96" t="b">
        <v>0</v>
      </c>
      <c r="H414" s="96" t="b">
        <v>0</v>
      </c>
      <c r="I414" s="96" t="b">
        <v>0</v>
      </c>
      <c r="J414" s="96" t="b">
        <v>0</v>
      </c>
      <c r="K414" s="96" t="b">
        <v>0</v>
      </c>
      <c r="L414" s="96" t="b">
        <v>0</v>
      </c>
    </row>
    <row r="415" spans="1:12" ht="15">
      <c r="A415" s="97" t="s">
        <v>1299</v>
      </c>
      <c r="B415" s="96" t="s">
        <v>1252</v>
      </c>
      <c r="C415" s="96">
        <v>3</v>
      </c>
      <c r="D415" s="110">
        <v>0.004998934719679332</v>
      </c>
      <c r="E415" s="110">
        <v>1.5308397786165204</v>
      </c>
      <c r="F415" s="96" t="s">
        <v>915</v>
      </c>
      <c r="G415" s="96" t="b">
        <v>0</v>
      </c>
      <c r="H415" s="96" t="b">
        <v>0</v>
      </c>
      <c r="I415" s="96" t="b">
        <v>0</v>
      </c>
      <c r="J415" s="96" t="b">
        <v>0</v>
      </c>
      <c r="K415" s="96" t="b">
        <v>0</v>
      </c>
      <c r="L415" s="96" t="b">
        <v>0</v>
      </c>
    </row>
    <row r="416" spans="1:12" ht="15">
      <c r="A416" s="97" t="s">
        <v>1269</v>
      </c>
      <c r="B416" s="96" t="s">
        <v>1271</v>
      </c>
      <c r="C416" s="96">
        <v>3</v>
      </c>
      <c r="D416" s="110">
        <v>0.004998934719679332</v>
      </c>
      <c r="E416" s="110">
        <v>2.354748519560839</v>
      </c>
      <c r="F416" s="96" t="s">
        <v>915</v>
      </c>
      <c r="G416" s="96" t="b">
        <v>0</v>
      </c>
      <c r="H416" s="96" t="b">
        <v>0</v>
      </c>
      <c r="I416" s="96" t="b">
        <v>0</v>
      </c>
      <c r="J416" s="96" t="b">
        <v>0</v>
      </c>
      <c r="K416" s="96" t="b">
        <v>0</v>
      </c>
      <c r="L416" s="96" t="b">
        <v>0</v>
      </c>
    </row>
    <row r="417" spans="1:12" ht="15">
      <c r="A417" s="97" t="s">
        <v>1267</v>
      </c>
      <c r="B417" s="96" t="s">
        <v>1276</v>
      </c>
      <c r="C417" s="96">
        <v>3</v>
      </c>
      <c r="D417" s="110">
        <v>0.004998934719679332</v>
      </c>
      <c r="E417" s="110">
        <v>2.354748519560839</v>
      </c>
      <c r="F417" s="96" t="s">
        <v>915</v>
      </c>
      <c r="G417" s="96" t="b">
        <v>0</v>
      </c>
      <c r="H417" s="96" t="b">
        <v>0</v>
      </c>
      <c r="I417" s="96" t="b">
        <v>0</v>
      </c>
      <c r="J417" s="96" t="b">
        <v>0</v>
      </c>
      <c r="K417" s="96" t="b">
        <v>0</v>
      </c>
      <c r="L417" s="96" t="b">
        <v>0</v>
      </c>
    </row>
    <row r="418" spans="1:12" ht="15">
      <c r="A418" s="97" t="s">
        <v>1328</v>
      </c>
      <c r="B418" s="96" t="s">
        <v>1287</v>
      </c>
      <c r="C418" s="96">
        <v>3</v>
      </c>
      <c r="D418" s="110">
        <v>0.004998934719679332</v>
      </c>
      <c r="E418" s="110">
        <v>2.229809782952539</v>
      </c>
      <c r="F418" s="96" t="s">
        <v>915</v>
      </c>
      <c r="G418" s="96" t="b">
        <v>0</v>
      </c>
      <c r="H418" s="96" t="b">
        <v>0</v>
      </c>
      <c r="I418" s="96" t="b">
        <v>0</v>
      </c>
      <c r="J418" s="96" t="b">
        <v>0</v>
      </c>
      <c r="K418" s="96" t="b">
        <v>0</v>
      </c>
      <c r="L418" s="96" t="b">
        <v>0</v>
      </c>
    </row>
    <row r="419" spans="1:12" ht="15">
      <c r="A419" s="97" t="s">
        <v>1002</v>
      </c>
      <c r="B419" s="96" t="s">
        <v>1265</v>
      </c>
      <c r="C419" s="96">
        <v>3</v>
      </c>
      <c r="D419" s="110">
        <v>0.004998934719679332</v>
      </c>
      <c r="E419" s="110">
        <v>1.5096504795465824</v>
      </c>
      <c r="F419" s="96" t="s">
        <v>915</v>
      </c>
      <c r="G419" s="96" t="b">
        <v>0</v>
      </c>
      <c r="H419" s="96" t="b">
        <v>0</v>
      </c>
      <c r="I419" s="96" t="b">
        <v>0</v>
      </c>
      <c r="J419" s="96" t="b">
        <v>0</v>
      </c>
      <c r="K419" s="96" t="b">
        <v>0</v>
      </c>
      <c r="L419" s="96" t="b">
        <v>0</v>
      </c>
    </row>
    <row r="420" spans="1:12" ht="15">
      <c r="A420" s="97" t="s">
        <v>1288</v>
      </c>
      <c r="B420" s="96" t="s">
        <v>875</v>
      </c>
      <c r="C420" s="96">
        <v>3</v>
      </c>
      <c r="D420" s="110">
        <v>0.004998934719679332</v>
      </c>
      <c r="E420" s="110">
        <v>1.502811055016277</v>
      </c>
      <c r="F420" s="96" t="s">
        <v>915</v>
      </c>
      <c r="G420" s="96" t="b">
        <v>0</v>
      </c>
      <c r="H420" s="96" t="b">
        <v>0</v>
      </c>
      <c r="I420" s="96" t="b">
        <v>0</v>
      </c>
      <c r="J420" s="96" t="b">
        <v>0</v>
      </c>
      <c r="K420" s="96" t="b">
        <v>0</v>
      </c>
      <c r="L420" s="96" t="b">
        <v>0</v>
      </c>
    </row>
    <row r="421" spans="1:12" ht="15">
      <c r="A421" s="97" t="s">
        <v>1272</v>
      </c>
      <c r="B421" s="96" t="s">
        <v>1268</v>
      </c>
      <c r="C421" s="96">
        <v>3</v>
      </c>
      <c r="D421" s="110">
        <v>0.004998934719679332</v>
      </c>
      <c r="E421" s="110">
        <v>2.354748519560839</v>
      </c>
      <c r="F421" s="96" t="s">
        <v>915</v>
      </c>
      <c r="G421" s="96" t="b">
        <v>0</v>
      </c>
      <c r="H421" s="96" t="b">
        <v>0</v>
      </c>
      <c r="I421" s="96" t="b">
        <v>0</v>
      </c>
      <c r="J421" s="96" t="b">
        <v>0</v>
      </c>
      <c r="K421" s="96" t="b">
        <v>0</v>
      </c>
      <c r="L421" s="96" t="b">
        <v>0</v>
      </c>
    </row>
    <row r="422" spans="1:12" ht="15">
      <c r="A422" s="97" t="s">
        <v>1000</v>
      </c>
      <c r="B422" s="96" t="s">
        <v>1256</v>
      </c>
      <c r="C422" s="96">
        <v>3</v>
      </c>
      <c r="D422" s="110">
        <v>0.004998934719679332</v>
      </c>
      <c r="E422" s="110">
        <v>0.8495985412409333</v>
      </c>
      <c r="F422" s="96" t="s">
        <v>915</v>
      </c>
      <c r="G422" s="96" t="b">
        <v>0</v>
      </c>
      <c r="H422" s="96" t="b">
        <v>0</v>
      </c>
      <c r="I422" s="96" t="b">
        <v>0</v>
      </c>
      <c r="J422" s="96" t="b">
        <v>0</v>
      </c>
      <c r="K422" s="96" t="b">
        <v>0</v>
      </c>
      <c r="L422" s="96" t="b">
        <v>0</v>
      </c>
    </row>
    <row r="423" spans="1:12" ht="15">
      <c r="A423" s="97" t="s">
        <v>1287</v>
      </c>
      <c r="B423" s="96" t="s">
        <v>1323</v>
      </c>
      <c r="C423" s="96">
        <v>3</v>
      </c>
      <c r="D423" s="110">
        <v>0.004998934719679332</v>
      </c>
      <c r="E423" s="110">
        <v>2.229809782952539</v>
      </c>
      <c r="F423" s="96" t="s">
        <v>915</v>
      </c>
      <c r="G423" s="96" t="b">
        <v>0</v>
      </c>
      <c r="H423" s="96" t="b">
        <v>0</v>
      </c>
      <c r="I423" s="96" t="b">
        <v>0</v>
      </c>
      <c r="J423" s="96" t="b">
        <v>0</v>
      </c>
      <c r="K423" s="96" t="b">
        <v>0</v>
      </c>
      <c r="L423" s="96" t="b">
        <v>0</v>
      </c>
    </row>
    <row r="424" spans="1:12" ht="15">
      <c r="A424" s="97" t="s">
        <v>1321</v>
      </c>
      <c r="B424" s="96" t="s">
        <v>1324</v>
      </c>
      <c r="C424" s="96">
        <v>3</v>
      </c>
      <c r="D424" s="110">
        <v>0.004998934719679332</v>
      </c>
      <c r="E424" s="110">
        <v>2.354748519560839</v>
      </c>
      <c r="F424" s="96" t="s">
        <v>915</v>
      </c>
      <c r="G424" s="96" t="b">
        <v>0</v>
      </c>
      <c r="H424" s="96" t="b">
        <v>0</v>
      </c>
      <c r="I424" s="96" t="b">
        <v>0</v>
      </c>
      <c r="J424" s="96" t="b">
        <v>0</v>
      </c>
      <c r="K424" s="96" t="b">
        <v>0</v>
      </c>
      <c r="L424" s="96" t="b">
        <v>0</v>
      </c>
    </row>
    <row r="425" spans="1:12" ht="15">
      <c r="A425" s="97" t="s">
        <v>1256</v>
      </c>
      <c r="B425" s="96" t="s">
        <v>1345</v>
      </c>
      <c r="C425" s="96">
        <v>3</v>
      </c>
      <c r="D425" s="110">
        <v>0.004998934719679332</v>
      </c>
      <c r="E425" s="110">
        <v>2.0537185238968583</v>
      </c>
      <c r="F425" s="96" t="s">
        <v>915</v>
      </c>
      <c r="G425" s="96" t="b">
        <v>0</v>
      </c>
      <c r="H425" s="96" t="b">
        <v>0</v>
      </c>
      <c r="I425" s="96" t="b">
        <v>0</v>
      </c>
      <c r="J425" s="96" t="b">
        <v>0</v>
      </c>
      <c r="K425" s="96" t="b">
        <v>0</v>
      </c>
      <c r="L425" s="96" t="b">
        <v>0</v>
      </c>
    </row>
    <row r="426" spans="1:12" ht="15">
      <c r="A426" s="97" t="s">
        <v>1314</v>
      </c>
      <c r="B426" s="96" t="s">
        <v>1313</v>
      </c>
      <c r="C426" s="96">
        <v>3</v>
      </c>
      <c r="D426" s="110">
        <v>0.004998934719679332</v>
      </c>
      <c r="E426" s="110">
        <v>2.354748519560839</v>
      </c>
      <c r="F426" s="96" t="s">
        <v>915</v>
      </c>
      <c r="G426" s="96" t="b">
        <v>0</v>
      </c>
      <c r="H426" s="96" t="b">
        <v>0</v>
      </c>
      <c r="I426" s="96" t="b">
        <v>0</v>
      </c>
      <c r="J426" s="96" t="b">
        <v>0</v>
      </c>
      <c r="K426" s="96" t="b">
        <v>0</v>
      </c>
      <c r="L426" s="96" t="b">
        <v>0</v>
      </c>
    </row>
    <row r="427" spans="1:12" ht="15">
      <c r="A427" s="97" t="s">
        <v>1000</v>
      </c>
      <c r="B427" s="96" t="s">
        <v>1306</v>
      </c>
      <c r="C427" s="96">
        <v>3</v>
      </c>
      <c r="D427" s="110">
        <v>0.004998934719679332</v>
      </c>
      <c r="E427" s="110">
        <v>1.1506285369049145</v>
      </c>
      <c r="F427" s="96" t="s">
        <v>915</v>
      </c>
      <c r="G427" s="96" t="b">
        <v>0</v>
      </c>
      <c r="H427" s="96" t="b">
        <v>0</v>
      </c>
      <c r="I427" s="96" t="b">
        <v>0</v>
      </c>
      <c r="J427" s="96" t="b">
        <v>0</v>
      </c>
      <c r="K427" s="96" t="b">
        <v>0</v>
      </c>
      <c r="L427" s="96" t="b">
        <v>0</v>
      </c>
    </row>
    <row r="428" spans="1:12" ht="15">
      <c r="A428" s="97" t="s">
        <v>1260</v>
      </c>
      <c r="B428" s="96" t="s">
        <v>1259</v>
      </c>
      <c r="C428" s="96">
        <v>3</v>
      </c>
      <c r="D428" s="110">
        <v>0.004998934719679332</v>
      </c>
      <c r="E428" s="110">
        <v>1.9110510203281266</v>
      </c>
      <c r="F428" s="96" t="s">
        <v>915</v>
      </c>
      <c r="G428" s="96" t="b">
        <v>0</v>
      </c>
      <c r="H428" s="96" t="b">
        <v>0</v>
      </c>
      <c r="I428" s="96" t="b">
        <v>0</v>
      </c>
      <c r="J428" s="96" t="b">
        <v>0</v>
      </c>
      <c r="K428" s="96" t="b">
        <v>0</v>
      </c>
      <c r="L428" s="96" t="b">
        <v>0</v>
      </c>
    </row>
    <row r="429" spans="1:12" ht="15">
      <c r="A429" s="97" t="s">
        <v>1332</v>
      </c>
      <c r="B429" s="96" t="s">
        <v>1310</v>
      </c>
      <c r="C429" s="96">
        <v>3</v>
      </c>
      <c r="D429" s="110">
        <v>0.004998934719679332</v>
      </c>
      <c r="E429" s="110">
        <v>2.354748519560839</v>
      </c>
      <c r="F429" s="96" t="s">
        <v>915</v>
      </c>
      <c r="G429" s="96" t="b">
        <v>0</v>
      </c>
      <c r="H429" s="96" t="b">
        <v>0</v>
      </c>
      <c r="I429" s="96" t="b">
        <v>0</v>
      </c>
      <c r="J429" s="96" t="b">
        <v>0</v>
      </c>
      <c r="K429" s="96" t="b">
        <v>0</v>
      </c>
      <c r="L429" s="96" t="b">
        <v>0</v>
      </c>
    </row>
    <row r="430" spans="1:12" ht="15">
      <c r="A430" s="97" t="s">
        <v>1297</v>
      </c>
      <c r="B430" s="96" t="s">
        <v>1332</v>
      </c>
      <c r="C430" s="96">
        <v>3</v>
      </c>
      <c r="D430" s="110">
        <v>0.004998934719679332</v>
      </c>
      <c r="E430" s="110">
        <v>2.354748519560839</v>
      </c>
      <c r="F430" s="96" t="s">
        <v>915</v>
      </c>
      <c r="G430" s="96" t="b">
        <v>0</v>
      </c>
      <c r="H430" s="96" t="b">
        <v>0</v>
      </c>
      <c r="I430" s="96" t="b">
        <v>0</v>
      </c>
      <c r="J430" s="96" t="b">
        <v>0</v>
      </c>
      <c r="K430" s="96" t="b">
        <v>0</v>
      </c>
      <c r="L430" s="96" t="b">
        <v>0</v>
      </c>
    </row>
    <row r="431" spans="1:12" ht="15">
      <c r="A431" s="97" t="s">
        <v>1370</v>
      </c>
      <c r="B431" s="96" t="s">
        <v>1380</v>
      </c>
      <c r="C431" s="96">
        <v>2</v>
      </c>
      <c r="D431" s="110">
        <v>0.0038163903416608036</v>
      </c>
      <c r="E431" s="110">
        <v>2.5308397786165204</v>
      </c>
      <c r="F431" s="96" t="s">
        <v>915</v>
      </c>
      <c r="G431" s="96" t="b">
        <v>0</v>
      </c>
      <c r="H431" s="96" t="b">
        <v>0</v>
      </c>
      <c r="I431" s="96" t="b">
        <v>0</v>
      </c>
      <c r="J431" s="96" t="b">
        <v>0</v>
      </c>
      <c r="K431" s="96" t="b">
        <v>0</v>
      </c>
      <c r="L431" s="96" t="b">
        <v>0</v>
      </c>
    </row>
    <row r="432" spans="1:12" ht="15">
      <c r="A432" s="97" t="s">
        <v>1000</v>
      </c>
      <c r="B432" s="96" t="s">
        <v>1003</v>
      </c>
      <c r="C432" s="96">
        <v>2</v>
      </c>
      <c r="D432" s="110">
        <v>0.0038163903416608036</v>
      </c>
      <c r="E432" s="110">
        <v>0.15062853690491446</v>
      </c>
      <c r="F432" s="96" t="s">
        <v>915</v>
      </c>
      <c r="G432" s="96" t="b">
        <v>0</v>
      </c>
      <c r="H432" s="96" t="b">
        <v>0</v>
      </c>
      <c r="I432" s="96" t="b">
        <v>0</v>
      </c>
      <c r="J432" s="96" t="b">
        <v>0</v>
      </c>
      <c r="K432" s="96" t="b">
        <v>0</v>
      </c>
      <c r="L432" s="96" t="b">
        <v>0</v>
      </c>
    </row>
    <row r="433" spans="1:12" ht="15">
      <c r="A433" s="97" t="s">
        <v>1383</v>
      </c>
      <c r="B433" s="96" t="s">
        <v>1351</v>
      </c>
      <c r="C433" s="96">
        <v>2</v>
      </c>
      <c r="D433" s="110">
        <v>0.0038163903416608036</v>
      </c>
      <c r="E433" s="110">
        <v>2.5308397786165204</v>
      </c>
      <c r="F433" s="96" t="s">
        <v>915</v>
      </c>
      <c r="G433" s="96" t="b">
        <v>0</v>
      </c>
      <c r="H433" s="96" t="b">
        <v>0</v>
      </c>
      <c r="I433" s="96" t="b">
        <v>0</v>
      </c>
      <c r="J433" s="96" t="b">
        <v>0</v>
      </c>
      <c r="K433" s="96" t="b">
        <v>0</v>
      </c>
      <c r="L433" s="96" t="b">
        <v>0</v>
      </c>
    </row>
    <row r="434" spans="1:12" ht="15">
      <c r="A434" s="97" t="s">
        <v>1015</v>
      </c>
      <c r="B434" s="96" t="s">
        <v>1278</v>
      </c>
      <c r="C434" s="96">
        <v>2</v>
      </c>
      <c r="D434" s="110">
        <v>0.0038163903416608036</v>
      </c>
      <c r="E434" s="110">
        <v>2.5308397786165204</v>
      </c>
      <c r="F434" s="96" t="s">
        <v>915</v>
      </c>
      <c r="G434" s="96" t="b">
        <v>0</v>
      </c>
      <c r="H434" s="96" t="b">
        <v>0</v>
      </c>
      <c r="I434" s="96" t="b">
        <v>0</v>
      </c>
      <c r="J434" s="96" t="b">
        <v>0</v>
      </c>
      <c r="K434" s="96" t="b">
        <v>0</v>
      </c>
      <c r="L434" s="96" t="b">
        <v>0</v>
      </c>
    </row>
    <row r="435" spans="1:12" ht="15">
      <c r="A435" s="97" t="s">
        <v>1010</v>
      </c>
      <c r="B435" s="96" t="s">
        <v>1000</v>
      </c>
      <c r="C435" s="96">
        <v>2</v>
      </c>
      <c r="D435" s="110">
        <v>0.0038163903416608036</v>
      </c>
      <c r="E435" s="110">
        <v>1.0090481289773972</v>
      </c>
      <c r="F435" s="96" t="s">
        <v>915</v>
      </c>
      <c r="G435" s="96" t="b">
        <v>0</v>
      </c>
      <c r="H435" s="96" t="b">
        <v>0</v>
      </c>
      <c r="I435" s="96" t="b">
        <v>0</v>
      </c>
      <c r="J435" s="96" t="b">
        <v>0</v>
      </c>
      <c r="K435" s="96" t="b">
        <v>0</v>
      </c>
      <c r="L435" s="96" t="b">
        <v>0</v>
      </c>
    </row>
    <row r="436" spans="1:12" ht="15">
      <c r="A436" s="97" t="s">
        <v>1256</v>
      </c>
      <c r="B436" s="96" t="s">
        <v>1290</v>
      </c>
      <c r="C436" s="96">
        <v>2</v>
      </c>
      <c r="D436" s="110">
        <v>0.0038163903416608036</v>
      </c>
      <c r="E436" s="110">
        <v>2.0537185238968583</v>
      </c>
      <c r="F436" s="96" t="s">
        <v>915</v>
      </c>
      <c r="G436" s="96" t="b">
        <v>0</v>
      </c>
      <c r="H436" s="96" t="b">
        <v>0</v>
      </c>
      <c r="I436" s="96" t="b">
        <v>0</v>
      </c>
      <c r="J436" s="96" t="b">
        <v>0</v>
      </c>
      <c r="K436" s="96" t="b">
        <v>0</v>
      </c>
      <c r="L436" s="96" t="b">
        <v>0</v>
      </c>
    </row>
    <row r="437" spans="1:12" ht="15">
      <c r="A437" s="97" t="s">
        <v>307</v>
      </c>
      <c r="B437" s="96" t="s">
        <v>1340</v>
      </c>
      <c r="C437" s="96">
        <v>2</v>
      </c>
      <c r="D437" s="110">
        <v>0.0038163903416608036</v>
      </c>
      <c r="E437" s="110">
        <v>2.132899769944483</v>
      </c>
      <c r="F437" s="96" t="s">
        <v>915</v>
      </c>
      <c r="G437" s="96" t="b">
        <v>0</v>
      </c>
      <c r="H437" s="96" t="b">
        <v>0</v>
      </c>
      <c r="I437" s="96" t="b">
        <v>0</v>
      </c>
      <c r="J437" s="96" t="b">
        <v>0</v>
      </c>
      <c r="K437" s="96" t="b">
        <v>0</v>
      </c>
      <c r="L437" s="96" t="b">
        <v>0</v>
      </c>
    </row>
    <row r="438" spans="1:12" ht="15">
      <c r="A438" s="97" t="s">
        <v>1253</v>
      </c>
      <c r="B438" s="96" t="s">
        <v>1293</v>
      </c>
      <c r="C438" s="96">
        <v>2</v>
      </c>
      <c r="D438" s="110">
        <v>0.0038163903416608036</v>
      </c>
      <c r="E438" s="110">
        <v>1.8318697742805017</v>
      </c>
      <c r="F438" s="96" t="s">
        <v>915</v>
      </c>
      <c r="G438" s="96" t="b">
        <v>0</v>
      </c>
      <c r="H438" s="96" t="b">
        <v>0</v>
      </c>
      <c r="I438" s="96" t="b">
        <v>0</v>
      </c>
      <c r="J438" s="96" t="b">
        <v>0</v>
      </c>
      <c r="K438" s="96" t="b">
        <v>0</v>
      </c>
      <c r="L438" s="96" t="b">
        <v>0</v>
      </c>
    </row>
    <row r="439" spans="1:12" ht="15">
      <c r="A439" s="97" t="s">
        <v>1378</v>
      </c>
      <c r="B439" s="96" t="s">
        <v>1000</v>
      </c>
      <c r="C439" s="96">
        <v>2</v>
      </c>
      <c r="D439" s="110">
        <v>0.0038163903416608036</v>
      </c>
      <c r="E439" s="110">
        <v>1.3770249142719915</v>
      </c>
      <c r="F439" s="96" t="s">
        <v>915</v>
      </c>
      <c r="G439" s="96" t="b">
        <v>0</v>
      </c>
      <c r="H439" s="96" t="b">
        <v>0</v>
      </c>
      <c r="I439" s="96" t="b">
        <v>0</v>
      </c>
      <c r="J439" s="96" t="b">
        <v>0</v>
      </c>
      <c r="K439" s="96" t="b">
        <v>0</v>
      </c>
      <c r="L439" s="96" t="b">
        <v>0</v>
      </c>
    </row>
    <row r="440" spans="1:12" ht="15">
      <c r="A440" s="97" t="s">
        <v>1342</v>
      </c>
      <c r="B440" s="96" t="s">
        <v>1371</v>
      </c>
      <c r="C440" s="96">
        <v>2</v>
      </c>
      <c r="D440" s="110">
        <v>0.0038163903416608036</v>
      </c>
      <c r="E440" s="110">
        <v>2.5308397786165204</v>
      </c>
      <c r="F440" s="96" t="s">
        <v>915</v>
      </c>
      <c r="G440" s="96" t="b">
        <v>0</v>
      </c>
      <c r="H440" s="96" t="b">
        <v>0</v>
      </c>
      <c r="I440" s="96" t="b">
        <v>0</v>
      </c>
      <c r="J440" s="96" t="b">
        <v>0</v>
      </c>
      <c r="K440" s="96" t="b">
        <v>0</v>
      </c>
      <c r="L440" s="96" t="b">
        <v>0</v>
      </c>
    </row>
    <row r="441" spans="1:12" ht="15">
      <c r="A441" s="97" t="s">
        <v>1255</v>
      </c>
      <c r="B441" s="96" t="s">
        <v>1353</v>
      </c>
      <c r="C441" s="96">
        <v>2</v>
      </c>
      <c r="D441" s="110">
        <v>0.0038163903416608036</v>
      </c>
      <c r="E441" s="110">
        <v>1.8106804752105636</v>
      </c>
      <c r="F441" s="96" t="s">
        <v>915</v>
      </c>
      <c r="G441" s="96" t="b">
        <v>0</v>
      </c>
      <c r="H441" s="96" t="b">
        <v>0</v>
      </c>
      <c r="I441" s="96" t="b">
        <v>0</v>
      </c>
      <c r="J441" s="96" t="b">
        <v>0</v>
      </c>
      <c r="K441" s="96" t="b">
        <v>0</v>
      </c>
      <c r="L441" s="96" t="b">
        <v>0</v>
      </c>
    </row>
    <row r="442" spans="1:12" ht="15">
      <c r="A442" s="97" t="s">
        <v>1351</v>
      </c>
      <c r="B442" s="96" t="s">
        <v>1342</v>
      </c>
      <c r="C442" s="96">
        <v>2</v>
      </c>
      <c r="D442" s="110">
        <v>0.0038163903416608036</v>
      </c>
      <c r="E442" s="110">
        <v>2.5308397786165204</v>
      </c>
      <c r="F442" s="96" t="s">
        <v>915</v>
      </c>
      <c r="G442" s="96" t="b">
        <v>0</v>
      </c>
      <c r="H442" s="96" t="b">
        <v>0</v>
      </c>
      <c r="I442" s="96" t="b">
        <v>0</v>
      </c>
      <c r="J442" s="96" t="b">
        <v>0</v>
      </c>
      <c r="K442" s="96" t="b">
        <v>0</v>
      </c>
      <c r="L442" s="96" t="b">
        <v>0</v>
      </c>
    </row>
    <row r="443" spans="1:12" ht="15">
      <c r="A443" s="97" t="s">
        <v>1309</v>
      </c>
      <c r="B443" s="96" t="s">
        <v>1274</v>
      </c>
      <c r="C443" s="96">
        <v>2</v>
      </c>
      <c r="D443" s="110">
        <v>0.0038163903416608036</v>
      </c>
      <c r="E443" s="110">
        <v>2.354748519560839</v>
      </c>
      <c r="F443" s="96" t="s">
        <v>915</v>
      </c>
      <c r="G443" s="96" t="b">
        <v>0</v>
      </c>
      <c r="H443" s="96" t="b">
        <v>0</v>
      </c>
      <c r="I443" s="96" t="b">
        <v>0</v>
      </c>
      <c r="J443" s="96" t="b">
        <v>0</v>
      </c>
      <c r="K443" s="96" t="b">
        <v>0</v>
      </c>
      <c r="L443" s="96" t="b">
        <v>0</v>
      </c>
    </row>
    <row r="444" spans="1:12" ht="15">
      <c r="A444" s="97" t="s">
        <v>1292</v>
      </c>
      <c r="B444" s="96" t="s">
        <v>1005</v>
      </c>
      <c r="C444" s="96">
        <v>2</v>
      </c>
      <c r="D444" s="110">
        <v>0.0038163903416608036</v>
      </c>
      <c r="E444" s="110">
        <v>1.7526885282328768</v>
      </c>
      <c r="F444" s="96" t="s">
        <v>915</v>
      </c>
      <c r="G444" s="96" t="b">
        <v>0</v>
      </c>
      <c r="H444" s="96" t="b">
        <v>0</v>
      </c>
      <c r="I444" s="96" t="b">
        <v>0</v>
      </c>
      <c r="J444" s="96" t="b">
        <v>0</v>
      </c>
      <c r="K444" s="96" t="b">
        <v>0</v>
      </c>
      <c r="L444" s="96" t="b">
        <v>0</v>
      </c>
    </row>
    <row r="445" spans="1:12" ht="15">
      <c r="A445" s="97" t="s">
        <v>1266</v>
      </c>
      <c r="B445" s="96" t="s">
        <v>1367</v>
      </c>
      <c r="C445" s="96">
        <v>2</v>
      </c>
      <c r="D445" s="110">
        <v>0.0038163903416608036</v>
      </c>
      <c r="E445" s="110">
        <v>2.0537185238968583</v>
      </c>
      <c r="F445" s="96" t="s">
        <v>915</v>
      </c>
      <c r="G445" s="96" t="b">
        <v>0</v>
      </c>
      <c r="H445" s="96" t="b">
        <v>0</v>
      </c>
      <c r="I445" s="96" t="b">
        <v>0</v>
      </c>
      <c r="J445" s="96" t="b">
        <v>0</v>
      </c>
      <c r="K445" s="96" t="b">
        <v>0</v>
      </c>
      <c r="L445" s="96" t="b">
        <v>0</v>
      </c>
    </row>
    <row r="446" spans="1:12" ht="15">
      <c r="A446" s="97" t="s">
        <v>1009</v>
      </c>
      <c r="B446" s="96" t="s">
        <v>1010</v>
      </c>
      <c r="C446" s="96">
        <v>2</v>
      </c>
      <c r="D446" s="110">
        <v>0.0038163903416608036</v>
      </c>
      <c r="E446" s="110">
        <v>1.3847117429382825</v>
      </c>
      <c r="F446" s="96" t="s">
        <v>915</v>
      </c>
      <c r="G446" s="96" t="b">
        <v>0</v>
      </c>
      <c r="H446" s="96" t="b">
        <v>0</v>
      </c>
      <c r="I446" s="96" t="b">
        <v>0</v>
      </c>
      <c r="J446" s="96" t="b">
        <v>0</v>
      </c>
      <c r="K446" s="96" t="b">
        <v>0</v>
      </c>
      <c r="L446" s="96" t="b">
        <v>0</v>
      </c>
    </row>
    <row r="447" spans="1:12" ht="15">
      <c r="A447" s="97" t="s">
        <v>305</v>
      </c>
      <c r="B447" s="96" t="s">
        <v>1343</v>
      </c>
      <c r="C447" s="96">
        <v>2</v>
      </c>
      <c r="D447" s="110">
        <v>0.0038163903416608036</v>
      </c>
      <c r="E447" s="110">
        <v>2.229809782952539</v>
      </c>
      <c r="F447" s="96" t="s">
        <v>915</v>
      </c>
      <c r="G447" s="96" t="b">
        <v>0</v>
      </c>
      <c r="H447" s="96" t="b">
        <v>0</v>
      </c>
      <c r="I447" s="96" t="b">
        <v>0</v>
      </c>
      <c r="J447" s="96" t="b">
        <v>0</v>
      </c>
      <c r="K447" s="96" t="b">
        <v>0</v>
      </c>
      <c r="L447" s="96" t="b">
        <v>0</v>
      </c>
    </row>
    <row r="448" spans="1:12" ht="15">
      <c r="A448" s="97" t="s">
        <v>1374</v>
      </c>
      <c r="B448" s="96" t="s">
        <v>1358</v>
      </c>
      <c r="C448" s="96">
        <v>2</v>
      </c>
      <c r="D448" s="110">
        <v>0.0038163903416608036</v>
      </c>
      <c r="E448" s="110">
        <v>2.5308397786165204</v>
      </c>
      <c r="F448" s="96" t="s">
        <v>915</v>
      </c>
      <c r="G448" s="96" t="b">
        <v>0</v>
      </c>
      <c r="H448" s="96" t="b">
        <v>0</v>
      </c>
      <c r="I448" s="96" t="b">
        <v>0</v>
      </c>
      <c r="J448" s="96" t="b">
        <v>0</v>
      </c>
      <c r="K448" s="96" t="b">
        <v>0</v>
      </c>
      <c r="L448" s="96" t="b">
        <v>0</v>
      </c>
    </row>
    <row r="449" spans="1:12" ht="15">
      <c r="A449" s="97" t="s">
        <v>1358</v>
      </c>
      <c r="B449" s="96" t="s">
        <v>1384</v>
      </c>
      <c r="C449" s="96">
        <v>2</v>
      </c>
      <c r="D449" s="110">
        <v>0.0038163903416608036</v>
      </c>
      <c r="E449" s="110">
        <v>2.5308397786165204</v>
      </c>
      <c r="F449" s="96" t="s">
        <v>915</v>
      </c>
      <c r="G449" s="96" t="b">
        <v>0</v>
      </c>
      <c r="H449" s="96" t="b">
        <v>0</v>
      </c>
      <c r="I449" s="96" t="b">
        <v>0</v>
      </c>
      <c r="J449" s="96" t="b">
        <v>0</v>
      </c>
      <c r="K449" s="96" t="b">
        <v>0</v>
      </c>
      <c r="L449" s="96" t="b">
        <v>0</v>
      </c>
    </row>
    <row r="450" spans="1:12" ht="15">
      <c r="A450" s="97" t="s">
        <v>1349</v>
      </c>
      <c r="B450" s="96" t="s">
        <v>1375</v>
      </c>
      <c r="C450" s="96">
        <v>2</v>
      </c>
      <c r="D450" s="110">
        <v>0.0038163903416608036</v>
      </c>
      <c r="E450" s="110">
        <v>2.354748519560839</v>
      </c>
      <c r="F450" s="96" t="s">
        <v>915</v>
      </c>
      <c r="G450" s="96" t="b">
        <v>0</v>
      </c>
      <c r="H450" s="96" t="b">
        <v>0</v>
      </c>
      <c r="I450" s="96" t="b">
        <v>0</v>
      </c>
      <c r="J450" s="96" t="b">
        <v>0</v>
      </c>
      <c r="K450" s="96" t="b">
        <v>0</v>
      </c>
      <c r="L450" s="96" t="b">
        <v>0</v>
      </c>
    </row>
    <row r="451" spans="1:12" ht="15">
      <c r="A451" s="97" t="s">
        <v>1372</v>
      </c>
      <c r="B451" s="96" t="s">
        <v>1266</v>
      </c>
      <c r="C451" s="96">
        <v>2</v>
      </c>
      <c r="D451" s="110">
        <v>0.0038163903416608036</v>
      </c>
      <c r="E451" s="110">
        <v>2.0537185238968583</v>
      </c>
      <c r="F451" s="96" t="s">
        <v>915</v>
      </c>
      <c r="G451" s="96" t="b">
        <v>0</v>
      </c>
      <c r="H451" s="96" t="b">
        <v>0</v>
      </c>
      <c r="I451" s="96" t="b">
        <v>0</v>
      </c>
      <c r="J451" s="96" t="b">
        <v>0</v>
      </c>
      <c r="K451" s="96" t="b">
        <v>0</v>
      </c>
      <c r="L451" s="96" t="b">
        <v>0</v>
      </c>
    </row>
    <row r="452" spans="1:12" ht="15">
      <c r="A452" s="97" t="s">
        <v>1002</v>
      </c>
      <c r="B452" s="96" t="s">
        <v>1349</v>
      </c>
      <c r="C452" s="96">
        <v>2</v>
      </c>
      <c r="D452" s="110">
        <v>0.0038163903416608036</v>
      </c>
      <c r="E452" s="110">
        <v>1.333559220490901</v>
      </c>
      <c r="F452" s="96" t="s">
        <v>915</v>
      </c>
      <c r="G452" s="96" t="b">
        <v>0</v>
      </c>
      <c r="H452" s="96" t="b">
        <v>0</v>
      </c>
      <c r="I452" s="96" t="b">
        <v>0</v>
      </c>
      <c r="J452" s="96" t="b">
        <v>0</v>
      </c>
      <c r="K452" s="96" t="b">
        <v>0</v>
      </c>
      <c r="L452" s="96" t="b">
        <v>0</v>
      </c>
    </row>
    <row r="453" spans="1:12" ht="15">
      <c r="A453" s="97" t="s">
        <v>1371</v>
      </c>
      <c r="B453" s="96" t="s">
        <v>307</v>
      </c>
      <c r="C453" s="96">
        <v>2</v>
      </c>
      <c r="D453" s="110">
        <v>0.0038163903416608036</v>
      </c>
      <c r="E453" s="110">
        <v>2.132899769944483</v>
      </c>
      <c r="F453" s="96" t="s">
        <v>915</v>
      </c>
      <c r="G453" s="96" t="b">
        <v>0</v>
      </c>
      <c r="H453" s="96" t="b">
        <v>0</v>
      </c>
      <c r="I453" s="96" t="b">
        <v>0</v>
      </c>
      <c r="J453" s="96" t="b">
        <v>0</v>
      </c>
      <c r="K453" s="96" t="b">
        <v>0</v>
      </c>
      <c r="L453" s="96" t="b">
        <v>0</v>
      </c>
    </row>
    <row r="454" spans="1:12" ht="15">
      <c r="A454" s="97" t="s">
        <v>1343</v>
      </c>
      <c r="B454" s="96" t="s">
        <v>1383</v>
      </c>
      <c r="C454" s="96">
        <v>2</v>
      </c>
      <c r="D454" s="110">
        <v>0.0038163903416608036</v>
      </c>
      <c r="E454" s="110">
        <v>2.5308397786165204</v>
      </c>
      <c r="F454" s="96" t="s">
        <v>915</v>
      </c>
      <c r="G454" s="96" t="b">
        <v>0</v>
      </c>
      <c r="H454" s="96" t="b">
        <v>0</v>
      </c>
      <c r="I454" s="96" t="b">
        <v>0</v>
      </c>
      <c r="J454" s="96" t="b">
        <v>0</v>
      </c>
      <c r="K454" s="96" t="b">
        <v>0</v>
      </c>
      <c r="L454" s="96" t="b">
        <v>0</v>
      </c>
    </row>
    <row r="455" spans="1:12" ht="15">
      <c r="A455" s="97" t="s">
        <v>1257</v>
      </c>
      <c r="B455" s="96" t="s">
        <v>1294</v>
      </c>
      <c r="C455" s="96">
        <v>2</v>
      </c>
      <c r="D455" s="110">
        <v>0.0038163903416608036</v>
      </c>
      <c r="E455" s="110">
        <v>2.0537185238968583</v>
      </c>
      <c r="F455" s="96" t="s">
        <v>915</v>
      </c>
      <c r="G455" s="96" t="b">
        <v>0</v>
      </c>
      <c r="H455" s="96" t="b">
        <v>0</v>
      </c>
      <c r="I455" s="96" t="b">
        <v>0</v>
      </c>
      <c r="J455" s="96" t="b">
        <v>0</v>
      </c>
      <c r="K455" s="96" t="b">
        <v>0</v>
      </c>
      <c r="L455" s="96" t="b">
        <v>0</v>
      </c>
    </row>
    <row r="456" spans="1:12" ht="15">
      <c r="A456" s="97" t="s">
        <v>1009</v>
      </c>
      <c r="B456" s="96" t="s">
        <v>1341</v>
      </c>
      <c r="C456" s="96">
        <v>2</v>
      </c>
      <c r="D456" s="110">
        <v>0.0038163903416608036</v>
      </c>
      <c r="E456" s="110">
        <v>1.9867717342662448</v>
      </c>
      <c r="F456" s="96" t="s">
        <v>915</v>
      </c>
      <c r="G456" s="96" t="b">
        <v>0</v>
      </c>
      <c r="H456" s="96" t="b">
        <v>0</v>
      </c>
      <c r="I456" s="96" t="b">
        <v>0</v>
      </c>
      <c r="J456" s="96" t="b">
        <v>0</v>
      </c>
      <c r="K456" s="96" t="b">
        <v>0</v>
      </c>
      <c r="L456" s="96" t="b">
        <v>0</v>
      </c>
    </row>
    <row r="457" spans="1:12" ht="15">
      <c r="A457" s="97" t="s">
        <v>1299</v>
      </c>
      <c r="B457" s="96" t="s">
        <v>1261</v>
      </c>
      <c r="C457" s="96">
        <v>2</v>
      </c>
      <c r="D457" s="110">
        <v>0.0038163903416608036</v>
      </c>
      <c r="E457" s="110">
        <v>1.8318697742805017</v>
      </c>
      <c r="F457" s="96" t="s">
        <v>915</v>
      </c>
      <c r="G457" s="96" t="b">
        <v>0</v>
      </c>
      <c r="H457" s="96" t="b">
        <v>0</v>
      </c>
      <c r="I457" s="96" t="b">
        <v>0</v>
      </c>
      <c r="J457" s="96" t="b">
        <v>0</v>
      </c>
      <c r="K457" s="96" t="b">
        <v>0</v>
      </c>
      <c r="L457" s="96" t="b">
        <v>0</v>
      </c>
    </row>
    <row r="458" spans="1:12" ht="15">
      <c r="A458" s="97" t="s">
        <v>1000</v>
      </c>
      <c r="B458" s="96" t="s">
        <v>1301</v>
      </c>
      <c r="C458" s="96">
        <v>2</v>
      </c>
      <c r="D458" s="110">
        <v>0.0038163903416608036</v>
      </c>
      <c r="E458" s="110">
        <v>0.7526885282328768</v>
      </c>
      <c r="F458" s="96" t="s">
        <v>915</v>
      </c>
      <c r="G458" s="96" t="b">
        <v>0</v>
      </c>
      <c r="H458" s="96" t="b">
        <v>0</v>
      </c>
      <c r="I458" s="96" t="b">
        <v>0</v>
      </c>
      <c r="J458" s="96" t="b">
        <v>0</v>
      </c>
      <c r="K458" s="96" t="b">
        <v>0</v>
      </c>
      <c r="L458" s="96" t="b">
        <v>0</v>
      </c>
    </row>
    <row r="459" spans="1:12" ht="15">
      <c r="A459" s="97" t="s">
        <v>1391</v>
      </c>
      <c r="B459" s="96" t="s">
        <v>1257</v>
      </c>
      <c r="C459" s="96">
        <v>2</v>
      </c>
      <c r="D459" s="110">
        <v>0.0038163903416608036</v>
      </c>
      <c r="E459" s="110">
        <v>2.229809782952539</v>
      </c>
      <c r="F459" s="96" t="s">
        <v>915</v>
      </c>
      <c r="G459" s="96" t="b">
        <v>0</v>
      </c>
      <c r="H459" s="96" t="b">
        <v>0</v>
      </c>
      <c r="I459" s="96" t="b">
        <v>0</v>
      </c>
      <c r="J459" s="96" t="b">
        <v>0</v>
      </c>
      <c r="K459" s="96" t="b">
        <v>0</v>
      </c>
      <c r="L459" s="96" t="b">
        <v>0</v>
      </c>
    </row>
    <row r="460" spans="1:12" ht="15">
      <c r="A460" s="97" t="s">
        <v>1362</v>
      </c>
      <c r="B460" s="96" t="s">
        <v>310</v>
      </c>
      <c r="C460" s="96">
        <v>2</v>
      </c>
      <c r="D460" s="110">
        <v>0.0038163903416608036</v>
      </c>
      <c r="E460" s="110">
        <v>2.354748519560839</v>
      </c>
      <c r="F460" s="96" t="s">
        <v>915</v>
      </c>
      <c r="G460" s="96" t="b">
        <v>0</v>
      </c>
      <c r="H460" s="96" t="b">
        <v>0</v>
      </c>
      <c r="I460" s="96" t="b">
        <v>0</v>
      </c>
      <c r="J460" s="96" t="b">
        <v>0</v>
      </c>
      <c r="K460" s="96" t="b">
        <v>0</v>
      </c>
      <c r="L460" s="96" t="b">
        <v>0</v>
      </c>
    </row>
    <row r="461" spans="1:12" ht="15">
      <c r="A461" s="97" t="s">
        <v>1003</v>
      </c>
      <c r="B461" s="96" t="s">
        <v>1001</v>
      </c>
      <c r="C461" s="96">
        <v>2</v>
      </c>
      <c r="D461" s="110">
        <v>0.0038163903416608036</v>
      </c>
      <c r="E461" s="110">
        <v>0.5531161733276727</v>
      </c>
      <c r="F461" s="96" t="s">
        <v>915</v>
      </c>
      <c r="G461" s="96" t="b">
        <v>0</v>
      </c>
      <c r="H461" s="96" t="b">
        <v>0</v>
      </c>
      <c r="I461" s="96" t="b">
        <v>0</v>
      </c>
      <c r="J461" s="96" t="b">
        <v>0</v>
      </c>
      <c r="K461" s="96" t="b">
        <v>0</v>
      </c>
      <c r="L461" s="96" t="b">
        <v>0</v>
      </c>
    </row>
    <row r="462" spans="1:12" ht="15">
      <c r="A462" s="97" t="s">
        <v>1277</v>
      </c>
      <c r="B462" s="96" t="s">
        <v>1292</v>
      </c>
      <c r="C462" s="96">
        <v>2</v>
      </c>
      <c r="D462" s="110">
        <v>0.0038163903416608036</v>
      </c>
      <c r="E462" s="110">
        <v>2.354748519560839</v>
      </c>
      <c r="F462" s="96" t="s">
        <v>915</v>
      </c>
      <c r="G462" s="96" t="b">
        <v>0</v>
      </c>
      <c r="H462" s="96" t="b">
        <v>0</v>
      </c>
      <c r="I462" s="96" t="b">
        <v>0</v>
      </c>
      <c r="J462" s="96" t="b">
        <v>0</v>
      </c>
      <c r="K462" s="96" t="b">
        <v>0</v>
      </c>
      <c r="L462" s="96" t="b">
        <v>0</v>
      </c>
    </row>
    <row r="463" spans="1:12" ht="15">
      <c r="A463" s="97" t="s">
        <v>1259</v>
      </c>
      <c r="B463" s="96" t="s">
        <v>1260</v>
      </c>
      <c r="C463" s="96">
        <v>2</v>
      </c>
      <c r="D463" s="110">
        <v>0.0038163903416608036</v>
      </c>
      <c r="E463" s="110">
        <v>1.7349597612724452</v>
      </c>
      <c r="F463" s="96" t="s">
        <v>915</v>
      </c>
      <c r="G463" s="96" t="b">
        <v>0</v>
      </c>
      <c r="H463" s="96" t="b">
        <v>0</v>
      </c>
      <c r="I463" s="96" t="b">
        <v>0</v>
      </c>
      <c r="J463" s="96" t="b">
        <v>0</v>
      </c>
      <c r="K463" s="96" t="b">
        <v>0</v>
      </c>
      <c r="L463" s="96" t="b">
        <v>0</v>
      </c>
    </row>
    <row r="464" spans="1:12" ht="15">
      <c r="A464" s="97" t="s">
        <v>1384</v>
      </c>
      <c r="B464" s="96" t="s">
        <v>1372</v>
      </c>
      <c r="C464" s="96">
        <v>2</v>
      </c>
      <c r="D464" s="110">
        <v>0.0038163903416608036</v>
      </c>
      <c r="E464" s="110">
        <v>2.5308397786165204</v>
      </c>
      <c r="F464" s="96" t="s">
        <v>915</v>
      </c>
      <c r="G464" s="96" t="b">
        <v>0</v>
      </c>
      <c r="H464" s="96" t="b">
        <v>0</v>
      </c>
      <c r="I464" s="96" t="b">
        <v>0</v>
      </c>
      <c r="J464" s="96" t="b">
        <v>0</v>
      </c>
      <c r="K464" s="96" t="b">
        <v>0</v>
      </c>
      <c r="L464" s="96" t="b">
        <v>0</v>
      </c>
    </row>
    <row r="465" spans="1:12" ht="15">
      <c r="A465" s="97" t="s">
        <v>1406</v>
      </c>
      <c r="B465" s="96" t="s">
        <v>1410</v>
      </c>
      <c r="C465" s="96">
        <v>2</v>
      </c>
      <c r="D465" s="110">
        <v>0.0038163903416608036</v>
      </c>
      <c r="E465" s="110">
        <v>2.5308397786165204</v>
      </c>
      <c r="F465" s="96" t="s">
        <v>915</v>
      </c>
      <c r="G465" s="96" t="b">
        <v>0</v>
      </c>
      <c r="H465" s="96" t="b">
        <v>0</v>
      </c>
      <c r="I465" s="96" t="b">
        <v>0</v>
      </c>
      <c r="J465" s="96" t="b">
        <v>0</v>
      </c>
      <c r="K465" s="96" t="b">
        <v>0</v>
      </c>
      <c r="L465" s="96" t="b">
        <v>0</v>
      </c>
    </row>
    <row r="466" spans="1:12" ht="15">
      <c r="A466" s="97" t="s">
        <v>1355</v>
      </c>
      <c r="B466" s="96" t="s">
        <v>1397</v>
      </c>
      <c r="C466" s="96">
        <v>2</v>
      </c>
      <c r="D466" s="110">
        <v>0.0038163903416608036</v>
      </c>
      <c r="E466" s="110">
        <v>2.5308397786165204</v>
      </c>
      <c r="F466" s="96" t="s">
        <v>915</v>
      </c>
      <c r="G466" s="96" t="b">
        <v>0</v>
      </c>
      <c r="H466" s="96" t="b">
        <v>0</v>
      </c>
      <c r="I466" s="96" t="b">
        <v>0</v>
      </c>
      <c r="J466" s="96" t="b">
        <v>0</v>
      </c>
      <c r="K466" s="96" t="b">
        <v>0</v>
      </c>
      <c r="L466" s="96" t="b">
        <v>0</v>
      </c>
    </row>
    <row r="467" spans="1:12" ht="15">
      <c r="A467" s="97" t="s">
        <v>1001</v>
      </c>
      <c r="B467" s="96" t="s">
        <v>1259</v>
      </c>
      <c r="C467" s="96">
        <v>2</v>
      </c>
      <c r="D467" s="110">
        <v>0.0038163903416608036</v>
      </c>
      <c r="E467" s="110">
        <v>1.178657260505158</v>
      </c>
      <c r="F467" s="96" t="s">
        <v>915</v>
      </c>
      <c r="G467" s="96" t="b">
        <v>0</v>
      </c>
      <c r="H467" s="96" t="b">
        <v>0</v>
      </c>
      <c r="I467" s="96" t="b">
        <v>0</v>
      </c>
      <c r="J467" s="96" t="b">
        <v>0</v>
      </c>
      <c r="K467" s="96" t="b">
        <v>0</v>
      </c>
      <c r="L467" s="96" t="b">
        <v>0</v>
      </c>
    </row>
    <row r="468" spans="1:12" ht="15">
      <c r="A468" s="97" t="s">
        <v>1367</v>
      </c>
      <c r="B468" s="96" t="s">
        <v>1289</v>
      </c>
      <c r="C468" s="96">
        <v>2</v>
      </c>
      <c r="D468" s="110">
        <v>0.0038163903416608036</v>
      </c>
      <c r="E468" s="110">
        <v>2.229809782952539</v>
      </c>
      <c r="F468" s="96" t="s">
        <v>915</v>
      </c>
      <c r="G468" s="96" t="b">
        <v>0</v>
      </c>
      <c r="H468" s="96" t="b">
        <v>0</v>
      </c>
      <c r="I468" s="96" t="b">
        <v>0</v>
      </c>
      <c r="J468" s="96" t="b">
        <v>0</v>
      </c>
      <c r="K468" s="96" t="b">
        <v>0</v>
      </c>
      <c r="L468" s="96" t="b">
        <v>0</v>
      </c>
    </row>
    <row r="469" spans="1:12" ht="15">
      <c r="A469" s="97" t="s">
        <v>1253</v>
      </c>
      <c r="B469" s="96" t="s">
        <v>1261</v>
      </c>
      <c r="C469" s="96">
        <v>2</v>
      </c>
      <c r="D469" s="110">
        <v>0.0038163903416608036</v>
      </c>
      <c r="E469" s="110">
        <v>1.5308397786165204</v>
      </c>
      <c r="F469" s="96" t="s">
        <v>915</v>
      </c>
      <c r="G469" s="96" t="b">
        <v>0</v>
      </c>
      <c r="H469" s="96" t="b">
        <v>0</v>
      </c>
      <c r="I469" s="96" t="b">
        <v>0</v>
      </c>
      <c r="J469" s="96" t="b">
        <v>0</v>
      </c>
      <c r="K469" s="96" t="b">
        <v>0</v>
      </c>
      <c r="L469" s="96" t="b">
        <v>0</v>
      </c>
    </row>
    <row r="470" spans="1:12" ht="15">
      <c r="A470" s="97" t="s">
        <v>1009</v>
      </c>
      <c r="B470" s="96" t="s">
        <v>1280</v>
      </c>
      <c r="C470" s="96">
        <v>2</v>
      </c>
      <c r="D470" s="110">
        <v>0.0038163903416608036</v>
      </c>
      <c r="E470" s="110">
        <v>1.9867717342662448</v>
      </c>
      <c r="F470" s="96" t="s">
        <v>915</v>
      </c>
      <c r="G470" s="96" t="b">
        <v>0</v>
      </c>
      <c r="H470" s="96" t="b">
        <v>0</v>
      </c>
      <c r="I470" s="96" t="b">
        <v>0</v>
      </c>
      <c r="J470" s="96" t="b">
        <v>0</v>
      </c>
      <c r="K470" s="96" t="b">
        <v>0</v>
      </c>
      <c r="L470" s="96" t="b">
        <v>0</v>
      </c>
    </row>
    <row r="471" spans="1:12" ht="15">
      <c r="A471" s="97" t="s">
        <v>1000</v>
      </c>
      <c r="B471" s="96" t="s">
        <v>305</v>
      </c>
      <c r="C471" s="96">
        <v>2</v>
      </c>
      <c r="D471" s="110">
        <v>0.0038163903416608036</v>
      </c>
      <c r="E471" s="110">
        <v>0.8495985412409333</v>
      </c>
      <c r="F471" s="96" t="s">
        <v>915</v>
      </c>
      <c r="G471" s="96" t="b">
        <v>0</v>
      </c>
      <c r="H471" s="96" t="b">
        <v>0</v>
      </c>
      <c r="I471" s="96" t="b">
        <v>0</v>
      </c>
      <c r="J471" s="96" t="b">
        <v>0</v>
      </c>
      <c r="K471" s="96" t="b">
        <v>0</v>
      </c>
      <c r="L471" s="96" t="b">
        <v>0</v>
      </c>
    </row>
    <row r="472" spans="1:12" ht="15">
      <c r="A472" s="97" t="s">
        <v>1340</v>
      </c>
      <c r="B472" s="96" t="s">
        <v>1010</v>
      </c>
      <c r="C472" s="96">
        <v>2</v>
      </c>
      <c r="D472" s="110">
        <v>0.0038163903416608036</v>
      </c>
      <c r="E472" s="110">
        <v>1.9287797872885581</v>
      </c>
      <c r="F472" s="96" t="s">
        <v>915</v>
      </c>
      <c r="G472" s="96" t="b">
        <v>0</v>
      </c>
      <c r="H472" s="96" t="b">
        <v>0</v>
      </c>
      <c r="I472" s="96" t="b">
        <v>0</v>
      </c>
      <c r="J472" s="96" t="b">
        <v>0</v>
      </c>
      <c r="K472" s="96" t="b">
        <v>0</v>
      </c>
      <c r="L472" s="96" t="b">
        <v>0</v>
      </c>
    </row>
    <row r="473" spans="1:12" ht="15">
      <c r="A473" s="97" t="s">
        <v>1307</v>
      </c>
      <c r="B473" s="96" t="s">
        <v>1320</v>
      </c>
      <c r="C473" s="96">
        <v>2</v>
      </c>
      <c r="D473" s="110">
        <v>0.0038163903416608036</v>
      </c>
      <c r="E473" s="110">
        <v>2.5308397786165204</v>
      </c>
      <c r="F473" s="96" t="s">
        <v>915</v>
      </c>
      <c r="G473" s="96" t="b">
        <v>0</v>
      </c>
      <c r="H473" s="96" t="b">
        <v>0</v>
      </c>
      <c r="I473" s="96" t="b">
        <v>0</v>
      </c>
      <c r="J473" s="96" t="b">
        <v>0</v>
      </c>
      <c r="K473" s="96" t="b">
        <v>0</v>
      </c>
      <c r="L473" s="96" t="b">
        <v>0</v>
      </c>
    </row>
    <row r="474" spans="1:12" ht="15">
      <c r="A474" s="97" t="s">
        <v>310</v>
      </c>
      <c r="B474" s="96" t="s">
        <v>1281</v>
      </c>
      <c r="C474" s="96">
        <v>2</v>
      </c>
      <c r="D474" s="110">
        <v>0.0038163903416608036</v>
      </c>
      <c r="E474" s="110">
        <v>2.354748519560839</v>
      </c>
      <c r="F474" s="96" t="s">
        <v>915</v>
      </c>
      <c r="G474" s="96" t="b">
        <v>0</v>
      </c>
      <c r="H474" s="96" t="b">
        <v>0</v>
      </c>
      <c r="I474" s="96" t="b">
        <v>0</v>
      </c>
      <c r="J474" s="96" t="b">
        <v>0</v>
      </c>
      <c r="K474" s="96" t="b">
        <v>0</v>
      </c>
      <c r="L474" s="96" t="b">
        <v>0</v>
      </c>
    </row>
    <row r="475" spans="1:12" ht="15">
      <c r="A475" s="97" t="s">
        <v>1280</v>
      </c>
      <c r="B475" s="96" t="s">
        <v>308</v>
      </c>
      <c r="C475" s="96">
        <v>2</v>
      </c>
      <c r="D475" s="110">
        <v>0.0038163903416608036</v>
      </c>
      <c r="E475" s="110">
        <v>2.229809782952539</v>
      </c>
      <c r="F475" s="96" t="s">
        <v>915</v>
      </c>
      <c r="G475" s="96" t="b">
        <v>0</v>
      </c>
      <c r="H475" s="96" t="b">
        <v>0</v>
      </c>
      <c r="I475" s="96" t="b">
        <v>0</v>
      </c>
      <c r="J475" s="96" t="b">
        <v>0</v>
      </c>
      <c r="K475" s="96" t="b">
        <v>0</v>
      </c>
      <c r="L475" s="96" t="b">
        <v>0</v>
      </c>
    </row>
    <row r="476" spans="1:12" ht="15">
      <c r="A476" s="97" t="s">
        <v>1261</v>
      </c>
      <c r="B476" s="96" t="s">
        <v>1370</v>
      </c>
      <c r="C476" s="96">
        <v>2</v>
      </c>
      <c r="D476" s="110">
        <v>0.0038163903416608036</v>
      </c>
      <c r="E476" s="110">
        <v>2.229809782952539</v>
      </c>
      <c r="F476" s="96" t="s">
        <v>915</v>
      </c>
      <c r="G476" s="96" t="b">
        <v>0</v>
      </c>
      <c r="H476" s="96" t="b">
        <v>0</v>
      </c>
      <c r="I476" s="96" t="b">
        <v>0</v>
      </c>
      <c r="J476" s="96" t="b">
        <v>0</v>
      </c>
      <c r="K476" s="96" t="b">
        <v>0</v>
      </c>
      <c r="L476" s="96" t="b">
        <v>0</v>
      </c>
    </row>
    <row r="477" spans="1:12" ht="15">
      <c r="A477" s="97" t="s">
        <v>1318</v>
      </c>
      <c r="B477" s="96" t="s">
        <v>1309</v>
      </c>
      <c r="C477" s="96">
        <v>2</v>
      </c>
      <c r="D477" s="110">
        <v>0.0038163903416608036</v>
      </c>
      <c r="E477" s="110">
        <v>2.5308397786165204</v>
      </c>
      <c r="F477" s="96" t="s">
        <v>915</v>
      </c>
      <c r="G477" s="96" t="b">
        <v>0</v>
      </c>
      <c r="H477" s="96" t="b">
        <v>0</v>
      </c>
      <c r="I477" s="96" t="b">
        <v>0</v>
      </c>
      <c r="J477" s="96" t="b">
        <v>0</v>
      </c>
      <c r="K477" s="96" t="b">
        <v>0</v>
      </c>
      <c r="L477" s="96" t="b">
        <v>0</v>
      </c>
    </row>
    <row r="478" spans="1:12" ht="15">
      <c r="A478" s="97" t="s">
        <v>1341</v>
      </c>
      <c r="B478" s="96" t="s">
        <v>1010</v>
      </c>
      <c r="C478" s="96">
        <v>2</v>
      </c>
      <c r="D478" s="110">
        <v>0.0038163903416608036</v>
      </c>
      <c r="E478" s="110">
        <v>1.9287797872885581</v>
      </c>
      <c r="F478" s="96" t="s">
        <v>915</v>
      </c>
      <c r="G478" s="96" t="b">
        <v>0</v>
      </c>
      <c r="H478" s="96" t="b">
        <v>0</v>
      </c>
      <c r="I478" s="96" t="b">
        <v>0</v>
      </c>
      <c r="J478" s="96" t="b">
        <v>0</v>
      </c>
      <c r="K478" s="96" t="b">
        <v>0</v>
      </c>
      <c r="L478" s="96" t="b">
        <v>0</v>
      </c>
    </row>
    <row r="479" spans="1:12" ht="15">
      <c r="A479" s="97" t="s">
        <v>1253</v>
      </c>
      <c r="B479" s="96" t="s">
        <v>1391</v>
      </c>
      <c r="C479" s="96">
        <v>2</v>
      </c>
      <c r="D479" s="110">
        <v>0.0038163903416608036</v>
      </c>
      <c r="E479" s="110">
        <v>1.8318697742805017</v>
      </c>
      <c r="F479" s="96" t="s">
        <v>915</v>
      </c>
      <c r="G479" s="96" t="b">
        <v>0</v>
      </c>
      <c r="H479" s="96" t="b">
        <v>0</v>
      </c>
      <c r="I479" s="96" t="b">
        <v>0</v>
      </c>
      <c r="J479" s="96" t="b">
        <v>0</v>
      </c>
      <c r="K479" s="96" t="b">
        <v>0</v>
      </c>
      <c r="L479" s="96" t="b">
        <v>0</v>
      </c>
    </row>
    <row r="480" spans="1:12" ht="15">
      <c r="A480" s="97" t="s">
        <v>1320</v>
      </c>
      <c r="B480" s="96" t="s">
        <v>1304</v>
      </c>
      <c r="C480" s="96">
        <v>2</v>
      </c>
      <c r="D480" s="110">
        <v>0.0038163903416608036</v>
      </c>
      <c r="E480" s="110">
        <v>2.5308397786165204</v>
      </c>
      <c r="F480" s="96" t="s">
        <v>915</v>
      </c>
      <c r="G480" s="96" t="b">
        <v>0</v>
      </c>
      <c r="H480" s="96" t="b">
        <v>0</v>
      </c>
      <c r="I480" s="96" t="b">
        <v>0</v>
      </c>
      <c r="J480" s="96" t="b">
        <v>0</v>
      </c>
      <c r="K480" s="96" t="b">
        <v>0</v>
      </c>
      <c r="L480" s="96" t="b">
        <v>0</v>
      </c>
    </row>
    <row r="481" spans="1:12" ht="15">
      <c r="A481" s="97" t="s">
        <v>1380</v>
      </c>
      <c r="B481" s="96" t="s">
        <v>1374</v>
      </c>
      <c r="C481" s="96">
        <v>2</v>
      </c>
      <c r="D481" s="110">
        <v>0.0038163903416608036</v>
      </c>
      <c r="E481" s="110">
        <v>2.5308397786165204</v>
      </c>
      <c r="F481" s="96" t="s">
        <v>915</v>
      </c>
      <c r="G481" s="96" t="b">
        <v>0</v>
      </c>
      <c r="H481" s="96" t="b">
        <v>0</v>
      </c>
      <c r="I481" s="96" t="b">
        <v>0</v>
      </c>
      <c r="J481" s="96" t="b">
        <v>0</v>
      </c>
      <c r="K481" s="96" t="b">
        <v>0</v>
      </c>
      <c r="L481" s="96" t="b">
        <v>0</v>
      </c>
    </row>
    <row r="482" spans="1:12" ht="15">
      <c r="A482" s="97" t="s">
        <v>1347</v>
      </c>
      <c r="B482" s="96" t="s">
        <v>1289</v>
      </c>
      <c r="C482" s="96">
        <v>2</v>
      </c>
      <c r="D482" s="110">
        <v>0.0038163903416608036</v>
      </c>
      <c r="E482" s="110">
        <v>2.0537185238968583</v>
      </c>
      <c r="F482" s="96" t="s">
        <v>915</v>
      </c>
      <c r="G482" s="96" t="b">
        <v>0</v>
      </c>
      <c r="H482" s="96" t="b">
        <v>0</v>
      </c>
      <c r="I482" s="96" t="b">
        <v>0</v>
      </c>
      <c r="J482" s="96" t="b">
        <v>0</v>
      </c>
      <c r="K482" s="96" t="b">
        <v>0</v>
      </c>
      <c r="L482" s="96" t="b">
        <v>0</v>
      </c>
    </row>
    <row r="483" spans="1:12" ht="15">
      <c r="A483" s="97" t="s">
        <v>1000</v>
      </c>
      <c r="B483" s="96" t="s">
        <v>1009</v>
      </c>
      <c r="C483" s="96">
        <v>5</v>
      </c>
      <c r="D483" s="110">
        <v>0.010863178334617314</v>
      </c>
      <c r="E483" s="110">
        <v>1.0916136731981079</v>
      </c>
      <c r="F483" s="96" t="s">
        <v>916</v>
      </c>
      <c r="G483" s="96" t="b">
        <v>0</v>
      </c>
      <c r="H483" s="96" t="b">
        <v>0</v>
      </c>
      <c r="I483" s="96" t="b">
        <v>0</v>
      </c>
      <c r="J483" s="96" t="b">
        <v>0</v>
      </c>
      <c r="K483" s="96" t="b">
        <v>0</v>
      </c>
      <c r="L483" s="96" t="b">
        <v>0</v>
      </c>
    </row>
    <row r="484" spans="1:12" ht="15">
      <c r="A484" s="97" t="s">
        <v>1015</v>
      </c>
      <c r="B484" s="96" t="s">
        <v>1278</v>
      </c>
      <c r="C484" s="96">
        <v>4</v>
      </c>
      <c r="D484" s="110">
        <v>0.01090562867930657</v>
      </c>
      <c r="E484" s="110">
        <v>1.6101276130759954</v>
      </c>
      <c r="F484" s="96" t="s">
        <v>916</v>
      </c>
      <c r="G484" s="96" t="b">
        <v>0</v>
      </c>
      <c r="H484" s="96" t="b">
        <v>0</v>
      </c>
      <c r="I484" s="96" t="b">
        <v>0</v>
      </c>
      <c r="J484" s="96" t="b">
        <v>0</v>
      </c>
      <c r="K484" s="96" t="b">
        <v>0</v>
      </c>
      <c r="L484" s="96" t="b">
        <v>0</v>
      </c>
    </row>
    <row r="485" spans="1:12" ht="15">
      <c r="A485" s="97" t="s">
        <v>301</v>
      </c>
      <c r="B485" s="96" t="s">
        <v>300</v>
      </c>
      <c r="C485" s="96">
        <v>4</v>
      </c>
      <c r="D485" s="110">
        <v>0.01090562867930657</v>
      </c>
      <c r="E485" s="110">
        <v>1.513217600067939</v>
      </c>
      <c r="F485" s="96" t="s">
        <v>916</v>
      </c>
      <c r="G485" s="96" t="b">
        <v>0</v>
      </c>
      <c r="H485" s="96" t="b">
        <v>0</v>
      </c>
      <c r="I485" s="96" t="b">
        <v>0</v>
      </c>
      <c r="J485" s="96" t="b">
        <v>0</v>
      </c>
      <c r="K485" s="96" t="b">
        <v>0</v>
      </c>
      <c r="L485" s="96" t="b">
        <v>0</v>
      </c>
    </row>
    <row r="486" spans="1:12" ht="15">
      <c r="A486" s="97" t="s">
        <v>305</v>
      </c>
      <c r="B486" s="96" t="s">
        <v>1015</v>
      </c>
      <c r="C486" s="96">
        <v>4</v>
      </c>
      <c r="D486" s="110">
        <v>0.01090562867930657</v>
      </c>
      <c r="E486" s="110">
        <v>1.513217600067939</v>
      </c>
      <c r="F486" s="96" t="s">
        <v>916</v>
      </c>
      <c r="G486" s="96" t="b">
        <v>0</v>
      </c>
      <c r="H486" s="96" t="b">
        <v>0</v>
      </c>
      <c r="I486" s="96" t="b">
        <v>0</v>
      </c>
      <c r="J486" s="96" t="b">
        <v>0</v>
      </c>
      <c r="K486" s="96" t="b">
        <v>0</v>
      </c>
      <c r="L486" s="96" t="b">
        <v>0</v>
      </c>
    </row>
    <row r="487" spans="1:12" ht="15">
      <c r="A487" s="97" t="s">
        <v>1010</v>
      </c>
      <c r="B487" s="96" t="s">
        <v>1295</v>
      </c>
      <c r="C487" s="96">
        <v>4</v>
      </c>
      <c r="D487" s="110">
        <v>0.01090562867930657</v>
      </c>
      <c r="E487" s="110">
        <v>1.513217600067939</v>
      </c>
      <c r="F487" s="96" t="s">
        <v>916</v>
      </c>
      <c r="G487" s="96" t="b">
        <v>0</v>
      </c>
      <c r="H487" s="96" t="b">
        <v>0</v>
      </c>
      <c r="I487" s="96" t="b">
        <v>0</v>
      </c>
      <c r="J487" s="96" t="b">
        <v>0</v>
      </c>
      <c r="K487" s="96" t="b">
        <v>0</v>
      </c>
      <c r="L487" s="96" t="b">
        <v>0</v>
      </c>
    </row>
    <row r="488" spans="1:12" ht="15">
      <c r="A488" s="97" t="s">
        <v>308</v>
      </c>
      <c r="B488" s="96" t="s">
        <v>307</v>
      </c>
      <c r="C488" s="96">
        <v>4</v>
      </c>
      <c r="D488" s="110">
        <v>0.01090562867930657</v>
      </c>
      <c r="E488" s="110">
        <v>1.4163075870598825</v>
      </c>
      <c r="F488" s="96" t="s">
        <v>916</v>
      </c>
      <c r="G488" s="96" t="b">
        <v>0</v>
      </c>
      <c r="H488" s="96" t="b">
        <v>0</v>
      </c>
      <c r="I488" s="96" t="b">
        <v>0</v>
      </c>
      <c r="J488" s="96" t="b">
        <v>0</v>
      </c>
      <c r="K488" s="96" t="b">
        <v>0</v>
      </c>
      <c r="L488" s="96" t="b">
        <v>0</v>
      </c>
    </row>
    <row r="489" spans="1:12" ht="15">
      <c r="A489" s="97" t="s">
        <v>1295</v>
      </c>
      <c r="B489" s="96" t="s">
        <v>1005</v>
      </c>
      <c r="C489" s="96">
        <v>4</v>
      </c>
      <c r="D489" s="110">
        <v>0.01090562867930657</v>
      </c>
      <c r="E489" s="110">
        <v>1.3090976174120141</v>
      </c>
      <c r="F489" s="96" t="s">
        <v>916</v>
      </c>
      <c r="G489" s="96" t="b">
        <v>0</v>
      </c>
      <c r="H489" s="96" t="b">
        <v>0</v>
      </c>
      <c r="I489" s="96" t="b">
        <v>0</v>
      </c>
      <c r="J489" s="96" t="b">
        <v>0</v>
      </c>
      <c r="K489" s="96" t="b">
        <v>0</v>
      </c>
      <c r="L489" s="96" t="b">
        <v>0</v>
      </c>
    </row>
    <row r="490" spans="1:12" ht="15">
      <c r="A490" s="97" t="s">
        <v>1009</v>
      </c>
      <c r="B490" s="96" t="s">
        <v>1280</v>
      </c>
      <c r="C490" s="96">
        <v>4</v>
      </c>
      <c r="D490" s="110">
        <v>0.01090562867930657</v>
      </c>
      <c r="E490" s="110">
        <v>1.434036354020314</v>
      </c>
      <c r="F490" s="96" t="s">
        <v>916</v>
      </c>
      <c r="G490" s="96" t="b">
        <v>0</v>
      </c>
      <c r="H490" s="96" t="b">
        <v>0</v>
      </c>
      <c r="I490" s="96" t="b">
        <v>0</v>
      </c>
      <c r="J490" s="96" t="b">
        <v>0</v>
      </c>
      <c r="K490" s="96" t="b">
        <v>0</v>
      </c>
      <c r="L490" s="96" t="b">
        <v>0</v>
      </c>
    </row>
    <row r="491" spans="1:12" ht="15">
      <c r="A491" s="97" t="s">
        <v>300</v>
      </c>
      <c r="B491" s="96" t="s">
        <v>305</v>
      </c>
      <c r="C491" s="96">
        <v>4</v>
      </c>
      <c r="D491" s="110">
        <v>0.01090562867930657</v>
      </c>
      <c r="E491" s="110">
        <v>1.513217600067939</v>
      </c>
      <c r="F491" s="96" t="s">
        <v>916</v>
      </c>
      <c r="G491" s="96" t="b">
        <v>0</v>
      </c>
      <c r="H491" s="96" t="b">
        <v>0</v>
      </c>
      <c r="I491" s="96" t="b">
        <v>0</v>
      </c>
      <c r="J491" s="96" t="b">
        <v>0</v>
      </c>
      <c r="K491" s="96" t="b">
        <v>0</v>
      </c>
      <c r="L491" s="96" t="b">
        <v>0</v>
      </c>
    </row>
    <row r="492" spans="1:12" ht="15">
      <c r="A492" s="97" t="s">
        <v>1278</v>
      </c>
      <c r="B492" s="96" t="s">
        <v>1298</v>
      </c>
      <c r="C492" s="96">
        <v>4</v>
      </c>
      <c r="D492" s="110">
        <v>0.01090562867930657</v>
      </c>
      <c r="E492" s="110">
        <v>1.6101276130759954</v>
      </c>
      <c r="F492" s="96" t="s">
        <v>916</v>
      </c>
      <c r="G492" s="96" t="b">
        <v>0</v>
      </c>
      <c r="H492" s="96" t="b">
        <v>0</v>
      </c>
      <c r="I492" s="96" t="b">
        <v>0</v>
      </c>
      <c r="J492" s="96" t="b">
        <v>0</v>
      </c>
      <c r="K492" s="96" t="b">
        <v>0</v>
      </c>
      <c r="L492" s="96" t="b">
        <v>0</v>
      </c>
    </row>
    <row r="493" spans="1:12" ht="15">
      <c r="A493" s="97" t="s">
        <v>1298</v>
      </c>
      <c r="B493" s="96" t="s">
        <v>1010</v>
      </c>
      <c r="C493" s="96">
        <v>4</v>
      </c>
      <c r="D493" s="110">
        <v>0.01090562867930657</v>
      </c>
      <c r="E493" s="110">
        <v>1.513217600067939</v>
      </c>
      <c r="F493" s="96" t="s">
        <v>916</v>
      </c>
      <c r="G493" s="96" t="b">
        <v>0</v>
      </c>
      <c r="H493" s="96" t="b">
        <v>0</v>
      </c>
      <c r="I493" s="96" t="b">
        <v>0</v>
      </c>
      <c r="J493" s="96" t="b">
        <v>0</v>
      </c>
      <c r="K493" s="96" t="b">
        <v>0</v>
      </c>
      <c r="L493" s="96" t="b">
        <v>0</v>
      </c>
    </row>
    <row r="494" spans="1:12" ht="15">
      <c r="A494" s="97" t="s">
        <v>1280</v>
      </c>
      <c r="B494" s="96" t="s">
        <v>308</v>
      </c>
      <c r="C494" s="96">
        <v>4</v>
      </c>
      <c r="D494" s="110">
        <v>0.01090562867930657</v>
      </c>
      <c r="E494" s="110">
        <v>1.513217600067939</v>
      </c>
      <c r="F494" s="96" t="s">
        <v>916</v>
      </c>
      <c r="G494" s="96" t="b">
        <v>0</v>
      </c>
      <c r="H494" s="96" t="b">
        <v>0</v>
      </c>
      <c r="I494" s="96" t="b">
        <v>0</v>
      </c>
      <c r="J494" s="96" t="b">
        <v>0</v>
      </c>
      <c r="K494" s="96" t="b">
        <v>0</v>
      </c>
      <c r="L494" s="96" t="b">
        <v>0</v>
      </c>
    </row>
    <row r="495" spans="1:12" ht="15">
      <c r="A495" s="97" t="s">
        <v>307</v>
      </c>
      <c r="B495" s="96" t="s">
        <v>1016</v>
      </c>
      <c r="C495" s="96">
        <v>4</v>
      </c>
      <c r="D495" s="110">
        <v>0.01090562867930657</v>
      </c>
      <c r="E495" s="110">
        <v>1.513217600067939</v>
      </c>
      <c r="F495" s="96" t="s">
        <v>916</v>
      </c>
      <c r="G495" s="96" t="b">
        <v>0</v>
      </c>
      <c r="H495" s="96" t="b">
        <v>0</v>
      </c>
      <c r="I495" s="96" t="b">
        <v>0</v>
      </c>
      <c r="J495" s="96" t="b">
        <v>0</v>
      </c>
      <c r="K495" s="96" t="b">
        <v>0</v>
      </c>
      <c r="L495" s="96" t="b">
        <v>0</v>
      </c>
    </row>
    <row r="496" spans="1:12" ht="15">
      <c r="A496" s="97" t="s">
        <v>1016</v>
      </c>
      <c r="B496" s="96" t="s">
        <v>301</v>
      </c>
      <c r="C496" s="96">
        <v>4</v>
      </c>
      <c r="D496" s="110">
        <v>0.01090562867930657</v>
      </c>
      <c r="E496" s="110">
        <v>1.513217600067939</v>
      </c>
      <c r="F496" s="96" t="s">
        <v>916</v>
      </c>
      <c r="G496" s="96" t="b">
        <v>0</v>
      </c>
      <c r="H496" s="96" t="b">
        <v>0</v>
      </c>
      <c r="I496" s="96" t="b">
        <v>0</v>
      </c>
      <c r="J496" s="96" t="b">
        <v>0</v>
      </c>
      <c r="K496" s="96" t="b">
        <v>0</v>
      </c>
      <c r="L496" s="96" t="b">
        <v>0</v>
      </c>
    </row>
    <row r="497" spans="1:12" ht="15">
      <c r="A497" s="97" t="s">
        <v>1268</v>
      </c>
      <c r="B497" s="96" t="s">
        <v>1258</v>
      </c>
      <c r="C497" s="96">
        <v>3</v>
      </c>
      <c r="D497" s="110">
        <v>0.01032102842276507</v>
      </c>
      <c r="E497" s="110">
        <v>1.6101276130759954</v>
      </c>
      <c r="F497" s="96" t="s">
        <v>916</v>
      </c>
      <c r="G497" s="96" t="b">
        <v>0</v>
      </c>
      <c r="H497" s="96" t="b">
        <v>0</v>
      </c>
      <c r="I497" s="96" t="b">
        <v>0</v>
      </c>
      <c r="J497" s="96" t="b">
        <v>0</v>
      </c>
      <c r="K497" s="96" t="b">
        <v>0</v>
      </c>
      <c r="L497" s="96" t="b">
        <v>0</v>
      </c>
    </row>
    <row r="498" spans="1:12" ht="15">
      <c r="A498" s="97" t="s">
        <v>1000</v>
      </c>
      <c r="B498" s="96" t="s">
        <v>1003</v>
      </c>
      <c r="C498" s="96">
        <v>3</v>
      </c>
      <c r="D498" s="110">
        <v>0.01032102842276507</v>
      </c>
      <c r="E498" s="110">
        <v>1.1707949192457328</v>
      </c>
      <c r="F498" s="96" t="s">
        <v>916</v>
      </c>
      <c r="G498" s="96" t="b">
        <v>0</v>
      </c>
      <c r="H498" s="96" t="b">
        <v>0</v>
      </c>
      <c r="I498" s="96" t="b">
        <v>0</v>
      </c>
      <c r="J498" s="96" t="b">
        <v>0</v>
      </c>
      <c r="K498" s="96" t="b">
        <v>0</v>
      </c>
      <c r="L498" s="96" t="b">
        <v>0</v>
      </c>
    </row>
    <row r="499" spans="1:12" ht="15">
      <c r="A499" s="97" t="s">
        <v>1271</v>
      </c>
      <c r="B499" s="96" t="s">
        <v>1272</v>
      </c>
      <c r="C499" s="96">
        <v>3</v>
      </c>
      <c r="D499" s="110">
        <v>0.01032102842276507</v>
      </c>
      <c r="E499" s="110">
        <v>1.7350663496842953</v>
      </c>
      <c r="F499" s="96" t="s">
        <v>916</v>
      </c>
      <c r="G499" s="96" t="b">
        <v>0</v>
      </c>
      <c r="H499" s="96" t="b">
        <v>0</v>
      </c>
      <c r="I499" s="96" t="b">
        <v>0</v>
      </c>
      <c r="J499" s="96" t="b">
        <v>0</v>
      </c>
      <c r="K499" s="96" t="b">
        <v>0</v>
      </c>
      <c r="L499" s="96" t="b">
        <v>0</v>
      </c>
    </row>
    <row r="500" spans="1:12" ht="15">
      <c r="A500" s="97" t="s">
        <v>1265</v>
      </c>
      <c r="B500" s="96" t="s">
        <v>1279</v>
      </c>
      <c r="C500" s="96">
        <v>3</v>
      </c>
      <c r="D500" s="110">
        <v>0.01032102842276507</v>
      </c>
      <c r="E500" s="110">
        <v>1.7350663496842953</v>
      </c>
      <c r="F500" s="96" t="s">
        <v>916</v>
      </c>
      <c r="G500" s="96" t="b">
        <v>0</v>
      </c>
      <c r="H500" s="96" t="b">
        <v>0</v>
      </c>
      <c r="I500" s="96" t="b">
        <v>0</v>
      </c>
      <c r="J500" s="96" t="b">
        <v>0</v>
      </c>
      <c r="K500" s="96" t="b">
        <v>0</v>
      </c>
      <c r="L500" s="96" t="b">
        <v>0</v>
      </c>
    </row>
    <row r="501" spans="1:12" ht="15">
      <c r="A501" s="97" t="s">
        <v>1001</v>
      </c>
      <c r="B501" s="96" t="s">
        <v>1002</v>
      </c>
      <c r="C501" s="96">
        <v>3</v>
      </c>
      <c r="D501" s="110">
        <v>0.01032102842276507</v>
      </c>
      <c r="E501" s="110">
        <v>1.6101276130759954</v>
      </c>
      <c r="F501" s="96" t="s">
        <v>916</v>
      </c>
      <c r="G501" s="96" t="b">
        <v>0</v>
      </c>
      <c r="H501" s="96" t="b">
        <v>0</v>
      </c>
      <c r="I501" s="96" t="b">
        <v>0</v>
      </c>
      <c r="J501" s="96" t="b">
        <v>0</v>
      </c>
      <c r="K501" s="96" t="b">
        <v>0</v>
      </c>
      <c r="L501" s="96" t="b">
        <v>0</v>
      </c>
    </row>
    <row r="502" spans="1:12" ht="15">
      <c r="A502" s="97" t="s">
        <v>1279</v>
      </c>
      <c r="B502" s="96" t="s">
        <v>1269</v>
      </c>
      <c r="C502" s="96">
        <v>3</v>
      </c>
      <c r="D502" s="110">
        <v>0.01032102842276507</v>
      </c>
      <c r="E502" s="110">
        <v>1.7350663496842953</v>
      </c>
      <c r="F502" s="96" t="s">
        <v>916</v>
      </c>
      <c r="G502" s="96" t="b">
        <v>0</v>
      </c>
      <c r="H502" s="96" t="b">
        <v>0</v>
      </c>
      <c r="I502" s="96" t="b">
        <v>0</v>
      </c>
      <c r="J502" s="96" t="b">
        <v>0</v>
      </c>
      <c r="K502" s="96" t="b">
        <v>0</v>
      </c>
      <c r="L502" s="96" t="b">
        <v>0</v>
      </c>
    </row>
    <row r="503" spans="1:12" ht="15">
      <c r="A503" s="97" t="s">
        <v>1258</v>
      </c>
      <c r="B503" s="96" t="s">
        <v>1267</v>
      </c>
      <c r="C503" s="96">
        <v>3</v>
      </c>
      <c r="D503" s="110">
        <v>0.01032102842276507</v>
      </c>
      <c r="E503" s="110">
        <v>1.6101276130759954</v>
      </c>
      <c r="F503" s="96" t="s">
        <v>916</v>
      </c>
      <c r="G503" s="96" t="b">
        <v>0</v>
      </c>
      <c r="H503" s="96" t="b">
        <v>0</v>
      </c>
      <c r="I503" s="96" t="b">
        <v>0</v>
      </c>
      <c r="J503" s="96" t="b">
        <v>0</v>
      </c>
      <c r="K503" s="96" t="b">
        <v>0</v>
      </c>
      <c r="L503" s="96" t="b">
        <v>0</v>
      </c>
    </row>
    <row r="504" spans="1:12" ht="15">
      <c r="A504" s="97" t="s">
        <v>1276</v>
      </c>
      <c r="B504" s="96" t="s">
        <v>1277</v>
      </c>
      <c r="C504" s="96">
        <v>3</v>
      </c>
      <c r="D504" s="110">
        <v>0.01032102842276507</v>
      </c>
      <c r="E504" s="110">
        <v>1.7350663496842953</v>
      </c>
      <c r="F504" s="96" t="s">
        <v>916</v>
      </c>
      <c r="G504" s="96" t="b">
        <v>0</v>
      </c>
      <c r="H504" s="96" t="b">
        <v>0</v>
      </c>
      <c r="I504" s="96" t="b">
        <v>0</v>
      </c>
      <c r="J504" s="96" t="b">
        <v>0</v>
      </c>
      <c r="K504" s="96" t="b">
        <v>0</v>
      </c>
      <c r="L504" s="96" t="b">
        <v>0</v>
      </c>
    </row>
    <row r="505" spans="1:12" ht="15">
      <c r="A505" s="97" t="s">
        <v>1003</v>
      </c>
      <c r="B505" s="96" t="s">
        <v>1001</v>
      </c>
      <c r="C505" s="96">
        <v>3</v>
      </c>
      <c r="D505" s="110">
        <v>0.01032102842276507</v>
      </c>
      <c r="E505" s="110">
        <v>1.6101276130759954</v>
      </c>
      <c r="F505" s="96" t="s">
        <v>916</v>
      </c>
      <c r="G505" s="96" t="b">
        <v>0</v>
      </c>
      <c r="H505" s="96" t="b">
        <v>0</v>
      </c>
      <c r="I505" s="96" t="b">
        <v>0</v>
      </c>
      <c r="J505" s="96" t="b">
        <v>0</v>
      </c>
      <c r="K505" s="96" t="b">
        <v>0</v>
      </c>
      <c r="L505" s="96" t="b">
        <v>0</v>
      </c>
    </row>
    <row r="506" spans="1:12" ht="15">
      <c r="A506" s="97" t="s">
        <v>1269</v>
      </c>
      <c r="B506" s="96" t="s">
        <v>1271</v>
      </c>
      <c r="C506" s="96">
        <v>3</v>
      </c>
      <c r="D506" s="110">
        <v>0.01032102842276507</v>
      </c>
      <c r="E506" s="110">
        <v>1.7350663496842953</v>
      </c>
      <c r="F506" s="96" t="s">
        <v>916</v>
      </c>
      <c r="G506" s="96" t="b">
        <v>0</v>
      </c>
      <c r="H506" s="96" t="b">
        <v>0</v>
      </c>
      <c r="I506" s="96" t="b">
        <v>0</v>
      </c>
      <c r="J506" s="96" t="b">
        <v>0</v>
      </c>
      <c r="K506" s="96" t="b">
        <v>0</v>
      </c>
      <c r="L506" s="96" t="b">
        <v>0</v>
      </c>
    </row>
    <row r="507" spans="1:12" ht="15">
      <c r="A507" s="97" t="s">
        <v>1267</v>
      </c>
      <c r="B507" s="96" t="s">
        <v>1276</v>
      </c>
      <c r="C507" s="96">
        <v>3</v>
      </c>
      <c r="D507" s="110">
        <v>0.01032102842276507</v>
      </c>
      <c r="E507" s="110">
        <v>1.7350663496842953</v>
      </c>
      <c r="F507" s="96" t="s">
        <v>916</v>
      </c>
      <c r="G507" s="96" t="b">
        <v>0</v>
      </c>
      <c r="H507" s="96" t="b">
        <v>0</v>
      </c>
      <c r="I507" s="96" t="b">
        <v>0</v>
      </c>
      <c r="J507" s="96" t="b">
        <v>0</v>
      </c>
      <c r="K507" s="96" t="b">
        <v>0</v>
      </c>
      <c r="L507" s="96" t="b">
        <v>0</v>
      </c>
    </row>
    <row r="508" spans="1:12" ht="15">
      <c r="A508" s="97" t="s">
        <v>1002</v>
      </c>
      <c r="B508" s="96" t="s">
        <v>1265</v>
      </c>
      <c r="C508" s="96">
        <v>3</v>
      </c>
      <c r="D508" s="110">
        <v>0.01032102842276507</v>
      </c>
      <c r="E508" s="110">
        <v>1.7350663496842953</v>
      </c>
      <c r="F508" s="96" t="s">
        <v>916</v>
      </c>
      <c r="G508" s="96" t="b">
        <v>0</v>
      </c>
      <c r="H508" s="96" t="b">
        <v>0</v>
      </c>
      <c r="I508" s="96" t="b">
        <v>0</v>
      </c>
      <c r="J508" s="96" t="b">
        <v>0</v>
      </c>
      <c r="K508" s="96" t="b">
        <v>0</v>
      </c>
      <c r="L508" s="96" t="b">
        <v>0</v>
      </c>
    </row>
    <row r="509" spans="1:12" ht="15">
      <c r="A509" s="97" t="s">
        <v>1272</v>
      </c>
      <c r="B509" s="96" t="s">
        <v>1268</v>
      </c>
      <c r="C509" s="96">
        <v>3</v>
      </c>
      <c r="D509" s="110">
        <v>0.01032102842276507</v>
      </c>
      <c r="E509" s="110">
        <v>1.7350663496842953</v>
      </c>
      <c r="F509" s="96" t="s">
        <v>916</v>
      </c>
      <c r="G509" s="96" t="b">
        <v>0</v>
      </c>
      <c r="H509" s="96" t="b">
        <v>0</v>
      </c>
      <c r="I509" s="96" t="b">
        <v>0</v>
      </c>
      <c r="J509" s="96" t="b">
        <v>0</v>
      </c>
      <c r="K509" s="96" t="b">
        <v>0</v>
      </c>
      <c r="L509" s="96" t="b">
        <v>0</v>
      </c>
    </row>
    <row r="510" spans="1:12" ht="15">
      <c r="A510" s="97" t="s">
        <v>1263</v>
      </c>
      <c r="B510" s="96" t="s">
        <v>1262</v>
      </c>
      <c r="C510" s="96">
        <v>2</v>
      </c>
      <c r="D510" s="110">
        <v>0.008893157147241641</v>
      </c>
      <c r="E510" s="110">
        <v>1.9111576087399766</v>
      </c>
      <c r="F510" s="96" t="s">
        <v>916</v>
      </c>
      <c r="G510" s="96" t="b">
        <v>0</v>
      </c>
      <c r="H510" s="96" t="b">
        <v>0</v>
      </c>
      <c r="I510" s="96" t="b">
        <v>0</v>
      </c>
      <c r="J510" s="96" t="b">
        <v>0</v>
      </c>
      <c r="K510" s="96" t="b">
        <v>0</v>
      </c>
      <c r="L510" s="96" t="b">
        <v>0</v>
      </c>
    </row>
    <row r="511" spans="1:12" ht="15">
      <c r="A511" s="97" t="s">
        <v>1264</v>
      </c>
      <c r="B511" s="96" t="s">
        <v>1356</v>
      </c>
      <c r="C511" s="96">
        <v>2</v>
      </c>
      <c r="D511" s="110">
        <v>0.008893157147241641</v>
      </c>
      <c r="E511" s="110">
        <v>1.9111576087399766</v>
      </c>
      <c r="F511" s="96" t="s">
        <v>916</v>
      </c>
      <c r="G511" s="96" t="b">
        <v>0</v>
      </c>
      <c r="H511" s="96" t="b">
        <v>0</v>
      </c>
      <c r="I511" s="96" t="b">
        <v>0</v>
      </c>
      <c r="J511" s="96" t="b">
        <v>0</v>
      </c>
      <c r="K511" s="96" t="b">
        <v>0</v>
      </c>
      <c r="L511" s="96" t="b">
        <v>0</v>
      </c>
    </row>
    <row r="512" spans="1:12" ht="15">
      <c r="A512" s="97" t="s">
        <v>1005</v>
      </c>
      <c r="B512" s="96" t="s">
        <v>1263</v>
      </c>
      <c r="C512" s="96">
        <v>2</v>
      </c>
      <c r="D512" s="110">
        <v>0.008893157147241641</v>
      </c>
      <c r="E512" s="110">
        <v>1.9111576087399766</v>
      </c>
      <c r="F512" s="96" t="s">
        <v>916</v>
      </c>
      <c r="G512" s="96" t="b">
        <v>0</v>
      </c>
      <c r="H512" s="96" t="b">
        <v>0</v>
      </c>
      <c r="I512" s="96" t="b">
        <v>0</v>
      </c>
      <c r="J512" s="96" t="b">
        <v>0</v>
      </c>
      <c r="K512" s="96" t="b">
        <v>0</v>
      </c>
      <c r="L512" s="96" t="b">
        <v>0</v>
      </c>
    </row>
    <row r="513" spans="1:12" ht="15">
      <c r="A513" s="97" t="s">
        <v>1262</v>
      </c>
      <c r="B513" s="96" t="s">
        <v>1264</v>
      </c>
      <c r="C513" s="96">
        <v>2</v>
      </c>
      <c r="D513" s="110">
        <v>0.008893157147241641</v>
      </c>
      <c r="E513" s="110">
        <v>1.9111576087399766</v>
      </c>
      <c r="F513" s="96" t="s">
        <v>916</v>
      </c>
      <c r="G513" s="96" t="b">
        <v>0</v>
      </c>
      <c r="H513" s="96" t="b">
        <v>0</v>
      </c>
      <c r="I513" s="96" t="b">
        <v>0</v>
      </c>
      <c r="J513" s="96" t="b">
        <v>0</v>
      </c>
      <c r="K513" s="96" t="b">
        <v>0</v>
      </c>
      <c r="L513" s="96" t="b">
        <v>0</v>
      </c>
    </row>
    <row r="514" spans="1:12" ht="15">
      <c r="A514" s="97" t="s">
        <v>1277</v>
      </c>
      <c r="B514" s="96" t="s">
        <v>1005</v>
      </c>
      <c r="C514" s="96">
        <v>2</v>
      </c>
      <c r="D514" s="110">
        <v>0.008893157147241641</v>
      </c>
      <c r="E514" s="110">
        <v>1.133006358356333</v>
      </c>
      <c r="F514" s="96" t="s">
        <v>916</v>
      </c>
      <c r="G514" s="96" t="b">
        <v>0</v>
      </c>
      <c r="H514" s="96" t="b">
        <v>0</v>
      </c>
      <c r="I514" s="96" t="b">
        <v>0</v>
      </c>
      <c r="J514" s="96" t="b">
        <v>0</v>
      </c>
      <c r="K514" s="96" t="b">
        <v>0</v>
      </c>
      <c r="L514" s="96" t="b">
        <v>0</v>
      </c>
    </row>
    <row r="515" spans="1:12" ht="15">
      <c r="A515" s="97" t="s">
        <v>1001</v>
      </c>
      <c r="B515" s="96" t="s">
        <v>1002</v>
      </c>
      <c r="C515" s="96">
        <v>17</v>
      </c>
      <c r="D515" s="110">
        <v>0.010071804333836578</v>
      </c>
      <c r="E515" s="110">
        <v>1.4214805302268918</v>
      </c>
      <c r="F515" s="96" t="s">
        <v>917</v>
      </c>
      <c r="G515" s="96" t="b">
        <v>0</v>
      </c>
      <c r="H515" s="96" t="b">
        <v>0</v>
      </c>
      <c r="I515" s="96" t="b">
        <v>0</v>
      </c>
      <c r="J515" s="96" t="b">
        <v>0</v>
      </c>
      <c r="K515" s="96" t="b">
        <v>0</v>
      </c>
      <c r="L515" s="96" t="b">
        <v>0</v>
      </c>
    </row>
    <row r="516" spans="1:12" ht="15">
      <c r="A516" s="97" t="s">
        <v>1003</v>
      </c>
      <c r="B516" s="96" t="s">
        <v>1004</v>
      </c>
      <c r="C516" s="96">
        <v>17</v>
      </c>
      <c r="D516" s="110">
        <v>0.010071804333836578</v>
      </c>
      <c r="E516" s="110">
        <v>1.492061604512599</v>
      </c>
      <c r="F516" s="96" t="s">
        <v>917</v>
      </c>
      <c r="G516" s="96" t="b">
        <v>0</v>
      </c>
      <c r="H516" s="96" t="b">
        <v>0</v>
      </c>
      <c r="I516" s="96" t="b">
        <v>0</v>
      </c>
      <c r="J516" s="96" t="b">
        <v>0</v>
      </c>
      <c r="K516" s="96" t="b">
        <v>0</v>
      </c>
      <c r="L516" s="96" t="b">
        <v>0</v>
      </c>
    </row>
    <row r="517" spans="1:12" ht="15">
      <c r="A517" s="97" t="s">
        <v>982</v>
      </c>
      <c r="B517" s="96" t="s">
        <v>1003</v>
      </c>
      <c r="C517" s="96">
        <v>17</v>
      </c>
      <c r="D517" s="110">
        <v>0.010071804333836578</v>
      </c>
      <c r="E517" s="110">
        <v>1.3800878450686669</v>
      </c>
      <c r="F517" s="96" t="s">
        <v>917</v>
      </c>
      <c r="G517" s="96" t="b">
        <v>0</v>
      </c>
      <c r="H517" s="96" t="b">
        <v>0</v>
      </c>
      <c r="I517" s="96" t="b">
        <v>0</v>
      </c>
      <c r="J517" s="96" t="b">
        <v>0</v>
      </c>
      <c r="K517" s="96" t="b">
        <v>0</v>
      </c>
      <c r="L517" s="96" t="b">
        <v>0</v>
      </c>
    </row>
    <row r="518" spans="1:12" ht="15">
      <c r="A518" s="97" t="s">
        <v>1000</v>
      </c>
      <c r="B518" s="96" t="s">
        <v>982</v>
      </c>
      <c r="C518" s="96">
        <v>16</v>
      </c>
      <c r="D518" s="110">
        <v>0.01011473442514572</v>
      </c>
      <c r="E518" s="110">
        <v>1.0315396116123983</v>
      </c>
      <c r="F518" s="96" t="s">
        <v>917</v>
      </c>
      <c r="G518" s="96" t="b">
        <v>0</v>
      </c>
      <c r="H518" s="96" t="b">
        <v>0</v>
      </c>
      <c r="I518" s="96" t="b">
        <v>0</v>
      </c>
      <c r="J518" s="96" t="b">
        <v>0</v>
      </c>
      <c r="K518" s="96" t="b">
        <v>0</v>
      </c>
      <c r="L518" s="96" t="b">
        <v>0</v>
      </c>
    </row>
    <row r="519" spans="1:12" ht="15">
      <c r="A519" s="97" t="s">
        <v>1004</v>
      </c>
      <c r="B519" s="96" t="s">
        <v>1001</v>
      </c>
      <c r="C519" s="96">
        <v>15</v>
      </c>
      <c r="D519" s="110">
        <v>0.010116697541679168</v>
      </c>
      <c r="E519" s="110">
        <v>1.4377039421900064</v>
      </c>
      <c r="F519" s="96" t="s">
        <v>917</v>
      </c>
      <c r="G519" s="96" t="b">
        <v>0</v>
      </c>
      <c r="H519" s="96" t="b">
        <v>0</v>
      </c>
      <c r="I519" s="96" t="b">
        <v>0</v>
      </c>
      <c r="J519" s="96" t="b">
        <v>0</v>
      </c>
      <c r="K519" s="96" t="b">
        <v>0</v>
      </c>
      <c r="L519" s="96" t="b">
        <v>0</v>
      </c>
    </row>
    <row r="520" spans="1:12" ht="15">
      <c r="A520" s="97" t="s">
        <v>1013</v>
      </c>
      <c r="B520" s="96" t="s">
        <v>1007</v>
      </c>
      <c r="C520" s="96">
        <v>15</v>
      </c>
      <c r="D520" s="110">
        <v>0.010116697541679168</v>
      </c>
      <c r="E520" s="110">
        <v>1.6170003411208989</v>
      </c>
      <c r="F520" s="96" t="s">
        <v>917</v>
      </c>
      <c r="G520" s="96" t="b">
        <v>0</v>
      </c>
      <c r="H520" s="96" t="b">
        <v>0</v>
      </c>
      <c r="I520" s="96" t="b">
        <v>0</v>
      </c>
      <c r="J520" s="96" t="b">
        <v>0</v>
      </c>
      <c r="K520" s="96" t="b">
        <v>0</v>
      </c>
      <c r="L520" s="96" t="b">
        <v>0</v>
      </c>
    </row>
    <row r="521" spans="1:12" ht="15">
      <c r="A521" s="97" t="s">
        <v>1251</v>
      </c>
      <c r="B521" s="96" t="s">
        <v>1006</v>
      </c>
      <c r="C521" s="96">
        <v>15</v>
      </c>
      <c r="D521" s="110">
        <v>0.010116697541679168</v>
      </c>
      <c r="E521" s="110">
        <v>1.5889716175206554</v>
      </c>
      <c r="F521" s="96" t="s">
        <v>917</v>
      </c>
      <c r="G521" s="96" t="b">
        <v>0</v>
      </c>
      <c r="H521" s="96" t="b">
        <v>0</v>
      </c>
      <c r="I521" s="96" t="b">
        <v>0</v>
      </c>
      <c r="J521" s="96" t="b">
        <v>0</v>
      </c>
      <c r="K521" s="96" t="b">
        <v>0</v>
      </c>
      <c r="L521" s="96" t="b">
        <v>0</v>
      </c>
    </row>
    <row r="522" spans="1:12" ht="15">
      <c r="A522" s="97" t="s">
        <v>875</v>
      </c>
      <c r="B522" s="96" t="s">
        <v>1013</v>
      </c>
      <c r="C522" s="96">
        <v>15</v>
      </c>
      <c r="D522" s="110">
        <v>0.010116697541679168</v>
      </c>
      <c r="E522" s="110">
        <v>1.492061604512599</v>
      </c>
      <c r="F522" s="96" t="s">
        <v>917</v>
      </c>
      <c r="G522" s="96" t="b">
        <v>0</v>
      </c>
      <c r="H522" s="96" t="b">
        <v>0</v>
      </c>
      <c r="I522" s="96" t="b">
        <v>0</v>
      </c>
      <c r="J522" s="96" t="b">
        <v>0</v>
      </c>
      <c r="K522" s="96" t="b">
        <v>0</v>
      </c>
      <c r="L522" s="96" t="b">
        <v>0</v>
      </c>
    </row>
    <row r="523" spans="1:12" ht="15">
      <c r="A523" s="97" t="s">
        <v>1006</v>
      </c>
      <c r="B523" s="96" t="s">
        <v>875</v>
      </c>
      <c r="C523" s="96">
        <v>15</v>
      </c>
      <c r="D523" s="110">
        <v>0.010116697541679168</v>
      </c>
      <c r="E523" s="110">
        <v>1.5346139551980629</v>
      </c>
      <c r="F523" s="96" t="s">
        <v>917</v>
      </c>
      <c r="G523" s="96" t="b">
        <v>0</v>
      </c>
      <c r="H523" s="96" t="b">
        <v>0</v>
      </c>
      <c r="I523" s="96" t="b">
        <v>0</v>
      </c>
      <c r="J523" s="96" t="b">
        <v>0</v>
      </c>
      <c r="K523" s="96" t="b">
        <v>0</v>
      </c>
      <c r="L523" s="96" t="b">
        <v>0</v>
      </c>
    </row>
    <row r="524" spans="1:12" ht="15">
      <c r="A524" s="97" t="s">
        <v>1250</v>
      </c>
      <c r="B524" s="96" t="s">
        <v>1249</v>
      </c>
      <c r="C524" s="96">
        <v>14</v>
      </c>
      <c r="D524" s="110">
        <v>0.010074958621531334</v>
      </c>
      <c r="E524" s="110">
        <v>1.5870371177434557</v>
      </c>
      <c r="F524" s="96" t="s">
        <v>917</v>
      </c>
      <c r="G524" s="96" t="b">
        <v>0</v>
      </c>
      <c r="H524" s="96" t="b">
        <v>0</v>
      </c>
      <c r="I524" s="96" t="b">
        <v>0</v>
      </c>
      <c r="J524" s="96" t="b">
        <v>0</v>
      </c>
      <c r="K524" s="96" t="b">
        <v>0</v>
      </c>
      <c r="L524" s="96" t="b">
        <v>0</v>
      </c>
    </row>
    <row r="525" spans="1:12" ht="15">
      <c r="A525" s="97" t="s">
        <v>1007</v>
      </c>
      <c r="B525" s="96" t="s">
        <v>1012</v>
      </c>
      <c r="C525" s="96">
        <v>14</v>
      </c>
      <c r="D525" s="110">
        <v>0.010074958621531334</v>
      </c>
      <c r="E525" s="110">
        <v>1.6170003411208989</v>
      </c>
      <c r="F525" s="96" t="s">
        <v>917</v>
      </c>
      <c r="G525" s="96" t="b">
        <v>0</v>
      </c>
      <c r="H525" s="96" t="b">
        <v>0</v>
      </c>
      <c r="I525" s="96" t="b">
        <v>0</v>
      </c>
      <c r="J525" s="96" t="b">
        <v>0</v>
      </c>
      <c r="K525" s="96" t="b">
        <v>0</v>
      </c>
      <c r="L525" s="96" t="b">
        <v>0</v>
      </c>
    </row>
    <row r="526" spans="1:12" ht="15">
      <c r="A526" s="97" t="s">
        <v>1012</v>
      </c>
      <c r="B526" s="96" t="s">
        <v>1250</v>
      </c>
      <c r="C526" s="96">
        <v>14</v>
      </c>
      <c r="D526" s="110">
        <v>0.010074958621531334</v>
      </c>
      <c r="E526" s="110">
        <v>1.6170003411208989</v>
      </c>
      <c r="F526" s="96" t="s">
        <v>917</v>
      </c>
      <c r="G526" s="96" t="b">
        <v>0</v>
      </c>
      <c r="H526" s="96" t="b">
        <v>0</v>
      </c>
      <c r="I526" s="96" t="b">
        <v>0</v>
      </c>
      <c r="J526" s="96" t="b">
        <v>0</v>
      </c>
      <c r="K526" s="96" t="b">
        <v>0</v>
      </c>
      <c r="L526" s="96" t="b">
        <v>0</v>
      </c>
    </row>
    <row r="527" spans="1:12" ht="15">
      <c r="A527" s="97" t="s">
        <v>1252</v>
      </c>
      <c r="B527" s="96" t="s">
        <v>1251</v>
      </c>
      <c r="C527" s="96">
        <v>12</v>
      </c>
      <c r="D527" s="110">
        <v>0.009847385418104537</v>
      </c>
      <c r="E527" s="110">
        <v>1.582238234861687</v>
      </c>
      <c r="F527" s="96" t="s">
        <v>917</v>
      </c>
      <c r="G527" s="96" t="b">
        <v>0</v>
      </c>
      <c r="H527" s="96" t="b">
        <v>0</v>
      </c>
      <c r="I527" s="96" t="b">
        <v>0</v>
      </c>
      <c r="J527" s="96" t="b">
        <v>0</v>
      </c>
      <c r="K527" s="96" t="b">
        <v>0</v>
      </c>
      <c r="L527" s="96" t="b">
        <v>0</v>
      </c>
    </row>
    <row r="528" spans="1:12" ht="15">
      <c r="A528" s="97" t="s">
        <v>1261</v>
      </c>
      <c r="B528" s="96" t="s">
        <v>1273</v>
      </c>
      <c r="C528" s="96">
        <v>5</v>
      </c>
      <c r="D528" s="110">
        <v>0.006970432021582818</v>
      </c>
      <c r="E528" s="110">
        <v>1.7438735775063985</v>
      </c>
      <c r="F528" s="96" t="s">
        <v>917</v>
      </c>
      <c r="G528" s="96" t="b">
        <v>0</v>
      </c>
      <c r="H528" s="96" t="b">
        <v>0</v>
      </c>
      <c r="I528" s="96" t="b">
        <v>0</v>
      </c>
      <c r="J528" s="96" t="b">
        <v>0</v>
      </c>
      <c r="K528" s="96" t="b">
        <v>0</v>
      </c>
      <c r="L528" s="96" t="b">
        <v>0</v>
      </c>
    </row>
    <row r="529" spans="1:12" ht="15">
      <c r="A529" s="97" t="s">
        <v>1253</v>
      </c>
      <c r="B529" s="96" t="s">
        <v>1261</v>
      </c>
      <c r="C529" s="96">
        <v>5</v>
      </c>
      <c r="D529" s="110">
        <v>0.006970432021582818</v>
      </c>
      <c r="E529" s="110">
        <v>1.6347291080813304</v>
      </c>
      <c r="F529" s="96" t="s">
        <v>917</v>
      </c>
      <c r="G529" s="96" t="b">
        <v>0</v>
      </c>
      <c r="H529" s="96" t="b">
        <v>0</v>
      </c>
      <c r="I529" s="96" t="b">
        <v>0</v>
      </c>
      <c r="J529" s="96" t="b">
        <v>0</v>
      </c>
      <c r="K529" s="96" t="b">
        <v>0</v>
      </c>
      <c r="L529" s="96" t="b">
        <v>0</v>
      </c>
    </row>
    <row r="530" spans="1:12" ht="15">
      <c r="A530" s="97" t="s">
        <v>1002</v>
      </c>
      <c r="B530" s="96" t="s">
        <v>1265</v>
      </c>
      <c r="C530" s="96">
        <v>4</v>
      </c>
      <c r="D530" s="110">
        <v>0.0061610214121866555</v>
      </c>
      <c r="E530" s="110">
        <v>1.492061604512599</v>
      </c>
      <c r="F530" s="96" t="s">
        <v>917</v>
      </c>
      <c r="G530" s="96" t="b">
        <v>0</v>
      </c>
      <c r="H530" s="96" t="b">
        <v>0</v>
      </c>
      <c r="I530" s="96" t="b">
        <v>0</v>
      </c>
      <c r="J530" s="96" t="b">
        <v>0</v>
      </c>
      <c r="K530" s="96" t="b">
        <v>0</v>
      </c>
      <c r="L530" s="96" t="b">
        <v>0</v>
      </c>
    </row>
    <row r="531" spans="1:12" ht="15">
      <c r="A531" s="97" t="s">
        <v>1290</v>
      </c>
      <c r="B531" s="96" t="s">
        <v>1000</v>
      </c>
      <c r="C531" s="96">
        <v>4</v>
      </c>
      <c r="D531" s="110">
        <v>0.0061610214121866555</v>
      </c>
      <c r="E531" s="110">
        <v>1.7139103541289553</v>
      </c>
      <c r="F531" s="96" t="s">
        <v>917</v>
      </c>
      <c r="G531" s="96" t="b">
        <v>0</v>
      </c>
      <c r="H531" s="96" t="b">
        <v>0</v>
      </c>
      <c r="I531" s="96" t="b">
        <v>0</v>
      </c>
      <c r="J531" s="96" t="b">
        <v>0</v>
      </c>
      <c r="K531" s="96" t="b">
        <v>0</v>
      </c>
      <c r="L531" s="96" t="b">
        <v>0</v>
      </c>
    </row>
    <row r="532" spans="1:12" ht="15">
      <c r="A532" s="97" t="s">
        <v>1000</v>
      </c>
      <c r="B532" s="96" t="s">
        <v>1254</v>
      </c>
      <c r="C532" s="96">
        <v>3</v>
      </c>
      <c r="D532" s="110">
        <v>0.0051860997089513035</v>
      </c>
      <c r="E532" s="110">
        <v>0.9479935601623234</v>
      </c>
      <c r="F532" s="96" t="s">
        <v>917</v>
      </c>
      <c r="G532" s="96" t="b">
        <v>0</v>
      </c>
      <c r="H532" s="96" t="b">
        <v>0</v>
      </c>
      <c r="I532" s="96" t="b">
        <v>0</v>
      </c>
      <c r="J532" s="96" t="b">
        <v>0</v>
      </c>
      <c r="K532" s="96" t="b">
        <v>0</v>
      </c>
      <c r="L532" s="96" t="b">
        <v>0</v>
      </c>
    </row>
    <row r="533" spans="1:12" ht="15">
      <c r="A533" s="97" t="s">
        <v>1268</v>
      </c>
      <c r="B533" s="96" t="s">
        <v>1258</v>
      </c>
      <c r="C533" s="96">
        <v>3</v>
      </c>
      <c r="D533" s="110">
        <v>0.0051860997089513035</v>
      </c>
      <c r="E533" s="110">
        <v>2.315970345456918</v>
      </c>
      <c r="F533" s="96" t="s">
        <v>917</v>
      </c>
      <c r="G533" s="96" t="b">
        <v>0</v>
      </c>
      <c r="H533" s="96" t="b">
        <v>0</v>
      </c>
      <c r="I533" s="96" t="b">
        <v>0</v>
      </c>
      <c r="J533" s="96" t="b">
        <v>0</v>
      </c>
      <c r="K533" s="96" t="b">
        <v>0</v>
      </c>
      <c r="L533" s="96" t="b">
        <v>0</v>
      </c>
    </row>
    <row r="534" spans="1:12" ht="15">
      <c r="A534" s="97" t="s">
        <v>1000</v>
      </c>
      <c r="B534" s="96" t="s">
        <v>1253</v>
      </c>
      <c r="C534" s="96">
        <v>3</v>
      </c>
      <c r="D534" s="110">
        <v>0.0051860997089513035</v>
      </c>
      <c r="E534" s="110">
        <v>0.6927210550590173</v>
      </c>
      <c r="F534" s="96" t="s">
        <v>917</v>
      </c>
      <c r="G534" s="96" t="b">
        <v>0</v>
      </c>
      <c r="H534" s="96" t="b">
        <v>0</v>
      </c>
      <c r="I534" s="96" t="b">
        <v>0</v>
      </c>
      <c r="J534" s="96" t="b">
        <v>0</v>
      </c>
      <c r="K534" s="96" t="b">
        <v>0</v>
      </c>
      <c r="L534" s="96" t="b">
        <v>0</v>
      </c>
    </row>
    <row r="535" spans="1:12" ht="15">
      <c r="A535" s="97" t="s">
        <v>1256</v>
      </c>
      <c r="B535" s="96" t="s">
        <v>1290</v>
      </c>
      <c r="C535" s="96">
        <v>3</v>
      </c>
      <c r="D535" s="110">
        <v>0.0051860997089513035</v>
      </c>
      <c r="E535" s="110">
        <v>1.7139103541289553</v>
      </c>
      <c r="F535" s="96" t="s">
        <v>917</v>
      </c>
      <c r="G535" s="96" t="b">
        <v>0</v>
      </c>
      <c r="H535" s="96" t="b">
        <v>0</v>
      </c>
      <c r="I535" s="96" t="b">
        <v>0</v>
      </c>
      <c r="J535" s="96" t="b">
        <v>0</v>
      </c>
      <c r="K535" s="96" t="b">
        <v>0</v>
      </c>
      <c r="L535" s="96" t="b">
        <v>0</v>
      </c>
    </row>
    <row r="536" spans="1:12" ht="15">
      <c r="A536" s="97" t="s">
        <v>1000</v>
      </c>
      <c r="B536" s="96" t="s">
        <v>1009</v>
      </c>
      <c r="C536" s="96">
        <v>3</v>
      </c>
      <c r="D536" s="110">
        <v>0.0051860997089513035</v>
      </c>
      <c r="E536" s="110">
        <v>1.0449035731703797</v>
      </c>
      <c r="F536" s="96" t="s">
        <v>917</v>
      </c>
      <c r="G536" s="96" t="b">
        <v>0</v>
      </c>
      <c r="H536" s="96" t="b">
        <v>0</v>
      </c>
      <c r="I536" s="96" t="b">
        <v>0</v>
      </c>
      <c r="J536" s="96" t="b">
        <v>0</v>
      </c>
      <c r="K536" s="96" t="b">
        <v>0</v>
      </c>
      <c r="L536" s="96" t="b">
        <v>0</v>
      </c>
    </row>
    <row r="537" spans="1:12" ht="15">
      <c r="A537" s="97" t="s">
        <v>1259</v>
      </c>
      <c r="B537" s="96" t="s">
        <v>1283</v>
      </c>
      <c r="C537" s="96">
        <v>3</v>
      </c>
      <c r="D537" s="110">
        <v>0.0051860997089513035</v>
      </c>
      <c r="E537" s="110">
        <v>1.7930916001765802</v>
      </c>
      <c r="F537" s="96" t="s">
        <v>917</v>
      </c>
      <c r="G537" s="96" t="b">
        <v>0</v>
      </c>
      <c r="H537" s="96" t="b">
        <v>0</v>
      </c>
      <c r="I537" s="96" t="b">
        <v>0</v>
      </c>
      <c r="J537" s="96" t="b">
        <v>0</v>
      </c>
      <c r="K537" s="96" t="b">
        <v>0</v>
      </c>
      <c r="L537" s="96" t="b">
        <v>0</v>
      </c>
    </row>
    <row r="538" spans="1:12" ht="15">
      <c r="A538" s="97" t="s">
        <v>1271</v>
      </c>
      <c r="B538" s="96" t="s">
        <v>1272</v>
      </c>
      <c r="C538" s="96">
        <v>3</v>
      </c>
      <c r="D538" s="110">
        <v>0.0051860997089513035</v>
      </c>
      <c r="E538" s="110">
        <v>2.315970345456918</v>
      </c>
      <c r="F538" s="96" t="s">
        <v>917</v>
      </c>
      <c r="G538" s="96" t="b">
        <v>0</v>
      </c>
      <c r="H538" s="96" t="b">
        <v>0</v>
      </c>
      <c r="I538" s="96" t="b">
        <v>0</v>
      </c>
      <c r="J538" s="96" t="b">
        <v>0</v>
      </c>
      <c r="K538" s="96" t="b">
        <v>0</v>
      </c>
      <c r="L538" s="96" t="b">
        <v>0</v>
      </c>
    </row>
    <row r="539" spans="1:12" ht="15">
      <c r="A539" s="97" t="s">
        <v>1326</v>
      </c>
      <c r="B539" s="96" t="s">
        <v>1329</v>
      </c>
      <c r="C539" s="96">
        <v>3</v>
      </c>
      <c r="D539" s="110">
        <v>0.0051860997089513035</v>
      </c>
      <c r="E539" s="110">
        <v>2.315970345456918</v>
      </c>
      <c r="F539" s="96" t="s">
        <v>917</v>
      </c>
      <c r="G539" s="96" t="b">
        <v>0</v>
      </c>
      <c r="H539" s="96" t="b">
        <v>0</v>
      </c>
      <c r="I539" s="96" t="b">
        <v>0</v>
      </c>
      <c r="J539" s="96" t="b">
        <v>0</v>
      </c>
      <c r="K539" s="96" t="b">
        <v>0</v>
      </c>
      <c r="L539" s="96" t="b">
        <v>0</v>
      </c>
    </row>
    <row r="540" spans="1:12" ht="15">
      <c r="A540" s="97" t="s">
        <v>1263</v>
      </c>
      <c r="B540" s="96" t="s">
        <v>1262</v>
      </c>
      <c r="C540" s="96">
        <v>3</v>
      </c>
      <c r="D540" s="110">
        <v>0.0051860997089513035</v>
      </c>
      <c r="E540" s="110">
        <v>2.315970345456918</v>
      </c>
      <c r="F540" s="96" t="s">
        <v>917</v>
      </c>
      <c r="G540" s="96" t="b">
        <v>0</v>
      </c>
      <c r="H540" s="96" t="b">
        <v>0</v>
      </c>
      <c r="I540" s="96" t="b">
        <v>0</v>
      </c>
      <c r="J540" s="96" t="b">
        <v>0</v>
      </c>
      <c r="K540" s="96" t="b">
        <v>0</v>
      </c>
      <c r="L540" s="96" t="b">
        <v>0</v>
      </c>
    </row>
    <row r="541" spans="1:12" ht="15">
      <c r="A541" s="97" t="s">
        <v>1275</v>
      </c>
      <c r="B541" s="96" t="s">
        <v>1255</v>
      </c>
      <c r="C541" s="96">
        <v>3</v>
      </c>
      <c r="D541" s="110">
        <v>0.0051860997089513035</v>
      </c>
      <c r="E541" s="110">
        <v>2.315970345456918</v>
      </c>
      <c r="F541" s="96" t="s">
        <v>917</v>
      </c>
      <c r="G541" s="96" t="b">
        <v>0</v>
      </c>
      <c r="H541" s="96" t="b">
        <v>0</v>
      </c>
      <c r="I541" s="96" t="b">
        <v>0</v>
      </c>
      <c r="J541" s="96" t="b">
        <v>0</v>
      </c>
      <c r="K541" s="96" t="b">
        <v>0</v>
      </c>
      <c r="L541" s="96" t="b">
        <v>0</v>
      </c>
    </row>
    <row r="542" spans="1:12" ht="15">
      <c r="A542" s="97" t="s">
        <v>1257</v>
      </c>
      <c r="B542" s="96" t="s">
        <v>1294</v>
      </c>
      <c r="C542" s="96">
        <v>3</v>
      </c>
      <c r="D542" s="110">
        <v>0.0051860997089513035</v>
      </c>
      <c r="E542" s="110">
        <v>2.0941215958405612</v>
      </c>
      <c r="F542" s="96" t="s">
        <v>917</v>
      </c>
      <c r="G542" s="96" t="b">
        <v>0</v>
      </c>
      <c r="H542" s="96" t="b">
        <v>0</v>
      </c>
      <c r="I542" s="96" t="b">
        <v>0</v>
      </c>
      <c r="J542" s="96" t="b">
        <v>0</v>
      </c>
      <c r="K542" s="96" t="b">
        <v>0</v>
      </c>
      <c r="L542" s="96" t="b">
        <v>0</v>
      </c>
    </row>
    <row r="543" spans="1:12" ht="15">
      <c r="A543" s="97" t="s">
        <v>1258</v>
      </c>
      <c r="B543" s="96" t="s">
        <v>1267</v>
      </c>
      <c r="C543" s="96">
        <v>3</v>
      </c>
      <c r="D543" s="110">
        <v>0.0051860997089513035</v>
      </c>
      <c r="E543" s="110">
        <v>2.315970345456918</v>
      </c>
      <c r="F543" s="96" t="s">
        <v>917</v>
      </c>
      <c r="G543" s="96" t="b">
        <v>0</v>
      </c>
      <c r="H543" s="96" t="b">
        <v>0</v>
      </c>
      <c r="I543" s="96" t="b">
        <v>0</v>
      </c>
      <c r="J543" s="96" t="b">
        <v>0</v>
      </c>
      <c r="K543" s="96" t="b">
        <v>0</v>
      </c>
      <c r="L543" s="96" t="b">
        <v>0</v>
      </c>
    </row>
    <row r="544" spans="1:12" ht="15">
      <c r="A544" s="97" t="s">
        <v>1329</v>
      </c>
      <c r="B544" s="96" t="s">
        <v>1256</v>
      </c>
      <c r="C544" s="96">
        <v>3</v>
      </c>
      <c r="D544" s="110">
        <v>0.0051860997089513035</v>
      </c>
      <c r="E544" s="110">
        <v>1.8388490907372552</v>
      </c>
      <c r="F544" s="96" t="s">
        <v>917</v>
      </c>
      <c r="G544" s="96" t="b">
        <v>0</v>
      </c>
      <c r="H544" s="96" t="b">
        <v>0</v>
      </c>
      <c r="I544" s="96" t="b">
        <v>0</v>
      </c>
      <c r="J544" s="96" t="b">
        <v>0</v>
      </c>
      <c r="K544" s="96" t="b">
        <v>0</v>
      </c>
      <c r="L544" s="96" t="b">
        <v>0</v>
      </c>
    </row>
    <row r="545" spans="1:12" ht="15">
      <c r="A545" s="97" t="s">
        <v>1269</v>
      </c>
      <c r="B545" s="96" t="s">
        <v>1271</v>
      </c>
      <c r="C545" s="96">
        <v>3</v>
      </c>
      <c r="D545" s="110">
        <v>0.0051860997089513035</v>
      </c>
      <c r="E545" s="110">
        <v>2.315970345456918</v>
      </c>
      <c r="F545" s="96" t="s">
        <v>917</v>
      </c>
      <c r="G545" s="96" t="b">
        <v>0</v>
      </c>
      <c r="H545" s="96" t="b">
        <v>0</v>
      </c>
      <c r="I545" s="96" t="b">
        <v>0</v>
      </c>
      <c r="J545" s="96" t="b">
        <v>0</v>
      </c>
      <c r="K545" s="96" t="b">
        <v>0</v>
      </c>
      <c r="L545" s="96" t="b">
        <v>0</v>
      </c>
    </row>
    <row r="546" spans="1:12" ht="15">
      <c r="A546" s="97" t="s">
        <v>1294</v>
      </c>
      <c r="B546" s="96" t="s">
        <v>1326</v>
      </c>
      <c r="C546" s="96">
        <v>3</v>
      </c>
      <c r="D546" s="110">
        <v>0.0051860997089513035</v>
      </c>
      <c r="E546" s="110">
        <v>2.315970345456918</v>
      </c>
      <c r="F546" s="96" t="s">
        <v>917</v>
      </c>
      <c r="G546" s="96" t="b">
        <v>0</v>
      </c>
      <c r="H546" s="96" t="b">
        <v>0</v>
      </c>
      <c r="I546" s="96" t="b">
        <v>0</v>
      </c>
      <c r="J546" s="96" t="b">
        <v>0</v>
      </c>
      <c r="K546" s="96" t="b">
        <v>0</v>
      </c>
      <c r="L546" s="96" t="b">
        <v>0</v>
      </c>
    </row>
    <row r="547" spans="1:12" ht="15">
      <c r="A547" s="97" t="s">
        <v>1262</v>
      </c>
      <c r="B547" s="96" t="s">
        <v>1264</v>
      </c>
      <c r="C547" s="96">
        <v>3</v>
      </c>
      <c r="D547" s="110">
        <v>0.0051860997089513035</v>
      </c>
      <c r="E547" s="110">
        <v>2.315970345456918</v>
      </c>
      <c r="F547" s="96" t="s">
        <v>917</v>
      </c>
      <c r="G547" s="96" t="b">
        <v>0</v>
      </c>
      <c r="H547" s="96" t="b">
        <v>0</v>
      </c>
      <c r="I547" s="96" t="b">
        <v>0</v>
      </c>
      <c r="J547" s="96" t="b">
        <v>0</v>
      </c>
      <c r="K547" s="96" t="b">
        <v>0</v>
      </c>
      <c r="L547" s="96" t="b">
        <v>0</v>
      </c>
    </row>
    <row r="548" spans="1:12" ht="15">
      <c r="A548" s="97" t="s">
        <v>1256</v>
      </c>
      <c r="B548" s="96" t="s">
        <v>1000</v>
      </c>
      <c r="C548" s="96">
        <v>3</v>
      </c>
      <c r="D548" s="110">
        <v>0.0051860997089513035</v>
      </c>
      <c r="E548" s="110">
        <v>1.236789099409293</v>
      </c>
      <c r="F548" s="96" t="s">
        <v>917</v>
      </c>
      <c r="G548" s="96" t="b">
        <v>0</v>
      </c>
      <c r="H548" s="96" t="b">
        <v>0</v>
      </c>
      <c r="I548" s="96" t="b">
        <v>0</v>
      </c>
      <c r="J548" s="96" t="b">
        <v>0</v>
      </c>
      <c r="K548" s="96" t="b">
        <v>0</v>
      </c>
      <c r="L548" s="96" t="b">
        <v>0</v>
      </c>
    </row>
    <row r="549" spans="1:12" ht="15">
      <c r="A549" s="97" t="s">
        <v>1255</v>
      </c>
      <c r="B549" s="96" t="s">
        <v>1000</v>
      </c>
      <c r="C549" s="96">
        <v>2</v>
      </c>
      <c r="D549" s="110">
        <v>0.003988595157568384</v>
      </c>
      <c r="E549" s="110">
        <v>1.5378190950732742</v>
      </c>
      <c r="F549" s="96" t="s">
        <v>917</v>
      </c>
      <c r="G549" s="96" t="b">
        <v>0</v>
      </c>
      <c r="H549" s="96" t="b">
        <v>0</v>
      </c>
      <c r="I549" s="96" t="b">
        <v>0</v>
      </c>
      <c r="J549" s="96" t="b">
        <v>0</v>
      </c>
      <c r="K549" s="96" t="b">
        <v>0</v>
      </c>
      <c r="L549" s="96" t="b">
        <v>0</v>
      </c>
    </row>
    <row r="550" spans="1:12" ht="15">
      <c r="A550" s="97" t="s">
        <v>982</v>
      </c>
      <c r="B550" s="96" t="s">
        <v>1261</v>
      </c>
      <c r="C550" s="96">
        <v>2</v>
      </c>
      <c r="D550" s="110">
        <v>0.003988595157568384</v>
      </c>
      <c r="E550" s="110">
        <v>0.8486089280264115</v>
      </c>
      <c r="F550" s="96" t="s">
        <v>917</v>
      </c>
      <c r="G550" s="96" t="b">
        <v>0</v>
      </c>
      <c r="H550" s="96" t="b">
        <v>0</v>
      </c>
      <c r="I550" s="96" t="b">
        <v>0</v>
      </c>
      <c r="J550" s="96" t="b">
        <v>0</v>
      </c>
      <c r="K550" s="96" t="b">
        <v>0</v>
      </c>
      <c r="L550" s="96" t="b">
        <v>0</v>
      </c>
    </row>
    <row r="551" spans="1:12" ht="15">
      <c r="A551" s="97" t="s">
        <v>1253</v>
      </c>
      <c r="B551" s="96" t="s">
        <v>1282</v>
      </c>
      <c r="C551" s="96">
        <v>2</v>
      </c>
      <c r="D551" s="110">
        <v>0.003988595157568384</v>
      </c>
      <c r="E551" s="110">
        <v>1.8388490907372552</v>
      </c>
      <c r="F551" s="96" t="s">
        <v>917</v>
      </c>
      <c r="G551" s="96" t="b">
        <v>0</v>
      </c>
      <c r="H551" s="96" t="b">
        <v>0</v>
      </c>
      <c r="I551" s="96" t="b">
        <v>0</v>
      </c>
      <c r="J551" s="96" t="b">
        <v>0</v>
      </c>
      <c r="K551" s="96" t="b">
        <v>0</v>
      </c>
      <c r="L551" s="96" t="b">
        <v>0</v>
      </c>
    </row>
    <row r="552" spans="1:12" ht="15">
      <c r="A552" s="97" t="s">
        <v>1260</v>
      </c>
      <c r="B552" s="96" t="s">
        <v>1283</v>
      </c>
      <c r="C552" s="96">
        <v>2</v>
      </c>
      <c r="D552" s="110">
        <v>0.003988595157568384</v>
      </c>
      <c r="E552" s="110">
        <v>1.7930916001765802</v>
      </c>
      <c r="F552" s="96" t="s">
        <v>917</v>
      </c>
      <c r="G552" s="96" t="b">
        <v>0</v>
      </c>
      <c r="H552" s="96" t="b">
        <v>0</v>
      </c>
      <c r="I552" s="96" t="b">
        <v>0</v>
      </c>
      <c r="J552" s="96" t="b">
        <v>0</v>
      </c>
      <c r="K552" s="96" t="b">
        <v>0</v>
      </c>
      <c r="L552" s="96" t="b">
        <v>0</v>
      </c>
    </row>
    <row r="553" spans="1:12" ht="15">
      <c r="A553" s="97" t="s">
        <v>1270</v>
      </c>
      <c r="B553" s="96" t="s">
        <v>1288</v>
      </c>
      <c r="C553" s="96">
        <v>2</v>
      </c>
      <c r="D553" s="110">
        <v>0.003988595157568384</v>
      </c>
      <c r="E553" s="110">
        <v>2.315970345456918</v>
      </c>
      <c r="F553" s="96" t="s">
        <v>917</v>
      </c>
      <c r="G553" s="96" t="b">
        <v>0</v>
      </c>
      <c r="H553" s="96" t="b">
        <v>0</v>
      </c>
      <c r="I553" s="96" t="b">
        <v>0</v>
      </c>
      <c r="J553" s="96" t="b">
        <v>0</v>
      </c>
      <c r="K553" s="96" t="b">
        <v>0</v>
      </c>
      <c r="L553" s="96" t="b">
        <v>0</v>
      </c>
    </row>
    <row r="554" spans="1:12" ht="15">
      <c r="A554" s="97" t="s">
        <v>1000</v>
      </c>
      <c r="B554" s="96" t="s">
        <v>1003</v>
      </c>
      <c r="C554" s="96">
        <v>2</v>
      </c>
      <c r="D554" s="110">
        <v>0.003988595157568384</v>
      </c>
      <c r="E554" s="110">
        <v>0.16984230977867976</v>
      </c>
      <c r="F554" s="96" t="s">
        <v>917</v>
      </c>
      <c r="G554" s="96" t="b">
        <v>0</v>
      </c>
      <c r="H554" s="96" t="b">
        <v>0</v>
      </c>
      <c r="I554" s="96" t="b">
        <v>0</v>
      </c>
      <c r="J554" s="96" t="b">
        <v>0</v>
      </c>
      <c r="K554" s="96" t="b">
        <v>0</v>
      </c>
      <c r="L554" s="96" t="b">
        <v>0</v>
      </c>
    </row>
    <row r="555" spans="1:12" ht="15">
      <c r="A555" s="97" t="s">
        <v>1015</v>
      </c>
      <c r="B555" s="96" t="s">
        <v>1278</v>
      </c>
      <c r="C555" s="96">
        <v>2</v>
      </c>
      <c r="D555" s="110">
        <v>0.003988595157568384</v>
      </c>
      <c r="E555" s="110">
        <v>2.492061604512599</v>
      </c>
      <c r="F555" s="96" t="s">
        <v>917</v>
      </c>
      <c r="G555" s="96" t="b">
        <v>0</v>
      </c>
      <c r="H555" s="96" t="b">
        <v>0</v>
      </c>
      <c r="I555" s="96" t="b">
        <v>0</v>
      </c>
      <c r="J555" s="96" t="b">
        <v>0</v>
      </c>
      <c r="K555" s="96" t="b">
        <v>0</v>
      </c>
      <c r="L555" s="96" t="b">
        <v>0</v>
      </c>
    </row>
    <row r="556" spans="1:12" ht="15">
      <c r="A556" s="97" t="s">
        <v>1000</v>
      </c>
      <c r="B556" s="96" t="s">
        <v>1337</v>
      </c>
      <c r="C556" s="96">
        <v>2</v>
      </c>
      <c r="D556" s="110">
        <v>0.003988595157568384</v>
      </c>
      <c r="E556" s="110">
        <v>0.9937510507229985</v>
      </c>
      <c r="F556" s="96" t="s">
        <v>917</v>
      </c>
      <c r="G556" s="96" t="b">
        <v>0</v>
      </c>
      <c r="H556" s="96" t="b">
        <v>0</v>
      </c>
      <c r="I556" s="96" t="b">
        <v>0</v>
      </c>
      <c r="J556" s="96" t="b">
        <v>0</v>
      </c>
      <c r="K556" s="96" t="b">
        <v>0</v>
      </c>
      <c r="L556" s="96" t="b">
        <v>0</v>
      </c>
    </row>
    <row r="557" spans="1:12" ht="15">
      <c r="A557" s="97" t="s">
        <v>1253</v>
      </c>
      <c r="B557" s="96" t="s">
        <v>1293</v>
      </c>
      <c r="C557" s="96">
        <v>2</v>
      </c>
      <c r="D557" s="110">
        <v>0.003988595157568384</v>
      </c>
      <c r="E557" s="110">
        <v>1.8388490907372552</v>
      </c>
      <c r="F557" s="96" t="s">
        <v>917</v>
      </c>
      <c r="G557" s="96" t="b">
        <v>0</v>
      </c>
      <c r="H557" s="96" t="b">
        <v>0</v>
      </c>
      <c r="I557" s="96" t="b">
        <v>0</v>
      </c>
      <c r="J557" s="96" t="b">
        <v>0</v>
      </c>
      <c r="K557" s="96" t="b">
        <v>0</v>
      </c>
      <c r="L557" s="96" t="b">
        <v>0</v>
      </c>
    </row>
    <row r="558" spans="1:12" ht="15">
      <c r="A558" s="97" t="s">
        <v>1324</v>
      </c>
      <c r="B558" s="96" t="s">
        <v>1270</v>
      </c>
      <c r="C558" s="96">
        <v>2</v>
      </c>
      <c r="D558" s="110">
        <v>0.003988595157568384</v>
      </c>
      <c r="E558" s="110">
        <v>2.492061604512599</v>
      </c>
      <c r="F558" s="96" t="s">
        <v>917</v>
      </c>
      <c r="G558" s="96" t="b">
        <v>0</v>
      </c>
      <c r="H558" s="96" t="b">
        <v>0</v>
      </c>
      <c r="I558" s="96" t="b">
        <v>0</v>
      </c>
      <c r="J558" s="96" t="b">
        <v>0</v>
      </c>
      <c r="K558" s="96" t="b">
        <v>0</v>
      </c>
      <c r="L558" s="96" t="b">
        <v>0</v>
      </c>
    </row>
    <row r="559" spans="1:12" ht="15">
      <c r="A559" s="97" t="s">
        <v>1311</v>
      </c>
      <c r="B559" s="96" t="s">
        <v>1327</v>
      </c>
      <c r="C559" s="96">
        <v>2</v>
      </c>
      <c r="D559" s="110">
        <v>0.003988595157568384</v>
      </c>
      <c r="E559" s="110">
        <v>2.492061604512599</v>
      </c>
      <c r="F559" s="96" t="s">
        <v>917</v>
      </c>
      <c r="G559" s="96" t="b">
        <v>0</v>
      </c>
      <c r="H559" s="96" t="b">
        <v>0</v>
      </c>
      <c r="I559" s="96" t="b">
        <v>0</v>
      </c>
      <c r="J559" s="96" t="b">
        <v>0</v>
      </c>
      <c r="K559" s="96" t="b">
        <v>0</v>
      </c>
      <c r="L559" s="96" t="b">
        <v>0</v>
      </c>
    </row>
    <row r="560" spans="1:12" ht="15">
      <c r="A560" s="97" t="s">
        <v>1327</v>
      </c>
      <c r="B560" s="96" t="s">
        <v>1325</v>
      </c>
      <c r="C560" s="96">
        <v>2</v>
      </c>
      <c r="D560" s="110">
        <v>0.003988595157568384</v>
      </c>
      <c r="E560" s="110">
        <v>2.492061604512599</v>
      </c>
      <c r="F560" s="96" t="s">
        <v>917</v>
      </c>
      <c r="G560" s="96" t="b">
        <v>0</v>
      </c>
      <c r="H560" s="96" t="b">
        <v>0</v>
      </c>
      <c r="I560" s="96" t="b">
        <v>0</v>
      </c>
      <c r="J560" s="96" t="b">
        <v>0</v>
      </c>
      <c r="K560" s="96" t="b">
        <v>0</v>
      </c>
      <c r="L560" s="96" t="b">
        <v>0</v>
      </c>
    </row>
    <row r="561" spans="1:12" ht="15">
      <c r="A561" s="97" t="s">
        <v>1310</v>
      </c>
      <c r="B561" s="96" t="s">
        <v>1260</v>
      </c>
      <c r="C561" s="96">
        <v>2</v>
      </c>
      <c r="D561" s="110">
        <v>0.003988595157568384</v>
      </c>
      <c r="E561" s="110">
        <v>2.191031608848618</v>
      </c>
      <c r="F561" s="96" t="s">
        <v>917</v>
      </c>
      <c r="G561" s="96" t="b">
        <v>0</v>
      </c>
      <c r="H561" s="96" t="b">
        <v>0</v>
      </c>
      <c r="I561" s="96" t="b">
        <v>0</v>
      </c>
      <c r="J561" s="96" t="b">
        <v>0</v>
      </c>
      <c r="K561" s="96" t="b">
        <v>0</v>
      </c>
      <c r="L561" s="96" t="b">
        <v>0</v>
      </c>
    </row>
    <row r="562" spans="1:12" ht="15">
      <c r="A562" s="97" t="s">
        <v>1282</v>
      </c>
      <c r="B562" s="96" t="s">
        <v>1266</v>
      </c>
      <c r="C562" s="96">
        <v>2</v>
      </c>
      <c r="D562" s="110">
        <v>0.003988595157568384</v>
      </c>
      <c r="E562" s="110">
        <v>2.315970345456918</v>
      </c>
      <c r="F562" s="96" t="s">
        <v>917</v>
      </c>
      <c r="G562" s="96" t="b">
        <v>0</v>
      </c>
      <c r="H562" s="96" t="b">
        <v>0</v>
      </c>
      <c r="I562" s="96" t="b">
        <v>0</v>
      </c>
      <c r="J562" s="96" t="b">
        <v>0</v>
      </c>
      <c r="K562" s="96" t="b">
        <v>0</v>
      </c>
      <c r="L562" s="96" t="b">
        <v>0</v>
      </c>
    </row>
    <row r="563" spans="1:12" ht="15">
      <c r="A563" s="97" t="s">
        <v>1377</v>
      </c>
      <c r="B563" s="96" t="s">
        <v>1256</v>
      </c>
      <c r="C563" s="96">
        <v>2</v>
      </c>
      <c r="D563" s="110">
        <v>0.003988595157568384</v>
      </c>
      <c r="E563" s="110">
        <v>1.8388490907372552</v>
      </c>
      <c r="F563" s="96" t="s">
        <v>917</v>
      </c>
      <c r="G563" s="96" t="b">
        <v>0</v>
      </c>
      <c r="H563" s="96" t="b">
        <v>0</v>
      </c>
      <c r="I563" s="96" t="b">
        <v>0</v>
      </c>
      <c r="J563" s="96" t="b">
        <v>0</v>
      </c>
      <c r="K563" s="96" t="b">
        <v>0</v>
      </c>
      <c r="L563" s="96" t="b">
        <v>0</v>
      </c>
    </row>
    <row r="564" spans="1:12" ht="15">
      <c r="A564" s="97" t="s">
        <v>1274</v>
      </c>
      <c r="B564" s="96" t="s">
        <v>1001</v>
      </c>
      <c r="C564" s="96">
        <v>2</v>
      </c>
      <c r="D564" s="110">
        <v>0.003988595157568384</v>
      </c>
      <c r="E564" s="110">
        <v>1.3159703454569178</v>
      </c>
      <c r="F564" s="96" t="s">
        <v>917</v>
      </c>
      <c r="G564" s="96" t="b">
        <v>0</v>
      </c>
      <c r="H564" s="96" t="b">
        <v>0</v>
      </c>
      <c r="I564" s="96" t="b">
        <v>0</v>
      </c>
      <c r="J564" s="96" t="b">
        <v>0</v>
      </c>
      <c r="K564" s="96" t="b">
        <v>0</v>
      </c>
      <c r="L564" s="96" t="b">
        <v>0</v>
      </c>
    </row>
    <row r="565" spans="1:12" ht="15">
      <c r="A565" s="97" t="s">
        <v>1309</v>
      </c>
      <c r="B565" s="96" t="s">
        <v>1274</v>
      </c>
      <c r="C565" s="96">
        <v>2</v>
      </c>
      <c r="D565" s="110">
        <v>0.003988595157568384</v>
      </c>
      <c r="E565" s="110">
        <v>2.315970345456918</v>
      </c>
      <c r="F565" s="96" t="s">
        <v>917</v>
      </c>
      <c r="G565" s="96" t="b">
        <v>0</v>
      </c>
      <c r="H565" s="96" t="b">
        <v>0</v>
      </c>
      <c r="I565" s="96" t="b">
        <v>0</v>
      </c>
      <c r="J565" s="96" t="b">
        <v>0</v>
      </c>
      <c r="K565" s="96" t="b">
        <v>0</v>
      </c>
      <c r="L565" s="96" t="b">
        <v>0</v>
      </c>
    </row>
    <row r="566" spans="1:12" ht="15">
      <c r="A566" s="97" t="s">
        <v>1010</v>
      </c>
      <c r="B566" s="96" t="s">
        <v>1005</v>
      </c>
      <c r="C566" s="96">
        <v>2</v>
      </c>
      <c r="D566" s="110">
        <v>0.003988595157568384</v>
      </c>
      <c r="E566" s="110">
        <v>1.91803033678488</v>
      </c>
      <c r="F566" s="96" t="s">
        <v>917</v>
      </c>
      <c r="G566" s="96" t="b">
        <v>0</v>
      </c>
      <c r="H566" s="96" t="b">
        <v>0</v>
      </c>
      <c r="I566" s="96" t="b">
        <v>0</v>
      </c>
      <c r="J566" s="96" t="b">
        <v>0</v>
      </c>
      <c r="K566" s="96" t="b">
        <v>0</v>
      </c>
      <c r="L566" s="96" t="b">
        <v>0</v>
      </c>
    </row>
    <row r="567" spans="1:12" ht="15">
      <c r="A567" s="97" t="s">
        <v>1292</v>
      </c>
      <c r="B567" s="96" t="s">
        <v>1005</v>
      </c>
      <c r="C567" s="96">
        <v>2</v>
      </c>
      <c r="D567" s="110">
        <v>0.003988595157568384</v>
      </c>
      <c r="E567" s="110">
        <v>2.0941215958405612</v>
      </c>
      <c r="F567" s="96" t="s">
        <v>917</v>
      </c>
      <c r="G567" s="96" t="b">
        <v>0</v>
      </c>
      <c r="H567" s="96" t="b">
        <v>0</v>
      </c>
      <c r="I567" s="96" t="b">
        <v>0</v>
      </c>
      <c r="J567" s="96" t="b">
        <v>0</v>
      </c>
      <c r="K567" s="96" t="b">
        <v>0</v>
      </c>
      <c r="L567" s="96" t="b">
        <v>0</v>
      </c>
    </row>
    <row r="568" spans="1:12" ht="15">
      <c r="A568" s="97" t="s">
        <v>1265</v>
      </c>
      <c r="B568" s="96" t="s">
        <v>1279</v>
      </c>
      <c r="C568" s="96">
        <v>2</v>
      </c>
      <c r="D568" s="110">
        <v>0.003988595157568384</v>
      </c>
      <c r="E568" s="110">
        <v>2.191031608848618</v>
      </c>
      <c r="F568" s="96" t="s">
        <v>917</v>
      </c>
      <c r="G568" s="96" t="b">
        <v>0</v>
      </c>
      <c r="H568" s="96" t="b">
        <v>0</v>
      </c>
      <c r="I568" s="96" t="b">
        <v>0</v>
      </c>
      <c r="J568" s="96" t="b">
        <v>0</v>
      </c>
      <c r="K568" s="96" t="b">
        <v>0</v>
      </c>
      <c r="L568" s="96" t="b">
        <v>0</v>
      </c>
    </row>
    <row r="569" spans="1:12" ht="15">
      <c r="A569" s="97" t="s">
        <v>1325</v>
      </c>
      <c r="B569" s="96" t="s">
        <v>1297</v>
      </c>
      <c r="C569" s="96">
        <v>2</v>
      </c>
      <c r="D569" s="110">
        <v>0.003988595157568384</v>
      </c>
      <c r="E569" s="110">
        <v>2.315970345456918</v>
      </c>
      <c r="F569" s="96" t="s">
        <v>917</v>
      </c>
      <c r="G569" s="96" t="b">
        <v>0</v>
      </c>
      <c r="H569" s="96" t="b">
        <v>0</v>
      </c>
      <c r="I569" s="96" t="b">
        <v>0</v>
      </c>
      <c r="J569" s="96" t="b">
        <v>0</v>
      </c>
      <c r="K569" s="96" t="b">
        <v>0</v>
      </c>
      <c r="L569" s="96" t="b">
        <v>0</v>
      </c>
    </row>
    <row r="570" spans="1:12" ht="15">
      <c r="A570" s="97" t="s">
        <v>875</v>
      </c>
      <c r="B570" s="96" t="s">
        <v>1328</v>
      </c>
      <c r="C570" s="96">
        <v>2</v>
      </c>
      <c r="D570" s="110">
        <v>0.003988595157568384</v>
      </c>
      <c r="E570" s="110">
        <v>1.492061604512599</v>
      </c>
      <c r="F570" s="96" t="s">
        <v>917</v>
      </c>
      <c r="G570" s="96" t="b">
        <v>0</v>
      </c>
      <c r="H570" s="96" t="b">
        <v>0</v>
      </c>
      <c r="I570" s="96" t="b">
        <v>0</v>
      </c>
      <c r="J570" s="96" t="b">
        <v>0</v>
      </c>
      <c r="K570" s="96" t="b">
        <v>0</v>
      </c>
      <c r="L570" s="96" t="b">
        <v>0</v>
      </c>
    </row>
    <row r="571" spans="1:12" ht="15">
      <c r="A571" s="97" t="s">
        <v>1366</v>
      </c>
      <c r="B571" s="96" t="s">
        <v>1256</v>
      </c>
      <c r="C571" s="96">
        <v>2</v>
      </c>
      <c r="D571" s="110">
        <v>0.003988595157568384</v>
      </c>
      <c r="E571" s="110">
        <v>1.662757831681574</v>
      </c>
      <c r="F571" s="96" t="s">
        <v>917</v>
      </c>
      <c r="G571" s="96" t="b">
        <v>0</v>
      </c>
      <c r="H571" s="96" t="b">
        <v>0</v>
      </c>
      <c r="I571" s="96" t="b">
        <v>0</v>
      </c>
      <c r="J571" s="96" t="b">
        <v>0</v>
      </c>
      <c r="K571" s="96" t="b">
        <v>0</v>
      </c>
      <c r="L571" s="96" t="b">
        <v>0</v>
      </c>
    </row>
    <row r="572" spans="1:12" ht="15">
      <c r="A572" s="97" t="s">
        <v>1313</v>
      </c>
      <c r="B572" s="96" t="s">
        <v>1305</v>
      </c>
      <c r="C572" s="96">
        <v>2</v>
      </c>
      <c r="D572" s="110">
        <v>0.003988595157568384</v>
      </c>
      <c r="E572" s="110">
        <v>2.492061604512599</v>
      </c>
      <c r="F572" s="96" t="s">
        <v>917</v>
      </c>
      <c r="G572" s="96" t="b">
        <v>0</v>
      </c>
      <c r="H572" s="96" t="b">
        <v>0</v>
      </c>
      <c r="I572" s="96" t="b">
        <v>0</v>
      </c>
      <c r="J572" s="96" t="b">
        <v>0</v>
      </c>
      <c r="K572" s="96" t="b">
        <v>0</v>
      </c>
      <c r="L572" s="96" t="b">
        <v>0</v>
      </c>
    </row>
    <row r="573" spans="1:12" ht="15">
      <c r="A573" s="97" t="s">
        <v>1284</v>
      </c>
      <c r="B573" s="96" t="s">
        <v>1285</v>
      </c>
      <c r="C573" s="96">
        <v>2</v>
      </c>
      <c r="D573" s="110">
        <v>0.003988595157568384</v>
      </c>
      <c r="E573" s="110">
        <v>2.492061604512599</v>
      </c>
      <c r="F573" s="96" t="s">
        <v>917</v>
      </c>
      <c r="G573" s="96" t="b">
        <v>0</v>
      </c>
      <c r="H573" s="96" t="b">
        <v>0</v>
      </c>
      <c r="I573" s="96" t="b">
        <v>0</v>
      </c>
      <c r="J573" s="96" t="b">
        <v>0</v>
      </c>
      <c r="K573" s="96" t="b">
        <v>0</v>
      </c>
      <c r="L573" s="96" t="b">
        <v>0</v>
      </c>
    </row>
    <row r="574" spans="1:12" ht="15">
      <c r="A574" s="97" t="s">
        <v>1261</v>
      </c>
      <c r="B574" s="96" t="s">
        <v>1318</v>
      </c>
      <c r="C574" s="96">
        <v>2</v>
      </c>
      <c r="D574" s="110">
        <v>0.003988595157568384</v>
      </c>
      <c r="E574" s="110">
        <v>1.8900016131846367</v>
      </c>
      <c r="F574" s="96" t="s">
        <v>917</v>
      </c>
      <c r="G574" s="96" t="b">
        <v>0</v>
      </c>
      <c r="H574" s="96" t="b">
        <v>0</v>
      </c>
      <c r="I574" s="96" t="b">
        <v>0</v>
      </c>
      <c r="J574" s="96" t="b">
        <v>0</v>
      </c>
      <c r="K574" s="96" t="b">
        <v>0</v>
      </c>
      <c r="L574" s="96" t="b">
        <v>0</v>
      </c>
    </row>
    <row r="575" spans="1:12" ht="15">
      <c r="A575" s="97" t="s">
        <v>1408</v>
      </c>
      <c r="B575" s="96" t="s">
        <v>1421</v>
      </c>
      <c r="C575" s="96">
        <v>2</v>
      </c>
      <c r="D575" s="110">
        <v>0.003988595157568384</v>
      </c>
      <c r="E575" s="110">
        <v>2.492061604512599</v>
      </c>
      <c r="F575" s="96" t="s">
        <v>917</v>
      </c>
      <c r="G575" s="96" t="b">
        <v>0</v>
      </c>
      <c r="H575" s="96" t="b">
        <v>0</v>
      </c>
      <c r="I575" s="96" t="b">
        <v>0</v>
      </c>
      <c r="J575" s="96" t="b">
        <v>0</v>
      </c>
      <c r="K575" s="96" t="b">
        <v>0</v>
      </c>
      <c r="L575" s="96" t="b">
        <v>0</v>
      </c>
    </row>
    <row r="576" spans="1:12" ht="15">
      <c r="A576" s="97" t="s">
        <v>1002</v>
      </c>
      <c r="B576" s="96" t="s">
        <v>1409</v>
      </c>
      <c r="C576" s="96">
        <v>2</v>
      </c>
      <c r="D576" s="110">
        <v>0.003988595157568384</v>
      </c>
      <c r="E576" s="110">
        <v>1.492061604512599</v>
      </c>
      <c r="F576" s="96" t="s">
        <v>917</v>
      </c>
      <c r="G576" s="96" t="b">
        <v>0</v>
      </c>
      <c r="H576" s="96" t="b">
        <v>0</v>
      </c>
      <c r="I576" s="96" t="b">
        <v>0</v>
      </c>
      <c r="J576" s="96" t="b">
        <v>0</v>
      </c>
      <c r="K576" s="96" t="b">
        <v>0</v>
      </c>
      <c r="L576" s="96" t="b">
        <v>0</v>
      </c>
    </row>
    <row r="577" spans="1:12" ht="15">
      <c r="A577" s="97" t="s">
        <v>1279</v>
      </c>
      <c r="B577" s="96" t="s">
        <v>1269</v>
      </c>
      <c r="C577" s="96">
        <v>2</v>
      </c>
      <c r="D577" s="110">
        <v>0.003988595157568384</v>
      </c>
      <c r="E577" s="110">
        <v>2.315970345456918</v>
      </c>
      <c r="F577" s="96" t="s">
        <v>917</v>
      </c>
      <c r="G577" s="96" t="b">
        <v>0</v>
      </c>
      <c r="H577" s="96" t="b">
        <v>0</v>
      </c>
      <c r="I577" s="96" t="b">
        <v>0</v>
      </c>
      <c r="J577" s="96" t="b">
        <v>0</v>
      </c>
      <c r="K577" s="96" t="b">
        <v>0</v>
      </c>
      <c r="L577" s="96" t="b">
        <v>0</v>
      </c>
    </row>
    <row r="578" spans="1:12" ht="15">
      <c r="A578" s="97" t="s">
        <v>1338</v>
      </c>
      <c r="B578" s="96" t="s">
        <v>1253</v>
      </c>
      <c r="C578" s="96">
        <v>2</v>
      </c>
      <c r="D578" s="110">
        <v>0.003988595157568384</v>
      </c>
      <c r="E578" s="110">
        <v>1.662757831681574</v>
      </c>
      <c r="F578" s="96" t="s">
        <v>917</v>
      </c>
      <c r="G578" s="96" t="b">
        <v>0</v>
      </c>
      <c r="H578" s="96" t="b">
        <v>0</v>
      </c>
      <c r="I578" s="96" t="b">
        <v>0</v>
      </c>
      <c r="J578" s="96" t="b">
        <v>0</v>
      </c>
      <c r="K578" s="96" t="b">
        <v>0</v>
      </c>
      <c r="L578" s="96" t="b">
        <v>0</v>
      </c>
    </row>
    <row r="579" spans="1:12" ht="15">
      <c r="A579" s="97" t="s">
        <v>1337</v>
      </c>
      <c r="B579" s="96" t="s">
        <v>1338</v>
      </c>
      <c r="C579" s="96">
        <v>2</v>
      </c>
      <c r="D579" s="110">
        <v>0.003988595157568384</v>
      </c>
      <c r="E579" s="110">
        <v>2.1398790864012365</v>
      </c>
      <c r="F579" s="96" t="s">
        <v>917</v>
      </c>
      <c r="G579" s="96" t="b">
        <v>0</v>
      </c>
      <c r="H579" s="96" t="b">
        <v>0</v>
      </c>
      <c r="I579" s="96" t="b">
        <v>0</v>
      </c>
      <c r="J579" s="96" t="b">
        <v>0</v>
      </c>
      <c r="K579" s="96" t="b">
        <v>0</v>
      </c>
      <c r="L579" s="96" t="b">
        <v>0</v>
      </c>
    </row>
    <row r="580" spans="1:12" ht="15">
      <c r="A580" s="97" t="s">
        <v>1276</v>
      </c>
      <c r="B580" s="96" t="s">
        <v>1277</v>
      </c>
      <c r="C580" s="96">
        <v>2</v>
      </c>
      <c r="D580" s="110">
        <v>0.003988595157568384</v>
      </c>
      <c r="E580" s="110">
        <v>2.492061604512599</v>
      </c>
      <c r="F580" s="96" t="s">
        <v>917</v>
      </c>
      <c r="G580" s="96" t="b">
        <v>0</v>
      </c>
      <c r="H580" s="96" t="b">
        <v>0</v>
      </c>
      <c r="I580" s="96" t="b">
        <v>0</v>
      </c>
      <c r="J580" s="96" t="b">
        <v>0</v>
      </c>
      <c r="K580" s="96" t="b">
        <v>0</v>
      </c>
      <c r="L580" s="96" t="b">
        <v>0</v>
      </c>
    </row>
    <row r="581" spans="1:12" ht="15">
      <c r="A581" s="97" t="s">
        <v>1323</v>
      </c>
      <c r="B581" s="96" t="s">
        <v>1311</v>
      </c>
      <c r="C581" s="96">
        <v>2</v>
      </c>
      <c r="D581" s="110">
        <v>0.003988595157568384</v>
      </c>
      <c r="E581" s="110">
        <v>2.492061604512599</v>
      </c>
      <c r="F581" s="96" t="s">
        <v>917</v>
      </c>
      <c r="G581" s="96" t="b">
        <v>0</v>
      </c>
      <c r="H581" s="96" t="b">
        <v>0</v>
      </c>
      <c r="I581" s="96" t="b">
        <v>0</v>
      </c>
      <c r="J581" s="96" t="b">
        <v>0</v>
      </c>
      <c r="K581" s="96" t="b">
        <v>0</v>
      </c>
      <c r="L581" s="96" t="b">
        <v>0</v>
      </c>
    </row>
    <row r="582" spans="1:12" ht="15">
      <c r="A582" s="97" t="s">
        <v>1003</v>
      </c>
      <c r="B582" s="96" t="s">
        <v>1001</v>
      </c>
      <c r="C582" s="96">
        <v>2</v>
      </c>
      <c r="D582" s="110">
        <v>0.003988595157568384</v>
      </c>
      <c r="E582" s="110">
        <v>0.49206160451259906</v>
      </c>
      <c r="F582" s="96" t="s">
        <v>917</v>
      </c>
      <c r="G582" s="96" t="b">
        <v>0</v>
      </c>
      <c r="H582" s="96" t="b">
        <v>0</v>
      </c>
      <c r="I582" s="96" t="b">
        <v>0</v>
      </c>
      <c r="J582" s="96" t="b">
        <v>0</v>
      </c>
      <c r="K582" s="96" t="b">
        <v>0</v>
      </c>
      <c r="L582" s="96" t="b">
        <v>0</v>
      </c>
    </row>
    <row r="583" spans="1:12" ht="15">
      <c r="A583" s="97" t="s">
        <v>1303</v>
      </c>
      <c r="B583" s="96" t="s">
        <v>1321</v>
      </c>
      <c r="C583" s="96">
        <v>2</v>
      </c>
      <c r="D583" s="110">
        <v>0.003988595157568384</v>
      </c>
      <c r="E583" s="110">
        <v>2.492061604512599</v>
      </c>
      <c r="F583" s="96" t="s">
        <v>917</v>
      </c>
      <c r="G583" s="96" t="b">
        <v>0</v>
      </c>
      <c r="H583" s="96" t="b">
        <v>0</v>
      </c>
      <c r="I583" s="96" t="b">
        <v>0</v>
      </c>
      <c r="J583" s="96" t="b">
        <v>0</v>
      </c>
      <c r="K583" s="96" t="b">
        <v>0</v>
      </c>
      <c r="L583" s="96" t="b">
        <v>0</v>
      </c>
    </row>
    <row r="584" spans="1:12" ht="15">
      <c r="A584" s="97" t="s">
        <v>1373</v>
      </c>
      <c r="B584" s="96" t="s">
        <v>1286</v>
      </c>
      <c r="C584" s="96">
        <v>2</v>
      </c>
      <c r="D584" s="110">
        <v>0.003988595157568384</v>
      </c>
      <c r="E584" s="110">
        <v>2.492061604512599</v>
      </c>
      <c r="F584" s="96" t="s">
        <v>917</v>
      </c>
      <c r="G584" s="96" t="b">
        <v>0</v>
      </c>
      <c r="H584" s="96" t="b">
        <v>0</v>
      </c>
      <c r="I584" s="96" t="b">
        <v>0</v>
      </c>
      <c r="J584" s="96" t="b">
        <v>0</v>
      </c>
      <c r="K584" s="96" t="b">
        <v>0</v>
      </c>
      <c r="L584" s="96" t="b">
        <v>0</v>
      </c>
    </row>
    <row r="585" spans="1:12" ht="15">
      <c r="A585" s="97" t="s">
        <v>1277</v>
      </c>
      <c r="B585" s="96" t="s">
        <v>1292</v>
      </c>
      <c r="C585" s="96">
        <v>2</v>
      </c>
      <c r="D585" s="110">
        <v>0.003988595157568384</v>
      </c>
      <c r="E585" s="110">
        <v>2.492061604512599</v>
      </c>
      <c r="F585" s="96" t="s">
        <v>917</v>
      </c>
      <c r="G585" s="96" t="b">
        <v>0</v>
      </c>
      <c r="H585" s="96" t="b">
        <v>0</v>
      </c>
      <c r="I585" s="96" t="b">
        <v>0</v>
      </c>
      <c r="J585" s="96" t="b">
        <v>0</v>
      </c>
      <c r="K585" s="96" t="b">
        <v>0</v>
      </c>
      <c r="L585" s="96" t="b">
        <v>0</v>
      </c>
    </row>
    <row r="586" spans="1:12" ht="15">
      <c r="A586" s="97" t="s">
        <v>1281</v>
      </c>
      <c r="B586" s="96" t="s">
        <v>1275</v>
      </c>
      <c r="C586" s="96">
        <v>2</v>
      </c>
      <c r="D586" s="110">
        <v>0.003988595157568384</v>
      </c>
      <c r="E586" s="110">
        <v>2.315970345456918</v>
      </c>
      <c r="F586" s="96" t="s">
        <v>917</v>
      </c>
      <c r="G586" s="96" t="b">
        <v>0</v>
      </c>
      <c r="H586" s="96" t="b">
        <v>0</v>
      </c>
      <c r="I586" s="96" t="b">
        <v>0</v>
      </c>
      <c r="J586" s="96" t="b">
        <v>0</v>
      </c>
      <c r="K586" s="96" t="b">
        <v>0</v>
      </c>
      <c r="L586" s="96" t="b">
        <v>0</v>
      </c>
    </row>
    <row r="587" spans="1:12" ht="15">
      <c r="A587" s="97" t="s">
        <v>875</v>
      </c>
      <c r="B587" s="96" t="s">
        <v>1377</v>
      </c>
      <c r="C587" s="96">
        <v>2</v>
      </c>
      <c r="D587" s="110">
        <v>0.003988595157568384</v>
      </c>
      <c r="E587" s="110">
        <v>1.492061604512599</v>
      </c>
      <c r="F587" s="96" t="s">
        <v>917</v>
      </c>
      <c r="G587" s="96" t="b">
        <v>0</v>
      </c>
      <c r="H587" s="96" t="b">
        <v>0</v>
      </c>
      <c r="I587" s="96" t="b">
        <v>0</v>
      </c>
      <c r="J587" s="96" t="b">
        <v>0</v>
      </c>
      <c r="K587" s="96" t="b">
        <v>0</v>
      </c>
      <c r="L587" s="96" t="b">
        <v>0</v>
      </c>
    </row>
    <row r="588" spans="1:12" ht="15">
      <c r="A588" s="97" t="s">
        <v>1363</v>
      </c>
      <c r="B588" s="96" t="s">
        <v>1251</v>
      </c>
      <c r="C588" s="96">
        <v>2</v>
      </c>
      <c r="D588" s="110">
        <v>0.003988595157568384</v>
      </c>
      <c r="E588" s="110">
        <v>1.617000341120899</v>
      </c>
      <c r="F588" s="96" t="s">
        <v>917</v>
      </c>
      <c r="G588" s="96" t="b">
        <v>0</v>
      </c>
      <c r="H588" s="96" t="b">
        <v>0</v>
      </c>
      <c r="I588" s="96" t="b">
        <v>0</v>
      </c>
      <c r="J588" s="96" t="b">
        <v>0</v>
      </c>
      <c r="K588" s="96" t="b">
        <v>0</v>
      </c>
      <c r="L588" s="96" t="b">
        <v>0</v>
      </c>
    </row>
    <row r="589" spans="1:12" ht="15">
      <c r="A589" s="97" t="s">
        <v>1259</v>
      </c>
      <c r="B589" s="96" t="s">
        <v>1260</v>
      </c>
      <c r="C589" s="96">
        <v>2</v>
      </c>
      <c r="D589" s="110">
        <v>0.003988595157568384</v>
      </c>
      <c r="E589" s="110">
        <v>1.7139103541289553</v>
      </c>
      <c r="F589" s="96" t="s">
        <v>917</v>
      </c>
      <c r="G589" s="96" t="b">
        <v>0</v>
      </c>
      <c r="H589" s="96" t="b">
        <v>0</v>
      </c>
      <c r="I589" s="96" t="b">
        <v>0</v>
      </c>
      <c r="J589" s="96" t="b">
        <v>0</v>
      </c>
      <c r="K589" s="96" t="b">
        <v>0</v>
      </c>
      <c r="L589" s="96" t="b">
        <v>0</v>
      </c>
    </row>
    <row r="590" spans="1:12" ht="15">
      <c r="A590" s="97" t="s">
        <v>1306</v>
      </c>
      <c r="B590" s="96" t="s">
        <v>1314</v>
      </c>
      <c r="C590" s="96">
        <v>2</v>
      </c>
      <c r="D590" s="110">
        <v>0.003988595157568384</v>
      </c>
      <c r="E590" s="110">
        <v>2.492061604512599</v>
      </c>
      <c r="F590" s="96" t="s">
        <v>917</v>
      </c>
      <c r="G590" s="96" t="b">
        <v>0</v>
      </c>
      <c r="H590" s="96" t="b">
        <v>0</v>
      </c>
      <c r="I590" s="96" t="b">
        <v>0</v>
      </c>
      <c r="J590" s="96" t="b">
        <v>0</v>
      </c>
      <c r="K590" s="96" t="b">
        <v>0</v>
      </c>
      <c r="L590" s="96" t="b">
        <v>0</v>
      </c>
    </row>
    <row r="591" spans="1:12" ht="15">
      <c r="A591" s="97" t="s">
        <v>1305</v>
      </c>
      <c r="B591" s="96" t="s">
        <v>1303</v>
      </c>
      <c r="C591" s="96">
        <v>2</v>
      </c>
      <c r="D591" s="110">
        <v>0.003988595157568384</v>
      </c>
      <c r="E591" s="110">
        <v>2.492061604512599</v>
      </c>
      <c r="F591" s="96" t="s">
        <v>917</v>
      </c>
      <c r="G591" s="96" t="b">
        <v>0</v>
      </c>
      <c r="H591" s="96" t="b">
        <v>0</v>
      </c>
      <c r="I591" s="96" t="b">
        <v>0</v>
      </c>
      <c r="J591" s="96" t="b">
        <v>0</v>
      </c>
      <c r="K591" s="96" t="b">
        <v>0</v>
      </c>
      <c r="L591" s="96" t="b">
        <v>0</v>
      </c>
    </row>
    <row r="592" spans="1:12" ht="15">
      <c r="A592" s="97" t="s">
        <v>1001</v>
      </c>
      <c r="B592" s="96" t="s">
        <v>1259</v>
      </c>
      <c r="C592" s="96">
        <v>2</v>
      </c>
      <c r="D592" s="110">
        <v>0.003988595157568384</v>
      </c>
      <c r="E592" s="110">
        <v>1.0149403497929366</v>
      </c>
      <c r="F592" s="96" t="s">
        <v>917</v>
      </c>
      <c r="G592" s="96" t="b">
        <v>0</v>
      </c>
      <c r="H592" s="96" t="b">
        <v>0</v>
      </c>
      <c r="I592" s="96" t="b">
        <v>0</v>
      </c>
      <c r="J592" s="96" t="b">
        <v>0</v>
      </c>
      <c r="K592" s="96" t="b">
        <v>0</v>
      </c>
      <c r="L592" s="96" t="b">
        <v>0</v>
      </c>
    </row>
    <row r="593" spans="1:12" ht="15">
      <c r="A593" s="97" t="s">
        <v>1265</v>
      </c>
      <c r="B593" s="96" t="s">
        <v>987</v>
      </c>
      <c r="C593" s="96">
        <v>2</v>
      </c>
      <c r="D593" s="110">
        <v>0.003988595157568384</v>
      </c>
      <c r="E593" s="110">
        <v>2.191031608848618</v>
      </c>
      <c r="F593" s="96" t="s">
        <v>917</v>
      </c>
      <c r="G593" s="96" t="b">
        <v>0</v>
      </c>
      <c r="H593" s="96" t="b">
        <v>0</v>
      </c>
      <c r="I593" s="96" t="b">
        <v>0</v>
      </c>
      <c r="J593" s="96" t="b">
        <v>0</v>
      </c>
      <c r="K593" s="96" t="b">
        <v>0</v>
      </c>
      <c r="L593" s="96" t="b">
        <v>0</v>
      </c>
    </row>
    <row r="594" spans="1:12" ht="15">
      <c r="A594" s="97" t="s">
        <v>1267</v>
      </c>
      <c r="B594" s="96" t="s">
        <v>1276</v>
      </c>
      <c r="C594" s="96">
        <v>2</v>
      </c>
      <c r="D594" s="110">
        <v>0.003988595157568384</v>
      </c>
      <c r="E594" s="110">
        <v>2.315970345456918</v>
      </c>
      <c r="F594" s="96" t="s">
        <v>917</v>
      </c>
      <c r="G594" s="96" t="b">
        <v>0</v>
      </c>
      <c r="H594" s="96" t="b">
        <v>0</v>
      </c>
      <c r="I594" s="96" t="b">
        <v>0</v>
      </c>
      <c r="J594" s="96" t="b">
        <v>0</v>
      </c>
      <c r="K594" s="96" t="b">
        <v>0</v>
      </c>
      <c r="L594" s="96" t="b">
        <v>0</v>
      </c>
    </row>
    <row r="595" spans="1:12" ht="15">
      <c r="A595" s="97" t="s">
        <v>1328</v>
      </c>
      <c r="B595" s="96" t="s">
        <v>1287</v>
      </c>
      <c r="C595" s="96">
        <v>2</v>
      </c>
      <c r="D595" s="110">
        <v>0.003988595157568384</v>
      </c>
      <c r="E595" s="110">
        <v>2.492061604512599</v>
      </c>
      <c r="F595" s="96" t="s">
        <v>917</v>
      </c>
      <c r="G595" s="96" t="b">
        <v>0</v>
      </c>
      <c r="H595" s="96" t="b">
        <v>0</v>
      </c>
      <c r="I595" s="96" t="b">
        <v>0</v>
      </c>
      <c r="J595" s="96" t="b">
        <v>0</v>
      </c>
      <c r="K595" s="96" t="b">
        <v>0</v>
      </c>
      <c r="L595" s="96" t="b">
        <v>0</v>
      </c>
    </row>
    <row r="596" spans="1:12" ht="15">
      <c r="A596" s="97" t="s">
        <v>1307</v>
      </c>
      <c r="B596" s="96" t="s">
        <v>1320</v>
      </c>
      <c r="C596" s="96">
        <v>2</v>
      </c>
      <c r="D596" s="110">
        <v>0.003988595157568384</v>
      </c>
      <c r="E596" s="110">
        <v>2.492061604512599</v>
      </c>
      <c r="F596" s="96" t="s">
        <v>917</v>
      </c>
      <c r="G596" s="96" t="b">
        <v>0</v>
      </c>
      <c r="H596" s="96" t="b">
        <v>0</v>
      </c>
      <c r="I596" s="96" t="b">
        <v>0</v>
      </c>
      <c r="J596" s="96" t="b">
        <v>0</v>
      </c>
      <c r="K596" s="96" t="b">
        <v>0</v>
      </c>
      <c r="L596" s="96" t="b">
        <v>0</v>
      </c>
    </row>
    <row r="597" spans="1:12" ht="15">
      <c r="A597" s="97" t="s">
        <v>1288</v>
      </c>
      <c r="B597" s="96" t="s">
        <v>875</v>
      </c>
      <c r="C597" s="96">
        <v>2</v>
      </c>
      <c r="D597" s="110">
        <v>0.003988595157568384</v>
      </c>
      <c r="E597" s="110">
        <v>1.386551419742625</v>
      </c>
      <c r="F597" s="96" t="s">
        <v>917</v>
      </c>
      <c r="G597" s="96" t="b">
        <v>0</v>
      </c>
      <c r="H597" s="96" t="b">
        <v>0</v>
      </c>
      <c r="I597" s="96" t="b">
        <v>0</v>
      </c>
      <c r="J597" s="96" t="b">
        <v>0</v>
      </c>
      <c r="K597" s="96" t="b">
        <v>0</v>
      </c>
      <c r="L597" s="96" t="b">
        <v>0</v>
      </c>
    </row>
    <row r="598" spans="1:12" ht="15">
      <c r="A598" s="97" t="s">
        <v>1409</v>
      </c>
      <c r="B598" s="96" t="s">
        <v>1425</v>
      </c>
      <c r="C598" s="96">
        <v>2</v>
      </c>
      <c r="D598" s="110">
        <v>0.003988595157568384</v>
      </c>
      <c r="E598" s="110">
        <v>2.492061604512599</v>
      </c>
      <c r="F598" s="96" t="s">
        <v>917</v>
      </c>
      <c r="G598" s="96" t="b">
        <v>0</v>
      </c>
      <c r="H598" s="96" t="b">
        <v>0</v>
      </c>
      <c r="I598" s="96" t="b">
        <v>0</v>
      </c>
      <c r="J598" s="96" t="b">
        <v>1</v>
      </c>
      <c r="K598" s="96" t="b">
        <v>0</v>
      </c>
      <c r="L598" s="96" t="b">
        <v>0</v>
      </c>
    </row>
    <row r="599" spans="1:12" ht="15">
      <c r="A599" s="97" t="s">
        <v>1318</v>
      </c>
      <c r="B599" s="96" t="s">
        <v>1309</v>
      </c>
      <c r="C599" s="96">
        <v>2</v>
      </c>
      <c r="D599" s="110">
        <v>0.003988595157568384</v>
      </c>
      <c r="E599" s="110">
        <v>2.492061604512599</v>
      </c>
      <c r="F599" s="96" t="s">
        <v>917</v>
      </c>
      <c r="G599" s="96" t="b">
        <v>0</v>
      </c>
      <c r="H599" s="96" t="b">
        <v>0</v>
      </c>
      <c r="I599" s="96" t="b">
        <v>0</v>
      </c>
      <c r="J599" s="96" t="b">
        <v>0</v>
      </c>
      <c r="K599" s="96" t="b">
        <v>0</v>
      </c>
      <c r="L599" s="96" t="b">
        <v>0</v>
      </c>
    </row>
    <row r="600" spans="1:12" ht="15">
      <c r="A600" s="97" t="s">
        <v>1272</v>
      </c>
      <c r="B600" s="96" t="s">
        <v>1268</v>
      </c>
      <c r="C600" s="96">
        <v>2</v>
      </c>
      <c r="D600" s="110">
        <v>0.003988595157568384</v>
      </c>
      <c r="E600" s="110">
        <v>2.1398790864012365</v>
      </c>
      <c r="F600" s="96" t="s">
        <v>917</v>
      </c>
      <c r="G600" s="96" t="b">
        <v>0</v>
      </c>
      <c r="H600" s="96" t="b">
        <v>0</v>
      </c>
      <c r="I600" s="96" t="b">
        <v>0</v>
      </c>
      <c r="J600" s="96" t="b">
        <v>0</v>
      </c>
      <c r="K600" s="96" t="b">
        <v>0</v>
      </c>
      <c r="L600" s="96" t="b">
        <v>0</v>
      </c>
    </row>
    <row r="601" spans="1:12" ht="15">
      <c r="A601" s="97" t="s">
        <v>1287</v>
      </c>
      <c r="B601" s="96" t="s">
        <v>1323</v>
      </c>
      <c r="C601" s="96">
        <v>2</v>
      </c>
      <c r="D601" s="110">
        <v>0.003988595157568384</v>
      </c>
      <c r="E601" s="110">
        <v>2.315970345456918</v>
      </c>
      <c r="F601" s="96" t="s">
        <v>917</v>
      </c>
      <c r="G601" s="96" t="b">
        <v>0</v>
      </c>
      <c r="H601" s="96" t="b">
        <v>0</v>
      </c>
      <c r="I601" s="96" t="b">
        <v>0</v>
      </c>
      <c r="J601" s="96" t="b">
        <v>0</v>
      </c>
      <c r="K601" s="96" t="b">
        <v>0</v>
      </c>
      <c r="L601" s="96" t="b">
        <v>0</v>
      </c>
    </row>
    <row r="602" spans="1:12" ht="15">
      <c r="A602" s="97" t="s">
        <v>1321</v>
      </c>
      <c r="B602" s="96" t="s">
        <v>1324</v>
      </c>
      <c r="C602" s="96">
        <v>2</v>
      </c>
      <c r="D602" s="110">
        <v>0.003988595157568384</v>
      </c>
      <c r="E602" s="110">
        <v>2.492061604512599</v>
      </c>
      <c r="F602" s="96" t="s">
        <v>917</v>
      </c>
      <c r="G602" s="96" t="b">
        <v>0</v>
      </c>
      <c r="H602" s="96" t="b">
        <v>0</v>
      </c>
      <c r="I602" s="96" t="b">
        <v>0</v>
      </c>
      <c r="J602" s="96" t="b">
        <v>0</v>
      </c>
      <c r="K602" s="96" t="b">
        <v>0</v>
      </c>
      <c r="L602" s="96" t="b">
        <v>0</v>
      </c>
    </row>
    <row r="603" spans="1:12" ht="15">
      <c r="A603" s="97" t="s">
        <v>1266</v>
      </c>
      <c r="B603" s="96" t="s">
        <v>1284</v>
      </c>
      <c r="C603" s="96">
        <v>2</v>
      </c>
      <c r="D603" s="110">
        <v>0.003988595157568384</v>
      </c>
      <c r="E603" s="110">
        <v>2.315970345456918</v>
      </c>
      <c r="F603" s="96" t="s">
        <v>917</v>
      </c>
      <c r="G603" s="96" t="b">
        <v>0</v>
      </c>
      <c r="H603" s="96" t="b">
        <v>0</v>
      </c>
      <c r="I603" s="96" t="b">
        <v>0</v>
      </c>
      <c r="J603" s="96" t="b">
        <v>0</v>
      </c>
      <c r="K603" s="96" t="b">
        <v>0</v>
      </c>
      <c r="L603" s="96" t="b">
        <v>0</v>
      </c>
    </row>
    <row r="604" spans="1:12" ht="15">
      <c r="A604" s="97" t="s">
        <v>1256</v>
      </c>
      <c r="B604" s="96" t="s">
        <v>982</v>
      </c>
      <c r="C604" s="96">
        <v>2</v>
      </c>
      <c r="D604" s="110">
        <v>0.003988595157568384</v>
      </c>
      <c r="E604" s="110">
        <v>0.7974564055790303</v>
      </c>
      <c r="F604" s="96" t="s">
        <v>917</v>
      </c>
      <c r="G604" s="96" t="b">
        <v>0</v>
      </c>
      <c r="H604" s="96" t="b">
        <v>0</v>
      </c>
      <c r="I604" s="96" t="b">
        <v>0</v>
      </c>
      <c r="J604" s="96" t="b">
        <v>0</v>
      </c>
      <c r="K604" s="96" t="b">
        <v>0</v>
      </c>
      <c r="L604" s="96" t="b">
        <v>0</v>
      </c>
    </row>
    <row r="605" spans="1:12" ht="15">
      <c r="A605" s="97" t="s">
        <v>1314</v>
      </c>
      <c r="B605" s="96" t="s">
        <v>1313</v>
      </c>
      <c r="C605" s="96">
        <v>2</v>
      </c>
      <c r="D605" s="110">
        <v>0.003988595157568384</v>
      </c>
      <c r="E605" s="110">
        <v>2.492061604512599</v>
      </c>
      <c r="F605" s="96" t="s">
        <v>917</v>
      </c>
      <c r="G605" s="96" t="b">
        <v>0</v>
      </c>
      <c r="H605" s="96" t="b">
        <v>0</v>
      </c>
      <c r="I605" s="96" t="b">
        <v>0</v>
      </c>
      <c r="J605" s="96" t="b">
        <v>0</v>
      </c>
      <c r="K605" s="96" t="b">
        <v>0</v>
      </c>
      <c r="L605" s="96" t="b">
        <v>0</v>
      </c>
    </row>
    <row r="606" spans="1:12" ht="15">
      <c r="A606" s="97" t="s">
        <v>1000</v>
      </c>
      <c r="B606" s="96" t="s">
        <v>1306</v>
      </c>
      <c r="C606" s="96">
        <v>2</v>
      </c>
      <c r="D606" s="110">
        <v>0.003988595157568384</v>
      </c>
      <c r="E606" s="110">
        <v>1.1698423097786796</v>
      </c>
      <c r="F606" s="96" t="s">
        <v>917</v>
      </c>
      <c r="G606" s="96" t="b">
        <v>0</v>
      </c>
      <c r="H606" s="96" t="b">
        <v>0</v>
      </c>
      <c r="I606" s="96" t="b">
        <v>0</v>
      </c>
      <c r="J606" s="96" t="b">
        <v>0</v>
      </c>
      <c r="K606" s="96" t="b">
        <v>0</v>
      </c>
      <c r="L606" s="96" t="b">
        <v>0</v>
      </c>
    </row>
    <row r="607" spans="1:12" ht="15">
      <c r="A607" s="97" t="s">
        <v>1320</v>
      </c>
      <c r="B607" s="96" t="s">
        <v>1304</v>
      </c>
      <c r="C607" s="96">
        <v>2</v>
      </c>
      <c r="D607" s="110">
        <v>0.003988595157568384</v>
      </c>
      <c r="E607" s="110">
        <v>2.492061604512599</v>
      </c>
      <c r="F607" s="96" t="s">
        <v>917</v>
      </c>
      <c r="G607" s="96" t="b">
        <v>0</v>
      </c>
      <c r="H607" s="96" t="b">
        <v>0</v>
      </c>
      <c r="I607" s="96" t="b">
        <v>0</v>
      </c>
      <c r="J607" s="96" t="b">
        <v>0</v>
      </c>
      <c r="K607" s="96" t="b">
        <v>0</v>
      </c>
      <c r="L607" s="96" t="b">
        <v>0</v>
      </c>
    </row>
    <row r="608" spans="1:12" ht="15">
      <c r="A608" s="97" t="s">
        <v>1425</v>
      </c>
      <c r="B608" s="96" t="s">
        <v>1252</v>
      </c>
      <c r="C608" s="96">
        <v>2</v>
      </c>
      <c r="D608" s="110">
        <v>0.003988595157568384</v>
      </c>
      <c r="E608" s="110">
        <v>1.6791482478697435</v>
      </c>
      <c r="F608" s="96" t="s">
        <v>917</v>
      </c>
      <c r="G608" s="96" t="b">
        <v>1</v>
      </c>
      <c r="H608" s="96" t="b">
        <v>0</v>
      </c>
      <c r="I608" s="96" t="b">
        <v>0</v>
      </c>
      <c r="J608" s="96" t="b">
        <v>0</v>
      </c>
      <c r="K608" s="96" t="b">
        <v>0</v>
      </c>
      <c r="L608" s="96" t="b">
        <v>0</v>
      </c>
    </row>
    <row r="609" spans="1:12" ht="15">
      <c r="A609" s="97" t="s">
        <v>1260</v>
      </c>
      <c r="B609" s="96" t="s">
        <v>1259</v>
      </c>
      <c r="C609" s="96">
        <v>2</v>
      </c>
      <c r="D609" s="110">
        <v>0.003988595157568384</v>
      </c>
      <c r="E609" s="110">
        <v>1.7139103541289553</v>
      </c>
      <c r="F609" s="96" t="s">
        <v>917</v>
      </c>
      <c r="G609" s="96" t="b">
        <v>0</v>
      </c>
      <c r="H609" s="96" t="b">
        <v>0</v>
      </c>
      <c r="I609" s="96" t="b">
        <v>0</v>
      </c>
      <c r="J609" s="96" t="b">
        <v>0</v>
      </c>
      <c r="K609" s="96" t="b">
        <v>0</v>
      </c>
      <c r="L609" s="96" t="b">
        <v>0</v>
      </c>
    </row>
    <row r="610" spans="1:12" ht="15">
      <c r="A610" s="97" t="s">
        <v>1332</v>
      </c>
      <c r="B610" s="96" t="s">
        <v>1310</v>
      </c>
      <c r="C610" s="96">
        <v>2</v>
      </c>
      <c r="D610" s="110">
        <v>0.003988595157568384</v>
      </c>
      <c r="E610" s="110">
        <v>2.492061604512599</v>
      </c>
      <c r="F610" s="96" t="s">
        <v>917</v>
      </c>
      <c r="G610" s="96" t="b">
        <v>0</v>
      </c>
      <c r="H610" s="96" t="b">
        <v>0</v>
      </c>
      <c r="I610" s="96" t="b">
        <v>0</v>
      </c>
      <c r="J610" s="96" t="b">
        <v>0</v>
      </c>
      <c r="K610" s="96" t="b">
        <v>0</v>
      </c>
      <c r="L610" s="96" t="b">
        <v>0</v>
      </c>
    </row>
    <row r="611" spans="1:12" ht="15">
      <c r="A611" s="97" t="s">
        <v>1297</v>
      </c>
      <c r="B611" s="96" t="s">
        <v>1332</v>
      </c>
      <c r="C611" s="96">
        <v>2</v>
      </c>
      <c r="D611" s="110">
        <v>0.003988595157568384</v>
      </c>
      <c r="E611" s="110">
        <v>2.315970345456918</v>
      </c>
      <c r="F611" s="96" t="s">
        <v>917</v>
      </c>
      <c r="G611" s="96" t="b">
        <v>0</v>
      </c>
      <c r="H611" s="96" t="b">
        <v>0</v>
      </c>
      <c r="I611" s="96" t="b">
        <v>0</v>
      </c>
      <c r="J611" s="96" t="b">
        <v>0</v>
      </c>
      <c r="K611" s="96" t="b">
        <v>0</v>
      </c>
      <c r="L611" s="96" t="b">
        <v>0</v>
      </c>
    </row>
    <row r="612" spans="1:12" ht="15">
      <c r="A612" s="97" t="s">
        <v>1022</v>
      </c>
      <c r="B612" s="96" t="s">
        <v>1019</v>
      </c>
      <c r="C612" s="96">
        <v>4</v>
      </c>
      <c r="D612" s="110">
        <v>0.016242449333552553</v>
      </c>
      <c r="E612" s="110">
        <v>1.3424226808222062</v>
      </c>
      <c r="F612" s="96" t="s">
        <v>918</v>
      </c>
      <c r="G612" s="96" t="b">
        <v>0</v>
      </c>
      <c r="H612" s="96" t="b">
        <v>0</v>
      </c>
      <c r="I612" s="96" t="b">
        <v>0</v>
      </c>
      <c r="J612" s="96" t="b">
        <v>0</v>
      </c>
      <c r="K612" s="96" t="b">
        <v>0</v>
      </c>
      <c r="L612" s="96" t="b">
        <v>0</v>
      </c>
    </row>
    <row r="613" spans="1:12" ht="15">
      <c r="A613" s="97" t="s">
        <v>1019</v>
      </c>
      <c r="B613" s="96" t="s">
        <v>1021</v>
      </c>
      <c r="C613" s="96">
        <v>4</v>
      </c>
      <c r="D613" s="110">
        <v>0.016242449333552553</v>
      </c>
      <c r="E613" s="110">
        <v>1.3424226808222062</v>
      </c>
      <c r="F613" s="96" t="s">
        <v>918</v>
      </c>
      <c r="G613" s="96" t="b">
        <v>0</v>
      </c>
      <c r="H613" s="96" t="b">
        <v>0</v>
      </c>
      <c r="I613" s="96" t="b">
        <v>0</v>
      </c>
      <c r="J613" s="96" t="b">
        <v>0</v>
      </c>
      <c r="K613" s="96" t="b">
        <v>0</v>
      </c>
      <c r="L613" s="96" t="b">
        <v>0</v>
      </c>
    </row>
    <row r="614" spans="1:12" ht="15">
      <c r="A614" s="97" t="s">
        <v>1000</v>
      </c>
      <c r="B614" s="96" t="s">
        <v>1022</v>
      </c>
      <c r="C614" s="96">
        <v>4</v>
      </c>
      <c r="D614" s="110">
        <v>0.016242449333552553</v>
      </c>
      <c r="E614" s="110">
        <v>0.9902401627108438</v>
      </c>
      <c r="F614" s="96" t="s">
        <v>918</v>
      </c>
      <c r="G614" s="96" t="b">
        <v>0</v>
      </c>
      <c r="H614" s="96" t="b">
        <v>0</v>
      </c>
      <c r="I614" s="96" t="b">
        <v>0</v>
      </c>
      <c r="J614" s="96" t="b">
        <v>0</v>
      </c>
      <c r="K614" s="96" t="b">
        <v>0</v>
      </c>
      <c r="L614" s="96" t="b">
        <v>0</v>
      </c>
    </row>
    <row r="615" spans="1:12" ht="15">
      <c r="A615" s="97" t="s">
        <v>1023</v>
      </c>
      <c r="B615" s="96" t="s">
        <v>1000</v>
      </c>
      <c r="C615" s="96">
        <v>4</v>
      </c>
      <c r="D615" s="110">
        <v>0.016242449333552553</v>
      </c>
      <c r="E615" s="110">
        <v>1.0413926851582251</v>
      </c>
      <c r="F615" s="96" t="s">
        <v>918</v>
      </c>
      <c r="G615" s="96" t="b">
        <v>0</v>
      </c>
      <c r="H615" s="96" t="b">
        <v>0</v>
      </c>
      <c r="I615" s="96" t="b">
        <v>0</v>
      </c>
      <c r="J615" s="96" t="b">
        <v>0</v>
      </c>
      <c r="K615" s="96" t="b">
        <v>0</v>
      </c>
      <c r="L615" s="96" t="b">
        <v>0</v>
      </c>
    </row>
    <row r="616" spans="1:12" ht="15">
      <c r="A616" s="97" t="s">
        <v>1368</v>
      </c>
      <c r="B616" s="96" t="s">
        <v>1381</v>
      </c>
      <c r="C616" s="96">
        <v>2</v>
      </c>
      <c r="D616" s="110">
        <v>0.0142646939660412</v>
      </c>
      <c r="E616" s="110">
        <v>1.6434526764861874</v>
      </c>
      <c r="F616" s="96" t="s">
        <v>918</v>
      </c>
      <c r="G616" s="96" t="b">
        <v>0</v>
      </c>
      <c r="H616" s="96" t="b">
        <v>0</v>
      </c>
      <c r="I616" s="96" t="b">
        <v>0</v>
      </c>
      <c r="J616" s="96" t="b">
        <v>0</v>
      </c>
      <c r="K616" s="96" t="b">
        <v>0</v>
      </c>
      <c r="L616" s="96" t="b">
        <v>0</v>
      </c>
    </row>
    <row r="617" spans="1:12" ht="15">
      <c r="A617" s="97" t="s">
        <v>1357</v>
      </c>
      <c r="B617" s="96" t="s">
        <v>1000</v>
      </c>
      <c r="C617" s="96">
        <v>2</v>
      </c>
      <c r="D617" s="110">
        <v>0.0142646939660412</v>
      </c>
      <c r="E617" s="110">
        <v>1.0413926851582251</v>
      </c>
      <c r="F617" s="96" t="s">
        <v>918</v>
      </c>
      <c r="G617" s="96" t="b">
        <v>0</v>
      </c>
      <c r="H617" s="96" t="b">
        <v>0</v>
      </c>
      <c r="I617" s="96" t="b">
        <v>0</v>
      </c>
      <c r="J617" s="96" t="b">
        <v>0</v>
      </c>
      <c r="K617" s="96" t="b">
        <v>0</v>
      </c>
      <c r="L617" s="96" t="b">
        <v>0</v>
      </c>
    </row>
    <row r="618" spans="1:12" ht="15">
      <c r="A618" s="97" t="s">
        <v>1020</v>
      </c>
      <c r="B618" s="96" t="s">
        <v>1360</v>
      </c>
      <c r="C618" s="96">
        <v>2</v>
      </c>
      <c r="D618" s="110">
        <v>0.0142646939660412</v>
      </c>
      <c r="E618" s="110">
        <v>1.3424226808222062</v>
      </c>
      <c r="F618" s="96" t="s">
        <v>918</v>
      </c>
      <c r="G618" s="96" t="b">
        <v>0</v>
      </c>
      <c r="H618" s="96" t="b">
        <v>0</v>
      </c>
      <c r="I618" s="96" t="b">
        <v>0</v>
      </c>
      <c r="J618" s="96" t="b">
        <v>0</v>
      </c>
      <c r="K618" s="96" t="b">
        <v>0</v>
      </c>
      <c r="L618" s="96" t="b">
        <v>0</v>
      </c>
    </row>
    <row r="619" spans="1:12" ht="15">
      <c r="A619" s="97" t="s">
        <v>1000</v>
      </c>
      <c r="B619" s="96" t="s">
        <v>1369</v>
      </c>
      <c r="C619" s="96">
        <v>2</v>
      </c>
      <c r="D619" s="110">
        <v>0.0142646939660412</v>
      </c>
      <c r="E619" s="110">
        <v>0.9902401627108438</v>
      </c>
      <c r="F619" s="96" t="s">
        <v>918</v>
      </c>
      <c r="G619" s="96" t="b">
        <v>0</v>
      </c>
      <c r="H619" s="96" t="b">
        <v>0</v>
      </c>
      <c r="I619" s="96" t="b">
        <v>0</v>
      </c>
      <c r="J619" s="96" t="b">
        <v>0</v>
      </c>
      <c r="K619" s="96" t="b">
        <v>0</v>
      </c>
      <c r="L619" s="96" t="b">
        <v>0</v>
      </c>
    </row>
    <row r="620" spans="1:12" ht="15">
      <c r="A620" s="97" t="s">
        <v>1361</v>
      </c>
      <c r="B620" s="96" t="s">
        <v>1365</v>
      </c>
      <c r="C620" s="96">
        <v>2</v>
      </c>
      <c r="D620" s="110">
        <v>0.0142646939660412</v>
      </c>
      <c r="E620" s="110">
        <v>1.6434526764861874</v>
      </c>
      <c r="F620" s="96" t="s">
        <v>918</v>
      </c>
      <c r="G620" s="96" t="b">
        <v>0</v>
      </c>
      <c r="H620" s="96" t="b">
        <v>0</v>
      </c>
      <c r="I620" s="96" t="b">
        <v>0</v>
      </c>
      <c r="J620" s="96" t="b">
        <v>0</v>
      </c>
      <c r="K620" s="96" t="b">
        <v>0</v>
      </c>
      <c r="L620" s="96" t="b">
        <v>0</v>
      </c>
    </row>
    <row r="621" spans="1:12" ht="15">
      <c r="A621" s="97" t="s">
        <v>1369</v>
      </c>
      <c r="B621" s="96" t="s">
        <v>1024</v>
      </c>
      <c r="C621" s="96">
        <v>2</v>
      </c>
      <c r="D621" s="110">
        <v>0.0142646939660412</v>
      </c>
      <c r="E621" s="110">
        <v>1.6434526764861874</v>
      </c>
      <c r="F621" s="96" t="s">
        <v>918</v>
      </c>
      <c r="G621" s="96" t="b">
        <v>0</v>
      </c>
      <c r="H621" s="96" t="b">
        <v>0</v>
      </c>
      <c r="I621" s="96" t="b">
        <v>0</v>
      </c>
      <c r="J621" s="96" t="b">
        <v>0</v>
      </c>
      <c r="K621" s="96" t="b">
        <v>0</v>
      </c>
      <c r="L621" s="96" t="b">
        <v>0</v>
      </c>
    </row>
    <row r="622" spans="1:12" ht="15">
      <c r="A622" s="97" t="s">
        <v>1360</v>
      </c>
      <c r="B622" s="96" t="s">
        <v>1354</v>
      </c>
      <c r="C622" s="96">
        <v>2</v>
      </c>
      <c r="D622" s="110">
        <v>0.0142646939660412</v>
      </c>
      <c r="E622" s="110">
        <v>1.6434526764861874</v>
      </c>
      <c r="F622" s="96" t="s">
        <v>918</v>
      </c>
      <c r="G622" s="96" t="b">
        <v>0</v>
      </c>
      <c r="H622" s="96" t="b">
        <v>0</v>
      </c>
      <c r="I622" s="96" t="b">
        <v>0</v>
      </c>
      <c r="J622" s="96" t="b">
        <v>0</v>
      </c>
      <c r="K622" s="96" t="b">
        <v>0</v>
      </c>
      <c r="L622" s="96" t="b">
        <v>0</v>
      </c>
    </row>
    <row r="623" spans="1:12" ht="15">
      <c r="A623" s="97" t="s">
        <v>982</v>
      </c>
      <c r="B623" s="96" t="s">
        <v>1361</v>
      </c>
      <c r="C623" s="96">
        <v>2</v>
      </c>
      <c r="D623" s="110">
        <v>0.0142646939660412</v>
      </c>
      <c r="E623" s="110">
        <v>1.3424226808222062</v>
      </c>
      <c r="F623" s="96" t="s">
        <v>918</v>
      </c>
      <c r="G623" s="96" t="b">
        <v>0</v>
      </c>
      <c r="H623" s="96" t="b">
        <v>0</v>
      </c>
      <c r="I623" s="96" t="b">
        <v>0</v>
      </c>
      <c r="J623" s="96" t="b">
        <v>0</v>
      </c>
      <c r="K623" s="96" t="b">
        <v>0</v>
      </c>
      <c r="L623" s="96" t="b">
        <v>0</v>
      </c>
    </row>
    <row r="624" spans="1:12" ht="15">
      <c r="A624" s="97" t="s">
        <v>1382</v>
      </c>
      <c r="B624" s="96" t="s">
        <v>1025</v>
      </c>
      <c r="C624" s="96">
        <v>2</v>
      </c>
      <c r="D624" s="110">
        <v>0.0142646939660412</v>
      </c>
      <c r="E624" s="110">
        <v>1.6434526764861874</v>
      </c>
      <c r="F624" s="96" t="s">
        <v>918</v>
      </c>
      <c r="G624" s="96" t="b">
        <v>0</v>
      </c>
      <c r="H624" s="96" t="b">
        <v>0</v>
      </c>
      <c r="I624" s="96" t="b">
        <v>0</v>
      </c>
      <c r="J624" s="96" t="b">
        <v>0</v>
      </c>
      <c r="K624" s="96" t="b">
        <v>0</v>
      </c>
      <c r="L624" s="96" t="b">
        <v>0</v>
      </c>
    </row>
    <row r="625" spans="1:12" ht="15">
      <c r="A625" s="97" t="s">
        <v>1001</v>
      </c>
      <c r="B625" s="96" t="s">
        <v>1002</v>
      </c>
      <c r="C625" s="96">
        <v>2</v>
      </c>
      <c r="D625" s="110">
        <v>0.0142646939660412</v>
      </c>
      <c r="E625" s="110">
        <v>1.6434526764861874</v>
      </c>
      <c r="F625" s="96" t="s">
        <v>918</v>
      </c>
      <c r="G625" s="96" t="b">
        <v>0</v>
      </c>
      <c r="H625" s="96" t="b">
        <v>0</v>
      </c>
      <c r="I625" s="96" t="b">
        <v>0</v>
      </c>
      <c r="J625" s="96" t="b">
        <v>0</v>
      </c>
      <c r="K625" s="96" t="b">
        <v>0</v>
      </c>
      <c r="L625" s="96" t="b">
        <v>0</v>
      </c>
    </row>
    <row r="626" spans="1:12" ht="15">
      <c r="A626" s="97" t="s">
        <v>1359</v>
      </c>
      <c r="B626" s="96" t="s">
        <v>1020</v>
      </c>
      <c r="C626" s="96">
        <v>2</v>
      </c>
      <c r="D626" s="110">
        <v>0.0142646939660412</v>
      </c>
      <c r="E626" s="110">
        <v>1.3424226808222062</v>
      </c>
      <c r="F626" s="96" t="s">
        <v>918</v>
      </c>
      <c r="G626" s="96" t="b">
        <v>0</v>
      </c>
      <c r="H626" s="96" t="b">
        <v>0</v>
      </c>
      <c r="I626" s="96" t="b">
        <v>0</v>
      </c>
      <c r="J626" s="96" t="b">
        <v>0</v>
      </c>
      <c r="K626" s="96" t="b">
        <v>0</v>
      </c>
      <c r="L626" s="96" t="b">
        <v>0</v>
      </c>
    </row>
    <row r="627" spans="1:12" ht="15">
      <c r="A627" s="97" t="s">
        <v>1386</v>
      </c>
      <c r="B627" s="96" t="s">
        <v>1357</v>
      </c>
      <c r="C627" s="96">
        <v>2</v>
      </c>
      <c r="D627" s="110">
        <v>0.0142646939660412</v>
      </c>
      <c r="E627" s="110">
        <v>1.6434526764861874</v>
      </c>
      <c r="F627" s="96" t="s">
        <v>918</v>
      </c>
      <c r="G627" s="96" t="b">
        <v>0</v>
      </c>
      <c r="H627" s="96" t="b">
        <v>0</v>
      </c>
      <c r="I627" s="96" t="b">
        <v>0</v>
      </c>
      <c r="J627" s="96" t="b">
        <v>0</v>
      </c>
      <c r="K627" s="96" t="b">
        <v>0</v>
      </c>
      <c r="L627" s="96" t="b">
        <v>0</v>
      </c>
    </row>
    <row r="628" spans="1:12" ht="15">
      <c r="A628" s="97" t="s">
        <v>1354</v>
      </c>
      <c r="B628" s="96" t="s">
        <v>1359</v>
      </c>
      <c r="C628" s="96">
        <v>2</v>
      </c>
      <c r="D628" s="110">
        <v>0.0142646939660412</v>
      </c>
      <c r="E628" s="110">
        <v>1.6434526764861874</v>
      </c>
      <c r="F628" s="96" t="s">
        <v>918</v>
      </c>
      <c r="G628" s="96" t="b">
        <v>0</v>
      </c>
      <c r="H628" s="96" t="b">
        <v>0</v>
      </c>
      <c r="I628" s="96" t="b">
        <v>0</v>
      </c>
      <c r="J628" s="96" t="b">
        <v>0</v>
      </c>
      <c r="K628" s="96" t="b">
        <v>0</v>
      </c>
      <c r="L628" s="96" t="b">
        <v>0</v>
      </c>
    </row>
    <row r="629" spans="1:12" ht="15">
      <c r="A629" s="97" t="s">
        <v>1020</v>
      </c>
      <c r="B629" s="96" t="s">
        <v>1382</v>
      </c>
      <c r="C629" s="96">
        <v>2</v>
      </c>
      <c r="D629" s="110">
        <v>0.0142646939660412</v>
      </c>
      <c r="E629" s="110">
        <v>1.3424226808222062</v>
      </c>
      <c r="F629" s="96" t="s">
        <v>918</v>
      </c>
      <c r="G629" s="96" t="b">
        <v>0</v>
      </c>
      <c r="H629" s="96" t="b">
        <v>0</v>
      </c>
      <c r="I629" s="96" t="b">
        <v>0</v>
      </c>
      <c r="J629" s="96" t="b">
        <v>0</v>
      </c>
      <c r="K629" s="96" t="b">
        <v>0</v>
      </c>
      <c r="L629" s="96" t="b">
        <v>0</v>
      </c>
    </row>
    <row r="630" spans="1:12" ht="15">
      <c r="A630" s="97" t="s">
        <v>1381</v>
      </c>
      <c r="B630" s="96" t="s">
        <v>982</v>
      </c>
      <c r="C630" s="96">
        <v>2</v>
      </c>
      <c r="D630" s="110">
        <v>0.0142646939660412</v>
      </c>
      <c r="E630" s="110">
        <v>1.4673614174305063</v>
      </c>
      <c r="F630" s="96" t="s">
        <v>918</v>
      </c>
      <c r="G630" s="96" t="b">
        <v>0</v>
      </c>
      <c r="H630" s="96" t="b">
        <v>0</v>
      </c>
      <c r="I630" s="96" t="b">
        <v>0</v>
      </c>
      <c r="J630" s="96" t="b">
        <v>0</v>
      </c>
      <c r="K630" s="96" t="b">
        <v>0</v>
      </c>
      <c r="L630" s="96" t="b">
        <v>0</v>
      </c>
    </row>
    <row r="631" spans="1:12" ht="15">
      <c r="A631" s="97" t="s">
        <v>1365</v>
      </c>
      <c r="B631" s="96" t="s">
        <v>1020</v>
      </c>
      <c r="C631" s="96">
        <v>2</v>
      </c>
      <c r="D631" s="110">
        <v>0.0142646939660412</v>
      </c>
      <c r="E631" s="110">
        <v>1.3424226808222062</v>
      </c>
      <c r="F631" s="96" t="s">
        <v>918</v>
      </c>
      <c r="G631" s="96" t="b">
        <v>0</v>
      </c>
      <c r="H631" s="96" t="b">
        <v>0</v>
      </c>
      <c r="I631" s="96" t="b">
        <v>0</v>
      </c>
      <c r="J631" s="96" t="b">
        <v>0</v>
      </c>
      <c r="K631" s="96" t="b">
        <v>0</v>
      </c>
      <c r="L631" s="96" t="b">
        <v>0</v>
      </c>
    </row>
    <row r="632" spans="1:12" ht="15">
      <c r="A632" s="97" t="s">
        <v>1024</v>
      </c>
      <c r="B632" s="96" t="s">
        <v>1368</v>
      </c>
      <c r="C632" s="96">
        <v>2</v>
      </c>
      <c r="D632" s="110">
        <v>0.0142646939660412</v>
      </c>
      <c r="E632" s="110">
        <v>1.6434526764861874</v>
      </c>
      <c r="F632" s="96" t="s">
        <v>918</v>
      </c>
      <c r="G632" s="96" t="b">
        <v>0</v>
      </c>
      <c r="H632" s="96" t="b">
        <v>0</v>
      </c>
      <c r="I632" s="96" t="b">
        <v>0</v>
      </c>
      <c r="J632" s="96" t="b">
        <v>0</v>
      </c>
      <c r="K632" s="96" t="b">
        <v>0</v>
      </c>
      <c r="L632" s="96"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8D798-3058-41ED-AA95-D5CCA85A88FF}">
  <dimension ref="A1:C24"/>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1460</v>
      </c>
      <c r="B2" s="113" t="s">
        <v>1461</v>
      </c>
      <c r="C2" s="50" t="s">
        <v>1462</v>
      </c>
    </row>
    <row r="3" spans="1:3" ht="15">
      <c r="A3" s="112" t="s">
        <v>914</v>
      </c>
      <c r="B3" s="112" t="s">
        <v>914</v>
      </c>
      <c r="C3" s="31">
        <v>32</v>
      </c>
    </row>
    <row r="4" spans="1:3" ht="15">
      <c r="A4" s="112" t="s">
        <v>914</v>
      </c>
      <c r="B4" s="112" t="s">
        <v>915</v>
      </c>
      <c r="C4" s="31">
        <v>10</v>
      </c>
    </row>
    <row r="5" spans="1:3" ht="15">
      <c r="A5" s="112" t="s">
        <v>914</v>
      </c>
      <c r="B5" s="112" t="s">
        <v>916</v>
      </c>
      <c r="C5" s="31">
        <v>23</v>
      </c>
    </row>
    <row r="6" spans="1:3" ht="15">
      <c r="A6" s="112" t="s">
        <v>914</v>
      </c>
      <c r="B6" s="112" t="s">
        <v>917</v>
      </c>
      <c r="C6" s="31">
        <v>11</v>
      </c>
    </row>
    <row r="7" spans="1:3" ht="15">
      <c r="A7" s="112" t="s">
        <v>914</v>
      </c>
      <c r="B7" s="112" t="s">
        <v>918</v>
      </c>
      <c r="C7" s="31">
        <v>8</v>
      </c>
    </row>
    <row r="8" spans="1:3" ht="15">
      <c r="A8" s="112" t="s">
        <v>915</v>
      </c>
      <c r="B8" s="112" t="s">
        <v>914</v>
      </c>
      <c r="C8" s="31">
        <v>10</v>
      </c>
    </row>
    <row r="9" spans="1:3" ht="15">
      <c r="A9" s="112" t="s">
        <v>915</v>
      </c>
      <c r="B9" s="112" t="s">
        <v>915</v>
      </c>
      <c r="C9" s="31">
        <v>33</v>
      </c>
    </row>
    <row r="10" spans="1:3" ht="15">
      <c r="A10" s="112" t="s">
        <v>915</v>
      </c>
      <c r="B10" s="112" t="s">
        <v>916</v>
      </c>
      <c r="C10" s="31">
        <v>14</v>
      </c>
    </row>
    <row r="11" spans="1:3" ht="15">
      <c r="A11" s="112" t="s">
        <v>915</v>
      </c>
      <c r="B11" s="112" t="s">
        <v>917</v>
      </c>
      <c r="C11" s="31">
        <v>9</v>
      </c>
    </row>
    <row r="12" spans="1:3" ht="15">
      <c r="A12" s="112" t="s">
        <v>915</v>
      </c>
      <c r="B12" s="112" t="s">
        <v>918</v>
      </c>
      <c r="C12" s="31">
        <v>6</v>
      </c>
    </row>
    <row r="13" spans="1:3" ht="15">
      <c r="A13" s="112" t="s">
        <v>916</v>
      </c>
      <c r="B13" s="112" t="s">
        <v>914</v>
      </c>
      <c r="C13" s="31">
        <v>7</v>
      </c>
    </row>
    <row r="14" spans="1:3" ht="15">
      <c r="A14" s="112" t="s">
        <v>916</v>
      </c>
      <c r="B14" s="112" t="s">
        <v>915</v>
      </c>
      <c r="C14" s="31">
        <v>9</v>
      </c>
    </row>
    <row r="15" spans="1:3" ht="15">
      <c r="A15" s="112" t="s">
        <v>916</v>
      </c>
      <c r="B15" s="112" t="s">
        <v>916</v>
      </c>
      <c r="C15" s="31">
        <v>17</v>
      </c>
    </row>
    <row r="16" spans="1:3" ht="15">
      <c r="A16" s="112" t="s">
        <v>916</v>
      </c>
      <c r="B16" s="112" t="s">
        <v>917</v>
      </c>
      <c r="C16" s="31">
        <v>6</v>
      </c>
    </row>
    <row r="17" spans="1:3" ht="15">
      <c r="A17" s="112" t="s">
        <v>916</v>
      </c>
      <c r="B17" s="112" t="s">
        <v>918</v>
      </c>
      <c r="C17" s="31">
        <v>3</v>
      </c>
    </row>
    <row r="18" spans="1:3" ht="15">
      <c r="A18" s="112" t="s">
        <v>917</v>
      </c>
      <c r="B18" s="112" t="s">
        <v>915</v>
      </c>
      <c r="C18" s="31">
        <v>2</v>
      </c>
    </row>
    <row r="19" spans="1:3" ht="15">
      <c r="A19" s="112" t="s">
        <v>917</v>
      </c>
      <c r="B19" s="112" t="s">
        <v>916</v>
      </c>
      <c r="C19" s="31">
        <v>2</v>
      </c>
    </row>
    <row r="20" spans="1:3" ht="15">
      <c r="A20" s="112" t="s">
        <v>917</v>
      </c>
      <c r="B20" s="112" t="s">
        <v>917</v>
      </c>
      <c r="C20" s="31">
        <v>39</v>
      </c>
    </row>
    <row r="21" spans="1:3" ht="15">
      <c r="A21" s="112" t="s">
        <v>918</v>
      </c>
      <c r="B21" s="112" t="s">
        <v>914</v>
      </c>
      <c r="C21" s="31">
        <v>1</v>
      </c>
    </row>
    <row r="22" spans="1:3" ht="15">
      <c r="A22" s="112" t="s">
        <v>918</v>
      </c>
      <c r="B22" s="112" t="s">
        <v>915</v>
      </c>
      <c r="C22" s="31">
        <v>1</v>
      </c>
    </row>
    <row r="23" spans="1:3" ht="15">
      <c r="A23" s="112" t="s">
        <v>918</v>
      </c>
      <c r="B23" s="112" t="s">
        <v>917</v>
      </c>
      <c r="C23" s="31">
        <v>1</v>
      </c>
    </row>
    <row r="24" spans="1:3" ht="15">
      <c r="A24" s="112" t="s">
        <v>918</v>
      </c>
      <c r="B24" s="112" t="s">
        <v>918</v>
      </c>
      <c r="C24" s="31">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02AD3-11EF-44F6-B6C8-46EB8F14A968}">
  <dimension ref="A1:BN144"/>
  <sheetViews>
    <sheetView workbookViewId="0" topLeftCell="A1">
      <pane xSplit="2" ySplit="2" topLeftCell="C3" activePane="bottomRight" state="frozen"/>
      <selection pane="topRight" activeCell="C1" sqref="C1"/>
      <selection pane="bottomLeft" activeCell="A3" sqref="A3"/>
      <selection pane="bottomRight" activeCell="B12" sqref="B1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4.421875" style="0" customWidth="1"/>
    <col min="16" max="17" width="10.7109375" style="0" bestFit="1" customWidth="1"/>
    <col min="18" max="18" width="12.7109375" style="0" bestFit="1" customWidth="1"/>
    <col min="19" max="19" width="14.421875" style="0" bestFit="1" customWidth="1"/>
    <col min="20" max="20" width="8.8515625" style="0" bestFit="1" customWidth="1"/>
    <col min="21" max="21" width="9.57421875" style="0" bestFit="1" customWidth="1"/>
    <col min="22" max="22" width="13.140625" style="0" bestFit="1" customWidth="1"/>
    <col min="23" max="23" width="13.28125" style="0" bestFit="1" customWidth="1"/>
    <col min="24" max="24" width="11.00390625" style="0" bestFit="1" customWidth="1"/>
    <col min="25" max="25" width="14.7109375" style="0" bestFit="1" customWidth="1"/>
    <col min="26" max="26" width="13.421875" style="0" bestFit="1" customWidth="1"/>
    <col min="27" max="27" width="7.421875" style="0" bestFit="1" customWidth="1"/>
    <col min="28" max="28" width="7.7109375" style="0" bestFit="1" customWidth="1"/>
    <col min="29" max="29" width="14.421875" style="0" bestFit="1" customWidth="1"/>
    <col min="30" max="30" width="10.57421875" style="0" bestFit="1" customWidth="1"/>
    <col min="31" max="31" width="12.140625" style="0" bestFit="1" customWidth="1"/>
    <col min="32" max="32" width="11.57421875" style="0" bestFit="1" customWidth="1"/>
    <col min="33" max="33" width="13.57421875" style="0" bestFit="1" customWidth="1"/>
    <col min="34" max="34" width="11.7109375" style="0" bestFit="1" customWidth="1"/>
    <col min="35" max="35" width="10.57421875" style="0" bestFit="1" customWidth="1"/>
    <col min="36" max="36" width="13.57421875" style="0" bestFit="1" customWidth="1"/>
    <col min="37" max="37" width="10.7109375" style="0" bestFit="1" customWidth="1"/>
    <col min="38" max="38" width="11.57421875" style="0" bestFit="1" customWidth="1"/>
    <col min="39" max="39" width="11.421875" style="0" bestFit="1" customWidth="1"/>
    <col min="40" max="40" width="11.00390625" style="0" bestFit="1" customWidth="1"/>
    <col min="41" max="41" width="13.140625" style="0" bestFit="1" customWidth="1"/>
    <col min="42" max="42" width="10.8515625" style="0" bestFit="1" customWidth="1"/>
    <col min="43" max="43" width="13.140625" style="0" bestFit="1" customWidth="1"/>
    <col min="44" max="44" width="9.28125" style="0" bestFit="1" customWidth="1"/>
    <col min="45" max="45" width="12.140625" style="0" bestFit="1" customWidth="1"/>
    <col min="46" max="46" width="12.00390625" style="0" bestFit="1" customWidth="1"/>
    <col min="47" max="47" width="13.57421875" style="0" bestFit="1" customWidth="1"/>
    <col min="48" max="48" width="20.7109375" style="0" bestFit="1" customWidth="1"/>
    <col min="49" max="49" width="19.57421875" style="0" bestFit="1" customWidth="1"/>
    <col min="50" max="50" width="16.8515625" style="0" bestFit="1" customWidth="1"/>
    <col min="51" max="51" width="10.28125" style="0" bestFit="1" customWidth="1"/>
    <col min="52" max="52" width="15.421875" style="0" bestFit="1" customWidth="1"/>
    <col min="53" max="53" width="11.7109375" style="0" bestFit="1" customWidth="1"/>
    <col min="54" max="54" width="10.28125" style="0" bestFit="1" customWidth="1"/>
    <col min="55" max="55" width="8.57421875" style="0" bestFit="1" customWidth="1"/>
    <col min="56" max="57" width="8.0039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t="s">
        <v>175</v>
      </c>
      <c r="P2" s="7" t="s">
        <v>177</v>
      </c>
      <c r="Q2" s="7" t="s">
        <v>178</v>
      </c>
      <c r="R2" s="7" t="s">
        <v>239</v>
      </c>
      <c r="S2" s="7" t="s">
        <v>240</v>
      </c>
      <c r="T2" s="7" t="s">
        <v>241</v>
      </c>
      <c r="U2" s="7" t="s">
        <v>242</v>
      </c>
      <c r="V2" s="7" t="s">
        <v>243</v>
      </c>
      <c r="W2" s="7" t="s">
        <v>244</v>
      </c>
      <c r="X2" s="7" t="s">
        <v>245</v>
      </c>
      <c r="Y2" s="7" t="s">
        <v>246</v>
      </c>
      <c r="Z2" s="7" t="s">
        <v>247</v>
      </c>
      <c r="AA2" s="7" t="s">
        <v>248</v>
      </c>
      <c r="AB2" s="7" t="s">
        <v>249</v>
      </c>
      <c r="AC2" s="7" t="s">
        <v>250</v>
      </c>
      <c r="AD2" s="7" t="s">
        <v>251</v>
      </c>
      <c r="AE2" s="7" t="s">
        <v>252</v>
      </c>
      <c r="AF2" s="7" t="s">
        <v>253</v>
      </c>
      <c r="AG2" s="7" t="s">
        <v>254</v>
      </c>
      <c r="AH2" s="7" t="s">
        <v>255</v>
      </c>
      <c r="AI2" s="7" t="s">
        <v>256</v>
      </c>
      <c r="AJ2" s="7" t="s">
        <v>257</v>
      </c>
      <c r="AK2" s="7" t="s">
        <v>258</v>
      </c>
      <c r="AL2" s="7" t="s">
        <v>259</v>
      </c>
      <c r="AM2" s="7" t="s">
        <v>260</v>
      </c>
      <c r="AN2" s="7" t="s">
        <v>261</v>
      </c>
      <c r="AO2" s="7" t="s">
        <v>262</v>
      </c>
      <c r="AP2" s="7" t="s">
        <v>263</v>
      </c>
      <c r="AQ2" s="7" t="s">
        <v>264</v>
      </c>
      <c r="AR2" s="7" t="s">
        <v>265</v>
      </c>
      <c r="AS2" s="7" t="s">
        <v>266</v>
      </c>
      <c r="AT2" s="7" t="s">
        <v>267</v>
      </c>
      <c r="AU2" s="7" t="s">
        <v>268</v>
      </c>
      <c r="AV2" s="7" t="s">
        <v>269</v>
      </c>
      <c r="AW2" s="7" t="s">
        <v>270</v>
      </c>
      <c r="AX2" s="7" t="s">
        <v>271</v>
      </c>
      <c r="AY2" s="7" t="s">
        <v>272</v>
      </c>
      <c r="AZ2" s="7" t="s">
        <v>273</v>
      </c>
      <c r="BA2" s="7" t="s">
        <v>274</v>
      </c>
      <c r="BB2" s="7" t="s">
        <v>275</v>
      </c>
      <c r="BC2" s="7" t="s">
        <v>276</v>
      </c>
      <c r="BD2" s="7" t="s">
        <v>277</v>
      </c>
      <c r="BE2" s="7" t="s">
        <v>278</v>
      </c>
      <c r="BF2" s="50" t="s">
        <v>1449</v>
      </c>
      <c r="BG2" s="50" t="s">
        <v>1450</v>
      </c>
      <c r="BH2" s="50" t="s">
        <v>1451</v>
      </c>
      <c r="BI2" s="50" t="s">
        <v>1452</v>
      </c>
      <c r="BJ2" s="50" t="s">
        <v>1453</v>
      </c>
      <c r="BK2" s="50" t="s">
        <v>1454</v>
      </c>
      <c r="BL2" s="50" t="s">
        <v>1455</v>
      </c>
      <c r="BM2" s="50" t="s">
        <v>1456</v>
      </c>
      <c r="BN2" s="50" t="s">
        <v>1457</v>
      </c>
    </row>
    <row r="3" spans="1:66" ht="15" customHeight="1">
      <c r="A3" s="62" t="s">
        <v>306</v>
      </c>
      <c r="B3" s="62" t="s">
        <v>305</v>
      </c>
      <c r="C3" s="64"/>
      <c r="D3" s="67"/>
      <c r="E3" s="68"/>
      <c r="F3" s="69"/>
      <c r="G3" s="64"/>
      <c r="H3" s="70"/>
      <c r="I3" s="71"/>
      <c r="J3" s="71"/>
      <c r="K3" s="31" t="s">
        <v>65</v>
      </c>
      <c r="L3" s="72">
        <v>3</v>
      </c>
      <c r="M3" s="72"/>
      <c r="N3" s="73"/>
      <c r="O3" s="63">
        <v>1</v>
      </c>
      <c r="P3" s="63" t="str">
        <f>REPLACE(INDEX(GroupVertices[Group],MATCH(Edges25[[#This Row],[Vertex 1]],GroupVertices[Vertex],0)),1,1,"")</f>
        <v>4</v>
      </c>
      <c r="Q3" s="63" t="str">
        <f>REPLACE(INDEX(GroupVertices[Group],MATCH(Edges25[[#This Row],[Vertex 2]],GroupVertices[Vertex],0)),1,1,"")</f>
        <v>4</v>
      </c>
      <c r="R3" s="63" t="s">
        <v>315</v>
      </c>
      <c r="S3" s="90">
        <v>44877.382881944446</v>
      </c>
      <c r="T3" s="63" t="s">
        <v>376</v>
      </c>
      <c r="U3" s="93" t="str">
        <f>HYPERLINK("https://www.europapress.es/sociedad/noticia-madrid-acoge-fin-semana-cumbre-internacional-criopreservacion-humana-20221111121558.html")</f>
        <v>https://www.europapress.es/sociedad/noticia-madrid-acoge-fin-semana-cumbre-internacional-criopreservacion-humana-20221111121558.html</v>
      </c>
      <c r="V3" s="63" t="s">
        <v>404</v>
      </c>
      <c r="W3" s="96" t="s">
        <v>425</v>
      </c>
      <c r="X3" s="93" t="str">
        <f>HYPERLINK("https://pbs.twimg.com/media/FhWjLDyWQAAHiUO.jpg")</f>
        <v>https://pbs.twimg.com/media/FhWjLDyWQAAHiUO.jpg</v>
      </c>
      <c r="Y3" s="93" t="str">
        <f>HYPERLINK("https://pbs.twimg.com/media/FhWjLDyWQAAHiUO.jpg")</f>
        <v>https://pbs.twimg.com/media/FhWjLDyWQAAHiUO.jpg</v>
      </c>
      <c r="Z3" s="90">
        <v>44877.382881944446</v>
      </c>
      <c r="AA3" s="99">
        <v>44877</v>
      </c>
      <c r="AB3" s="96" t="s">
        <v>574</v>
      </c>
      <c r="AC3" s="93" t="str">
        <f>HYPERLINK("https://twitter.com/augustofenollar/status/1591357972751736833")</f>
        <v>https://twitter.com/augustofenollar/status/1591357972751736833</v>
      </c>
      <c r="AD3" s="63"/>
      <c r="AE3" s="63"/>
      <c r="AF3" s="96" t="s">
        <v>711</v>
      </c>
      <c r="AG3" s="63"/>
      <c r="AH3" s="63" t="b">
        <v>0</v>
      </c>
      <c r="AI3" s="63">
        <v>0</v>
      </c>
      <c r="AJ3" s="96" t="s">
        <v>712</v>
      </c>
      <c r="AK3" s="63" t="b">
        <v>0</v>
      </c>
      <c r="AL3" s="63" t="s">
        <v>715</v>
      </c>
      <c r="AM3" s="63"/>
      <c r="AN3" s="96" t="s">
        <v>712</v>
      </c>
      <c r="AO3" s="63" t="b">
        <v>0</v>
      </c>
      <c r="AP3" s="63">
        <v>1</v>
      </c>
      <c r="AQ3" s="96" t="s">
        <v>686</v>
      </c>
      <c r="AR3" s="96" t="s">
        <v>719</v>
      </c>
      <c r="AS3" s="63" t="b">
        <v>0</v>
      </c>
      <c r="AT3" s="96" t="s">
        <v>686</v>
      </c>
      <c r="AU3" s="63" t="s">
        <v>241</v>
      </c>
      <c r="AV3" s="63">
        <v>0</v>
      </c>
      <c r="AW3" s="63">
        <v>0</v>
      </c>
      <c r="AX3" s="63"/>
      <c r="AY3" s="63"/>
      <c r="AZ3" s="63"/>
      <c r="BA3" s="63"/>
      <c r="BB3" s="63"/>
      <c r="BC3" s="63"/>
      <c r="BD3" s="63"/>
      <c r="BE3" s="63"/>
      <c r="BF3" s="45">
        <v>0</v>
      </c>
      <c r="BG3" s="46">
        <v>0</v>
      </c>
      <c r="BH3" s="45">
        <v>0</v>
      </c>
      <c r="BI3" s="46">
        <v>0</v>
      </c>
      <c r="BJ3" s="45">
        <v>0</v>
      </c>
      <c r="BK3" s="46">
        <v>0</v>
      </c>
      <c r="BL3" s="45">
        <v>10</v>
      </c>
      <c r="BM3" s="46">
        <v>76.92307692307692</v>
      </c>
      <c r="BN3" s="45">
        <v>13</v>
      </c>
    </row>
    <row r="4" spans="1:66" ht="15" customHeight="1">
      <c r="A4" s="62" t="s">
        <v>279</v>
      </c>
      <c r="B4" s="62" t="s">
        <v>304</v>
      </c>
      <c r="C4" s="64"/>
      <c r="D4" s="67"/>
      <c r="E4" s="68"/>
      <c r="F4" s="69"/>
      <c r="G4" s="64"/>
      <c r="H4" s="70"/>
      <c r="I4" s="71"/>
      <c r="J4" s="71"/>
      <c r="K4" s="31" t="s">
        <v>65</v>
      </c>
      <c r="L4" s="79">
        <v>4</v>
      </c>
      <c r="M4" s="79"/>
      <c r="N4" s="73"/>
      <c r="O4" s="66">
        <v>1</v>
      </c>
      <c r="P4" s="63" t="str">
        <f>REPLACE(INDEX(GroupVertices[Group],MATCH(Edges25[[#This Row],[Vertex 1]],GroupVertices[Vertex],0)),1,1,"")</f>
        <v>5</v>
      </c>
      <c r="Q4" s="63" t="str">
        <f>REPLACE(INDEX(GroupVertices[Group],MATCH(Edges25[[#This Row],[Vertex 2]],GroupVertices[Vertex],0)),1,1,"")</f>
        <v>5</v>
      </c>
      <c r="R4" s="66" t="s">
        <v>315</v>
      </c>
      <c r="S4" s="91">
        <v>44877.38689814815</v>
      </c>
      <c r="T4" s="66" t="s">
        <v>318</v>
      </c>
      <c r="U4" s="66"/>
      <c r="V4" s="66"/>
      <c r="W4" s="97" t="s">
        <v>421</v>
      </c>
      <c r="X4" s="94" t="str">
        <f>HYPERLINK("https://pbs.twimg.com/media/FhWdWZuXwAAO13Y.jpg")</f>
        <v>https://pbs.twimg.com/media/FhWdWZuXwAAO13Y.jpg</v>
      </c>
      <c r="Y4" s="94" t="str">
        <f>HYPERLINK("https://pbs.twimg.com/media/FhWdWZuXwAAO13Y.jpg")</f>
        <v>https://pbs.twimg.com/media/FhWdWZuXwAAO13Y.jpg</v>
      </c>
      <c r="Z4" s="91">
        <v>44877.38689814815</v>
      </c>
      <c r="AA4" s="100">
        <v>44877</v>
      </c>
      <c r="AB4" s="97" t="s">
        <v>442</v>
      </c>
      <c r="AC4" s="94" t="str">
        <f>HYPERLINK("https://twitter.com/steelearcher/status/1591359429030858752")</f>
        <v>https://twitter.com/steelearcher/status/1591359429030858752</v>
      </c>
      <c r="AD4" s="66"/>
      <c r="AE4" s="66"/>
      <c r="AF4" s="97" t="s">
        <v>575</v>
      </c>
      <c r="AG4" s="66"/>
      <c r="AH4" s="66" t="b">
        <v>0</v>
      </c>
      <c r="AI4" s="66">
        <v>0</v>
      </c>
      <c r="AJ4" s="97" t="s">
        <v>712</v>
      </c>
      <c r="AK4" s="66" t="b">
        <v>0</v>
      </c>
      <c r="AL4" s="66" t="s">
        <v>714</v>
      </c>
      <c r="AM4" s="66"/>
      <c r="AN4" s="97" t="s">
        <v>712</v>
      </c>
      <c r="AO4" s="66" t="b">
        <v>0</v>
      </c>
      <c r="AP4" s="66">
        <v>6</v>
      </c>
      <c r="AQ4" s="97" t="s">
        <v>638</v>
      </c>
      <c r="AR4" s="97" t="s">
        <v>717</v>
      </c>
      <c r="AS4" s="66" t="b">
        <v>0</v>
      </c>
      <c r="AT4" s="97" t="s">
        <v>638</v>
      </c>
      <c r="AU4" s="66" t="s">
        <v>241</v>
      </c>
      <c r="AV4" s="66">
        <v>0</v>
      </c>
      <c r="AW4" s="66">
        <v>0</v>
      </c>
      <c r="AX4" s="66"/>
      <c r="AY4" s="66"/>
      <c r="AZ4" s="66"/>
      <c r="BA4" s="66"/>
      <c r="BB4" s="66"/>
      <c r="BC4" s="66"/>
      <c r="BD4" s="66"/>
      <c r="BE4" s="66"/>
      <c r="BF4" s="45">
        <v>0</v>
      </c>
      <c r="BG4" s="46">
        <v>0</v>
      </c>
      <c r="BH4" s="45">
        <v>0</v>
      </c>
      <c r="BI4" s="46">
        <v>0</v>
      </c>
      <c r="BJ4" s="45">
        <v>0</v>
      </c>
      <c r="BK4" s="46">
        <v>0</v>
      </c>
      <c r="BL4" s="45">
        <v>5</v>
      </c>
      <c r="BM4" s="46">
        <v>83.33333333333333</v>
      </c>
      <c r="BN4" s="45">
        <v>6</v>
      </c>
    </row>
    <row r="5" spans="1:66" ht="15">
      <c r="A5" s="62" t="s">
        <v>280</v>
      </c>
      <c r="B5" s="62" t="s">
        <v>305</v>
      </c>
      <c r="C5" s="64"/>
      <c r="D5" s="67"/>
      <c r="E5" s="68"/>
      <c r="F5" s="69"/>
      <c r="G5" s="64"/>
      <c r="H5" s="70"/>
      <c r="I5" s="71"/>
      <c r="J5" s="71"/>
      <c r="K5" s="31" t="s">
        <v>65</v>
      </c>
      <c r="L5" s="79">
        <v>5</v>
      </c>
      <c r="M5" s="79"/>
      <c r="N5" s="73"/>
      <c r="O5" s="66">
        <v>1</v>
      </c>
      <c r="P5" s="63" t="str">
        <f>REPLACE(INDEX(GroupVertices[Group],MATCH(Edges25[[#This Row],[Vertex 1]],GroupVertices[Vertex],0)),1,1,"")</f>
        <v>4</v>
      </c>
      <c r="Q5" s="63" t="str">
        <f>REPLACE(INDEX(GroupVertices[Group],MATCH(Edges25[[#This Row],[Vertex 2]],GroupVertices[Vertex],0)),1,1,"")</f>
        <v>4</v>
      </c>
      <c r="R5" s="66" t="s">
        <v>315</v>
      </c>
      <c r="S5" s="91">
        <v>44877.399664351855</v>
      </c>
      <c r="T5" s="66" t="s">
        <v>319</v>
      </c>
      <c r="U5" s="94" t="str">
        <f>HYPERLINK("https://www.abc.es/sociedad/cuatro-espanoles-reposan-congelados-espera-resucitados-20221109220843-nt.html")</f>
        <v>https://www.abc.es/sociedad/cuatro-espanoles-reposan-congelados-espera-resucitados-20221109220843-nt.html</v>
      </c>
      <c r="V5" s="66" t="s">
        <v>402</v>
      </c>
      <c r="W5" s="97" t="s">
        <v>422</v>
      </c>
      <c r="X5" s="66"/>
      <c r="Y5" s="94" t="str">
        <f>HYPERLINK("https://pbs.twimg.com/profile_images/1257305529614909447/tpcVvGbz_normal.jpg")</f>
        <v>https://pbs.twimg.com/profile_images/1257305529614909447/tpcVvGbz_normal.jpg</v>
      </c>
      <c r="Z5" s="91">
        <v>44877.399664351855</v>
      </c>
      <c r="AA5" s="100">
        <v>44877</v>
      </c>
      <c r="AB5" s="97" t="s">
        <v>443</v>
      </c>
      <c r="AC5" s="94" t="str">
        <f>HYPERLINK("https://twitter.com/martin_heyam/status/1591364056849391616")</f>
        <v>https://twitter.com/martin_heyam/status/1591364056849391616</v>
      </c>
      <c r="AD5" s="66"/>
      <c r="AE5" s="66"/>
      <c r="AF5" s="97" t="s">
        <v>576</v>
      </c>
      <c r="AG5" s="66"/>
      <c r="AH5" s="66" t="b">
        <v>0</v>
      </c>
      <c r="AI5" s="66">
        <v>0</v>
      </c>
      <c r="AJ5" s="97" t="s">
        <v>712</v>
      </c>
      <c r="AK5" s="66" t="b">
        <v>0</v>
      </c>
      <c r="AL5" s="66" t="s">
        <v>715</v>
      </c>
      <c r="AM5" s="66"/>
      <c r="AN5" s="97" t="s">
        <v>712</v>
      </c>
      <c r="AO5" s="66" t="b">
        <v>0</v>
      </c>
      <c r="AP5" s="66">
        <v>2</v>
      </c>
      <c r="AQ5" s="97" t="s">
        <v>687</v>
      </c>
      <c r="AR5" s="97" t="s">
        <v>718</v>
      </c>
      <c r="AS5" s="66" t="b">
        <v>0</v>
      </c>
      <c r="AT5" s="97" t="s">
        <v>687</v>
      </c>
      <c r="AU5" s="66" t="s">
        <v>241</v>
      </c>
      <c r="AV5" s="66">
        <v>0</v>
      </c>
      <c r="AW5" s="66">
        <v>0</v>
      </c>
      <c r="AX5" s="66"/>
      <c r="AY5" s="66"/>
      <c r="AZ5" s="66"/>
      <c r="BA5" s="66"/>
      <c r="BB5" s="66"/>
      <c r="BC5" s="66"/>
      <c r="BD5" s="66"/>
      <c r="BE5" s="66"/>
      <c r="BF5" s="45">
        <v>0</v>
      </c>
      <c r="BG5" s="46">
        <v>0</v>
      </c>
      <c r="BH5" s="45">
        <v>0</v>
      </c>
      <c r="BI5" s="46">
        <v>0</v>
      </c>
      <c r="BJ5" s="45">
        <v>0</v>
      </c>
      <c r="BK5" s="46">
        <v>0</v>
      </c>
      <c r="BL5" s="45">
        <v>23</v>
      </c>
      <c r="BM5" s="46">
        <v>67.6470588235294</v>
      </c>
      <c r="BN5" s="45">
        <v>34</v>
      </c>
    </row>
    <row r="6" spans="1:66" ht="15">
      <c r="A6" s="62" t="s">
        <v>281</v>
      </c>
      <c r="B6" s="62" t="s">
        <v>305</v>
      </c>
      <c r="C6" s="64"/>
      <c r="D6" s="67"/>
      <c r="E6" s="68"/>
      <c r="F6" s="69"/>
      <c r="G6" s="64"/>
      <c r="H6" s="70"/>
      <c r="I6" s="71"/>
      <c r="J6" s="71"/>
      <c r="K6" s="31" t="s">
        <v>65</v>
      </c>
      <c r="L6" s="79">
        <v>6</v>
      </c>
      <c r="M6" s="79"/>
      <c r="N6" s="73"/>
      <c r="O6" s="66">
        <v>1</v>
      </c>
      <c r="P6" s="63" t="str">
        <f>REPLACE(INDEX(GroupVertices[Group],MATCH(Edges25[[#This Row],[Vertex 1]],GroupVertices[Vertex],0)),1,1,"")</f>
        <v>3</v>
      </c>
      <c r="Q6" s="63" t="str">
        <f>REPLACE(INDEX(GroupVertices[Group],MATCH(Edges25[[#This Row],[Vertex 2]],GroupVertices[Vertex],0)),1,1,"")</f>
        <v>4</v>
      </c>
      <c r="R6" s="66" t="s">
        <v>316</v>
      </c>
      <c r="S6" s="91">
        <v>44877.433344907404</v>
      </c>
      <c r="T6" s="66" t="s">
        <v>320</v>
      </c>
      <c r="U6" s="94" t="str">
        <f>HYPERLINK("https://www.youtube.com/watch?v=xb0JCOgMsXc&amp;feature=youtu.be")</f>
        <v>https://www.youtube.com/watch?v=xb0JCOgMsXc&amp;feature=youtu.be</v>
      </c>
      <c r="V6" s="66" t="s">
        <v>403</v>
      </c>
      <c r="W6" s="97" t="s">
        <v>423</v>
      </c>
      <c r="X6" s="94" t="str">
        <f>HYPERLINK("https://pbs.twimg.com/media/FhWu7YzX0AEJMfI.png")</f>
        <v>https://pbs.twimg.com/media/FhWu7YzX0AEJMfI.png</v>
      </c>
      <c r="Y6" s="94" t="str">
        <f>HYPERLINK("https://pbs.twimg.com/media/FhWu7YzX0AEJMfI.png")</f>
        <v>https://pbs.twimg.com/media/FhWu7YzX0AEJMfI.png</v>
      </c>
      <c r="Z6" s="91">
        <v>44877.433344907404</v>
      </c>
      <c r="AA6" s="100">
        <v>44877</v>
      </c>
      <c r="AB6" s="97" t="s">
        <v>444</v>
      </c>
      <c r="AC6" s="94" t="str">
        <f>HYPERLINK("https://twitter.com/larkkarles/status/1591376258633728002")</f>
        <v>https://twitter.com/larkkarles/status/1591376258633728002</v>
      </c>
      <c r="AD6" s="66"/>
      <c r="AE6" s="66"/>
      <c r="AF6" s="97" t="s">
        <v>577</v>
      </c>
      <c r="AG6" s="66"/>
      <c r="AH6" s="66" t="b">
        <v>0</v>
      </c>
      <c r="AI6" s="66">
        <v>0</v>
      </c>
      <c r="AJ6" s="97" t="s">
        <v>712</v>
      </c>
      <c r="AK6" s="66" t="b">
        <v>0</v>
      </c>
      <c r="AL6" s="66" t="s">
        <v>715</v>
      </c>
      <c r="AM6" s="66"/>
      <c r="AN6" s="97" t="s">
        <v>712</v>
      </c>
      <c r="AO6" s="66" t="b">
        <v>0</v>
      </c>
      <c r="AP6" s="66">
        <v>5</v>
      </c>
      <c r="AQ6" s="97" t="s">
        <v>613</v>
      </c>
      <c r="AR6" s="97" t="s">
        <v>717</v>
      </c>
      <c r="AS6" s="66" t="b">
        <v>0</v>
      </c>
      <c r="AT6" s="97" t="s">
        <v>613</v>
      </c>
      <c r="AU6" s="66" t="s">
        <v>241</v>
      </c>
      <c r="AV6" s="66">
        <v>0</v>
      </c>
      <c r="AW6" s="66">
        <v>0</v>
      </c>
      <c r="AX6" s="66"/>
      <c r="AY6" s="66"/>
      <c r="AZ6" s="66"/>
      <c r="BA6" s="66"/>
      <c r="BB6" s="66"/>
      <c r="BC6" s="66"/>
      <c r="BD6" s="66"/>
      <c r="BE6" s="66"/>
      <c r="BF6" s="45"/>
      <c r="BG6" s="46"/>
      <c r="BH6" s="45"/>
      <c r="BI6" s="46"/>
      <c r="BJ6" s="45"/>
      <c r="BK6" s="46"/>
      <c r="BL6" s="45"/>
      <c r="BM6" s="46"/>
      <c r="BN6" s="45"/>
    </row>
    <row r="7" spans="1:66" ht="15">
      <c r="A7" s="62" t="s">
        <v>282</v>
      </c>
      <c r="B7" s="62" t="s">
        <v>304</v>
      </c>
      <c r="C7" s="64"/>
      <c r="D7" s="67"/>
      <c r="E7" s="68"/>
      <c r="F7" s="69"/>
      <c r="G7" s="64"/>
      <c r="H7" s="70"/>
      <c r="I7" s="71"/>
      <c r="J7" s="71"/>
      <c r="K7" s="31" t="s">
        <v>65</v>
      </c>
      <c r="L7" s="79">
        <v>12</v>
      </c>
      <c r="M7" s="79"/>
      <c r="N7" s="73"/>
      <c r="O7" s="66">
        <v>1</v>
      </c>
      <c r="P7" s="63" t="str">
        <f>REPLACE(INDEX(GroupVertices[Group],MATCH(Edges25[[#This Row],[Vertex 1]],GroupVertices[Vertex],0)),1,1,"")</f>
        <v>1</v>
      </c>
      <c r="Q7" s="63" t="str">
        <f>REPLACE(INDEX(GroupVertices[Group],MATCH(Edges25[[#This Row],[Vertex 2]],GroupVertices[Vertex],0)),1,1,"")</f>
        <v>5</v>
      </c>
      <c r="R7" s="66" t="s">
        <v>316</v>
      </c>
      <c r="S7" s="91">
        <v>44877.56675925926</v>
      </c>
      <c r="T7" s="66" t="s">
        <v>321</v>
      </c>
      <c r="U7" s="94" t="str">
        <f>HYPERLINK("https://www.youtube.com/watch?v=xb0JCOgMsXc&amp;feature=youtu.be")</f>
        <v>https://www.youtube.com/watch?v=xb0JCOgMsXc&amp;feature=youtu.be</v>
      </c>
      <c r="V7" s="66" t="s">
        <v>403</v>
      </c>
      <c r="W7" s="97" t="s">
        <v>424</v>
      </c>
      <c r="X7" s="94" t="str">
        <f>HYPERLINK("https://pbs.twimg.com/media/FhW7ZTpXkAAZ4Hh.jpg")</f>
        <v>https://pbs.twimg.com/media/FhW7ZTpXkAAZ4Hh.jpg</v>
      </c>
      <c r="Y7" s="94" t="str">
        <f>HYPERLINK("https://pbs.twimg.com/media/FhW7ZTpXkAAZ4Hh.jpg")</f>
        <v>https://pbs.twimg.com/media/FhW7ZTpXkAAZ4Hh.jpg</v>
      </c>
      <c r="Z7" s="91">
        <v>44877.56675925926</v>
      </c>
      <c r="AA7" s="100">
        <v>44877</v>
      </c>
      <c r="AB7" s="97" t="s">
        <v>445</v>
      </c>
      <c r="AC7" s="94" t="str">
        <f>HYPERLINK("https://twitter.com/paoloigna1/status/1591424607005052928")</f>
        <v>https://twitter.com/paoloigna1/status/1591424607005052928</v>
      </c>
      <c r="AD7" s="66"/>
      <c r="AE7" s="66"/>
      <c r="AF7" s="97" t="s">
        <v>578</v>
      </c>
      <c r="AG7" s="66"/>
      <c r="AH7" s="66" t="b">
        <v>0</v>
      </c>
      <c r="AI7" s="66">
        <v>0</v>
      </c>
      <c r="AJ7" s="97" t="s">
        <v>712</v>
      </c>
      <c r="AK7" s="66" t="b">
        <v>0</v>
      </c>
      <c r="AL7" s="66" t="s">
        <v>715</v>
      </c>
      <c r="AM7" s="66"/>
      <c r="AN7" s="97" t="s">
        <v>712</v>
      </c>
      <c r="AO7" s="66" t="b">
        <v>0</v>
      </c>
      <c r="AP7" s="66">
        <v>5</v>
      </c>
      <c r="AQ7" s="97" t="s">
        <v>601</v>
      </c>
      <c r="AR7" s="97" t="s">
        <v>717</v>
      </c>
      <c r="AS7" s="66" t="b">
        <v>0</v>
      </c>
      <c r="AT7" s="97" t="s">
        <v>601</v>
      </c>
      <c r="AU7" s="66" t="s">
        <v>241</v>
      </c>
      <c r="AV7" s="66">
        <v>0</v>
      </c>
      <c r="AW7" s="66">
        <v>0</v>
      </c>
      <c r="AX7" s="66"/>
      <c r="AY7" s="66"/>
      <c r="AZ7" s="66"/>
      <c r="BA7" s="66"/>
      <c r="BB7" s="66"/>
      <c r="BC7" s="66"/>
      <c r="BD7" s="66"/>
      <c r="BE7" s="66"/>
      <c r="BF7" s="45"/>
      <c r="BG7" s="46"/>
      <c r="BH7" s="45"/>
      <c r="BI7" s="46"/>
      <c r="BJ7" s="45"/>
      <c r="BK7" s="46"/>
      <c r="BL7" s="45"/>
      <c r="BM7" s="46"/>
      <c r="BN7" s="45"/>
    </row>
    <row r="8" spans="1:66" ht="15">
      <c r="A8" s="62" t="s">
        <v>282</v>
      </c>
      <c r="B8" s="62" t="s">
        <v>298</v>
      </c>
      <c r="C8" s="64"/>
      <c r="D8" s="67"/>
      <c r="E8" s="68"/>
      <c r="F8" s="69"/>
      <c r="G8" s="64"/>
      <c r="H8" s="70"/>
      <c r="I8" s="71"/>
      <c r="J8" s="71"/>
      <c r="K8" s="31" t="s">
        <v>65</v>
      </c>
      <c r="L8" s="79">
        <v>26</v>
      </c>
      <c r="M8" s="79"/>
      <c r="N8" s="73"/>
      <c r="O8" s="66">
        <v>1</v>
      </c>
      <c r="P8" s="63" t="str">
        <f>REPLACE(INDEX(GroupVertices[Group],MATCH(Edges25[[#This Row],[Vertex 1]],GroupVertices[Vertex],0)),1,1,"")</f>
        <v>1</v>
      </c>
      <c r="Q8" s="63" t="str">
        <f>REPLACE(INDEX(GroupVertices[Group],MATCH(Edges25[[#This Row],[Vertex 2]],GroupVertices[Vertex],0)),1,1,"")</f>
        <v>2</v>
      </c>
      <c r="R8" s="66" t="s">
        <v>315</v>
      </c>
      <c r="S8" s="91">
        <v>44877.56689814815</v>
      </c>
      <c r="T8" s="66" t="s">
        <v>322</v>
      </c>
      <c r="U8" s="94" t="str">
        <f>HYPERLINK("https://www.europapress.es/sociedad/noticia-madrid-acoge-fin-semana-cumbre-internacional-criopreservacion-humana-20221111121558.html")</f>
        <v>https://www.europapress.es/sociedad/noticia-madrid-acoge-fin-semana-cumbre-internacional-criopreservacion-humana-20221111121558.html</v>
      </c>
      <c r="V8" s="66" t="s">
        <v>404</v>
      </c>
      <c r="W8" s="97" t="s">
        <v>425</v>
      </c>
      <c r="X8" s="94" t="str">
        <f>HYPERLINK("https://pbs.twimg.com/media/FhXLrnHXwAAfpE5.jpg")</f>
        <v>https://pbs.twimg.com/media/FhXLrnHXwAAfpE5.jpg</v>
      </c>
      <c r="Y8" s="94" t="str">
        <f>HYPERLINK("https://pbs.twimg.com/media/FhXLrnHXwAAfpE5.jpg")</f>
        <v>https://pbs.twimg.com/media/FhXLrnHXwAAfpE5.jpg</v>
      </c>
      <c r="Z8" s="91">
        <v>44877.56689814815</v>
      </c>
      <c r="AA8" s="100">
        <v>44877</v>
      </c>
      <c r="AB8" s="97" t="s">
        <v>446</v>
      </c>
      <c r="AC8" s="94" t="str">
        <f>HYPERLINK("https://twitter.com/paoloigna1/status/1591424658418831360")</f>
        <v>https://twitter.com/paoloigna1/status/1591424658418831360</v>
      </c>
      <c r="AD8" s="66"/>
      <c r="AE8" s="66"/>
      <c r="AF8" s="97" t="s">
        <v>579</v>
      </c>
      <c r="AG8" s="66"/>
      <c r="AH8" s="66" t="b">
        <v>0</v>
      </c>
      <c r="AI8" s="66">
        <v>0</v>
      </c>
      <c r="AJ8" s="97" t="s">
        <v>712</v>
      </c>
      <c r="AK8" s="66" t="b">
        <v>0</v>
      </c>
      <c r="AL8" s="66" t="s">
        <v>715</v>
      </c>
      <c r="AM8" s="66"/>
      <c r="AN8" s="97" t="s">
        <v>712</v>
      </c>
      <c r="AO8" s="66" t="b">
        <v>0</v>
      </c>
      <c r="AP8" s="66">
        <v>1</v>
      </c>
      <c r="AQ8" s="97" t="s">
        <v>654</v>
      </c>
      <c r="AR8" s="97" t="s">
        <v>717</v>
      </c>
      <c r="AS8" s="66" t="b">
        <v>0</v>
      </c>
      <c r="AT8" s="97" t="s">
        <v>654</v>
      </c>
      <c r="AU8" s="66" t="s">
        <v>241</v>
      </c>
      <c r="AV8" s="66">
        <v>0</v>
      </c>
      <c r="AW8" s="66">
        <v>0</v>
      </c>
      <c r="AX8" s="66"/>
      <c r="AY8" s="66"/>
      <c r="AZ8" s="66"/>
      <c r="BA8" s="66"/>
      <c r="BB8" s="66"/>
      <c r="BC8" s="66"/>
      <c r="BD8" s="66"/>
      <c r="BE8" s="66"/>
      <c r="BF8" s="45">
        <v>0</v>
      </c>
      <c r="BG8" s="46">
        <v>0</v>
      </c>
      <c r="BH8" s="45">
        <v>0</v>
      </c>
      <c r="BI8" s="46">
        <v>0</v>
      </c>
      <c r="BJ8" s="45">
        <v>0</v>
      </c>
      <c r="BK8" s="46">
        <v>0</v>
      </c>
      <c r="BL8" s="45">
        <v>10</v>
      </c>
      <c r="BM8" s="46">
        <v>76.92307692307692</v>
      </c>
      <c r="BN8" s="45">
        <v>13</v>
      </c>
    </row>
    <row r="9" spans="1:66" ht="15">
      <c r="A9" s="62" t="s">
        <v>282</v>
      </c>
      <c r="B9" s="62" t="s">
        <v>305</v>
      </c>
      <c r="C9" s="64"/>
      <c r="D9" s="67"/>
      <c r="E9" s="68"/>
      <c r="F9" s="69"/>
      <c r="G9" s="64"/>
      <c r="H9" s="70"/>
      <c r="I9" s="71"/>
      <c r="J9" s="71"/>
      <c r="K9" s="31" t="s">
        <v>65</v>
      </c>
      <c r="L9" s="79">
        <v>27</v>
      </c>
      <c r="M9" s="79"/>
      <c r="N9" s="73"/>
      <c r="O9" s="66">
        <v>1</v>
      </c>
      <c r="P9" s="63" t="str">
        <f>REPLACE(INDEX(GroupVertices[Group],MATCH(Edges25[[#This Row],[Vertex 1]],GroupVertices[Vertex],0)),1,1,"")</f>
        <v>1</v>
      </c>
      <c r="Q9" s="63" t="str">
        <f>REPLACE(INDEX(GroupVertices[Group],MATCH(Edges25[[#This Row],[Vertex 2]],GroupVertices[Vertex],0)),1,1,"")</f>
        <v>4</v>
      </c>
      <c r="R9" s="66" t="s">
        <v>315</v>
      </c>
      <c r="S9" s="91">
        <v>44877.56693287037</v>
      </c>
      <c r="T9" s="66" t="s">
        <v>323</v>
      </c>
      <c r="U9" s="66" t="s">
        <v>393</v>
      </c>
      <c r="V9" s="66" t="s">
        <v>405</v>
      </c>
      <c r="W9" s="97" t="s">
        <v>426</v>
      </c>
      <c r="X9" s="66"/>
      <c r="Y9" s="94" t="str">
        <f>HYPERLINK("https://pbs.twimg.com/profile_images/1060178682403266561/Kuf9_hvx_normal.jpg")</f>
        <v>https://pbs.twimg.com/profile_images/1060178682403266561/Kuf9_hvx_normal.jpg</v>
      </c>
      <c r="Z9" s="91">
        <v>44877.56693287037</v>
      </c>
      <c r="AA9" s="100">
        <v>44877</v>
      </c>
      <c r="AB9" s="97" t="s">
        <v>447</v>
      </c>
      <c r="AC9" s="94" t="str">
        <f>HYPERLINK("https://twitter.com/paoloigna1/status/1591424670167097344")</f>
        <v>https://twitter.com/paoloigna1/status/1591424670167097344</v>
      </c>
      <c r="AD9" s="66"/>
      <c r="AE9" s="66"/>
      <c r="AF9" s="97" t="s">
        <v>580</v>
      </c>
      <c r="AG9" s="66"/>
      <c r="AH9" s="66" t="b">
        <v>0</v>
      </c>
      <c r="AI9" s="66">
        <v>0</v>
      </c>
      <c r="AJ9" s="97" t="s">
        <v>712</v>
      </c>
      <c r="AK9" s="66" t="b">
        <v>0</v>
      </c>
      <c r="AL9" s="66" t="s">
        <v>715</v>
      </c>
      <c r="AM9" s="66"/>
      <c r="AN9" s="97" t="s">
        <v>712</v>
      </c>
      <c r="AO9" s="66" t="b">
        <v>0</v>
      </c>
      <c r="AP9" s="66">
        <v>1</v>
      </c>
      <c r="AQ9" s="97" t="s">
        <v>690</v>
      </c>
      <c r="AR9" s="97" t="s">
        <v>717</v>
      </c>
      <c r="AS9" s="66" t="b">
        <v>0</v>
      </c>
      <c r="AT9" s="97" t="s">
        <v>690</v>
      </c>
      <c r="AU9" s="66" t="s">
        <v>241</v>
      </c>
      <c r="AV9" s="66">
        <v>0</v>
      </c>
      <c r="AW9" s="66">
        <v>0</v>
      </c>
      <c r="AX9" s="66"/>
      <c r="AY9" s="66"/>
      <c r="AZ9" s="66"/>
      <c r="BA9" s="66"/>
      <c r="BB9" s="66"/>
      <c r="BC9" s="66"/>
      <c r="BD9" s="66"/>
      <c r="BE9" s="66"/>
      <c r="BF9" s="45">
        <v>0</v>
      </c>
      <c r="BG9" s="46">
        <v>0</v>
      </c>
      <c r="BH9" s="45">
        <v>0</v>
      </c>
      <c r="BI9" s="46">
        <v>0</v>
      </c>
      <c r="BJ9" s="45">
        <v>0</v>
      </c>
      <c r="BK9" s="46">
        <v>0</v>
      </c>
      <c r="BL9" s="45">
        <v>24</v>
      </c>
      <c r="BM9" s="46">
        <v>68.57142857142857</v>
      </c>
      <c r="BN9" s="45">
        <v>35</v>
      </c>
    </row>
    <row r="10" spans="1:66" ht="15">
      <c r="A10" s="62" t="s">
        <v>283</v>
      </c>
      <c r="B10" s="62" t="s">
        <v>304</v>
      </c>
      <c r="C10" s="64"/>
      <c r="D10" s="67"/>
      <c r="E10" s="68"/>
      <c r="F10" s="69"/>
      <c r="G10" s="64"/>
      <c r="H10" s="70"/>
      <c r="I10" s="71"/>
      <c r="J10" s="71"/>
      <c r="K10" s="31" t="s">
        <v>65</v>
      </c>
      <c r="L10" s="79">
        <v>28</v>
      </c>
      <c r="M10" s="79"/>
      <c r="N10" s="73"/>
      <c r="O10" s="66">
        <v>1</v>
      </c>
      <c r="P10" s="63" t="str">
        <f>REPLACE(INDEX(GroupVertices[Group],MATCH(Edges25[[#This Row],[Vertex 1]],GroupVertices[Vertex],0)),1,1,"")</f>
        <v>1</v>
      </c>
      <c r="Q10" s="63" t="str">
        <f>REPLACE(INDEX(GroupVertices[Group],MATCH(Edges25[[#This Row],[Vertex 2]],GroupVertices[Vertex],0)),1,1,"")</f>
        <v>5</v>
      </c>
      <c r="R10" s="66" t="s">
        <v>316</v>
      </c>
      <c r="S10" s="91">
        <v>44877.56952546296</v>
      </c>
      <c r="T10" s="66" t="s">
        <v>321</v>
      </c>
      <c r="U10" s="94" t="str">
        <f>HYPERLINK("https://www.youtube.com/watch?v=xb0JCOgMsXc&amp;feature=youtu.be")</f>
        <v>https://www.youtube.com/watch?v=xb0JCOgMsXc&amp;feature=youtu.be</v>
      </c>
      <c r="V10" s="66" t="s">
        <v>403</v>
      </c>
      <c r="W10" s="97" t="s">
        <v>424</v>
      </c>
      <c r="X10" s="94" t="str">
        <f>HYPERLINK("https://pbs.twimg.com/media/FhW7ZTpXkAAZ4Hh.jpg")</f>
        <v>https://pbs.twimg.com/media/FhW7ZTpXkAAZ4Hh.jpg</v>
      </c>
      <c r="Y10" s="94" t="str">
        <f>HYPERLINK("https://pbs.twimg.com/media/FhW7ZTpXkAAZ4Hh.jpg")</f>
        <v>https://pbs.twimg.com/media/FhW7ZTpXkAAZ4Hh.jpg</v>
      </c>
      <c r="Z10" s="91">
        <v>44877.56952546296</v>
      </c>
      <c r="AA10" s="100">
        <v>44877</v>
      </c>
      <c r="AB10" s="97" t="s">
        <v>448</v>
      </c>
      <c r="AC10" s="94" t="str">
        <f>HYPERLINK("https://twitter.com/iosu_blanco/status/1591425610903068676")</f>
        <v>https://twitter.com/iosu_blanco/status/1591425610903068676</v>
      </c>
      <c r="AD10" s="66"/>
      <c r="AE10" s="66"/>
      <c r="AF10" s="97" t="s">
        <v>581</v>
      </c>
      <c r="AG10" s="66"/>
      <c r="AH10" s="66" t="b">
        <v>0</v>
      </c>
      <c r="AI10" s="66">
        <v>0</v>
      </c>
      <c r="AJ10" s="97" t="s">
        <v>712</v>
      </c>
      <c r="AK10" s="66" t="b">
        <v>0</v>
      </c>
      <c r="AL10" s="66" t="s">
        <v>715</v>
      </c>
      <c r="AM10" s="66"/>
      <c r="AN10" s="97" t="s">
        <v>712</v>
      </c>
      <c r="AO10" s="66" t="b">
        <v>0</v>
      </c>
      <c r="AP10" s="66">
        <v>5</v>
      </c>
      <c r="AQ10" s="97" t="s">
        <v>601</v>
      </c>
      <c r="AR10" s="97" t="s">
        <v>719</v>
      </c>
      <c r="AS10" s="66" t="b">
        <v>0</v>
      </c>
      <c r="AT10" s="97" t="s">
        <v>601</v>
      </c>
      <c r="AU10" s="66" t="s">
        <v>241</v>
      </c>
      <c r="AV10" s="66">
        <v>0</v>
      </c>
      <c r="AW10" s="66">
        <v>0</v>
      </c>
      <c r="AX10" s="66"/>
      <c r="AY10" s="66"/>
      <c r="AZ10" s="66"/>
      <c r="BA10" s="66"/>
      <c r="BB10" s="66"/>
      <c r="BC10" s="66"/>
      <c r="BD10" s="66"/>
      <c r="BE10" s="66"/>
      <c r="BF10" s="45"/>
      <c r="BG10" s="46"/>
      <c r="BH10" s="45"/>
      <c r="BI10" s="46"/>
      <c r="BJ10" s="45"/>
      <c r="BK10" s="46"/>
      <c r="BL10" s="45"/>
      <c r="BM10" s="46"/>
      <c r="BN10" s="45"/>
    </row>
    <row r="11" spans="1:66" ht="15">
      <c r="A11" s="62" t="s">
        <v>283</v>
      </c>
      <c r="B11" s="62" t="s">
        <v>297</v>
      </c>
      <c r="C11" s="64"/>
      <c r="D11" s="67"/>
      <c r="E11" s="68"/>
      <c r="F11" s="69"/>
      <c r="G11" s="64"/>
      <c r="H11" s="70"/>
      <c r="I11" s="71"/>
      <c r="J11" s="71"/>
      <c r="K11" s="31" t="s">
        <v>65</v>
      </c>
      <c r="L11" s="79">
        <v>42</v>
      </c>
      <c r="M11" s="79"/>
      <c r="N11" s="73"/>
      <c r="O11" s="66">
        <v>2</v>
      </c>
      <c r="P11" s="63" t="str">
        <f>REPLACE(INDEX(GroupVertices[Group],MATCH(Edges25[[#This Row],[Vertex 1]],GroupVertices[Vertex],0)),1,1,"")</f>
        <v>1</v>
      </c>
      <c r="Q11" s="63" t="str">
        <f>REPLACE(INDEX(GroupVertices[Group],MATCH(Edges25[[#This Row],[Vertex 2]],GroupVertices[Vertex],0)),1,1,"")</f>
        <v>1</v>
      </c>
      <c r="R11" s="66" t="s">
        <v>315</v>
      </c>
      <c r="S11" s="91">
        <v>44877.59400462963</v>
      </c>
      <c r="T11" s="66" t="s">
        <v>324</v>
      </c>
      <c r="U11" s="94" t="str">
        <f>HYPERLINK("https://www.youtube.com/watch?v=erkbGlWtX3Q&amp;feature=youtu.be")</f>
        <v>https://www.youtube.com/watch?v=erkbGlWtX3Q&amp;feature=youtu.be</v>
      </c>
      <c r="V11" s="66" t="s">
        <v>403</v>
      </c>
      <c r="W11" s="97" t="s">
        <v>423</v>
      </c>
      <c r="X11" s="66"/>
      <c r="Y11" s="94" t="str">
        <f>HYPERLINK("https://pbs.twimg.com/profile_images/1575211829978071041/Dv1L40sv_normal.jpg")</f>
        <v>https://pbs.twimg.com/profile_images/1575211829978071041/Dv1L40sv_normal.jpg</v>
      </c>
      <c r="Z11" s="91">
        <v>44877.59400462963</v>
      </c>
      <c r="AA11" s="100">
        <v>44877</v>
      </c>
      <c r="AB11" s="97" t="s">
        <v>449</v>
      </c>
      <c r="AC11" s="94" t="str">
        <f>HYPERLINK("https://twitter.com/iosu_blanco/status/1591434481411690496")</f>
        <v>https://twitter.com/iosu_blanco/status/1591434481411690496</v>
      </c>
      <c r="AD11" s="66"/>
      <c r="AE11" s="66"/>
      <c r="AF11" s="97" t="s">
        <v>582</v>
      </c>
      <c r="AG11" s="66"/>
      <c r="AH11" s="66" t="b">
        <v>0</v>
      </c>
      <c r="AI11" s="66">
        <v>0</v>
      </c>
      <c r="AJ11" s="97" t="s">
        <v>712</v>
      </c>
      <c r="AK11" s="66" t="b">
        <v>0</v>
      </c>
      <c r="AL11" s="66" t="s">
        <v>715</v>
      </c>
      <c r="AM11" s="66"/>
      <c r="AN11" s="97" t="s">
        <v>712</v>
      </c>
      <c r="AO11" s="66" t="b">
        <v>0</v>
      </c>
      <c r="AP11" s="66">
        <v>1</v>
      </c>
      <c r="AQ11" s="97" t="s">
        <v>624</v>
      </c>
      <c r="AR11" s="97" t="s">
        <v>719</v>
      </c>
      <c r="AS11" s="66" t="b">
        <v>0</v>
      </c>
      <c r="AT11" s="97" t="s">
        <v>624</v>
      </c>
      <c r="AU11" s="66" t="s">
        <v>241</v>
      </c>
      <c r="AV11" s="66">
        <v>0</v>
      </c>
      <c r="AW11" s="66">
        <v>0</v>
      </c>
      <c r="AX11" s="66"/>
      <c r="AY11" s="66"/>
      <c r="AZ11" s="66"/>
      <c r="BA11" s="66"/>
      <c r="BB11" s="66"/>
      <c r="BC11" s="66"/>
      <c r="BD11" s="66"/>
      <c r="BE11" s="66"/>
      <c r="BF11" s="45">
        <v>0</v>
      </c>
      <c r="BG11" s="46">
        <v>0</v>
      </c>
      <c r="BH11" s="45">
        <v>0</v>
      </c>
      <c r="BI11" s="46">
        <v>0</v>
      </c>
      <c r="BJ11" s="45">
        <v>0</v>
      </c>
      <c r="BK11" s="46">
        <v>0</v>
      </c>
      <c r="BL11" s="45">
        <v>11</v>
      </c>
      <c r="BM11" s="46">
        <v>78.57142857142857</v>
      </c>
      <c r="BN11" s="45">
        <v>14</v>
      </c>
    </row>
    <row r="12" spans="1:66" ht="15">
      <c r="A12" s="62" t="s">
        <v>284</v>
      </c>
      <c r="B12" s="62" t="s">
        <v>297</v>
      </c>
      <c r="C12" s="64"/>
      <c r="D12" s="67"/>
      <c r="E12" s="68"/>
      <c r="F12" s="69"/>
      <c r="G12" s="64"/>
      <c r="H12" s="70"/>
      <c r="I12" s="71"/>
      <c r="J12" s="71"/>
      <c r="K12" s="31" t="s">
        <v>65</v>
      </c>
      <c r="L12" s="79">
        <v>43</v>
      </c>
      <c r="M12" s="79"/>
      <c r="N12" s="73"/>
      <c r="O12" s="66">
        <v>1</v>
      </c>
      <c r="P12" s="63" t="str">
        <f>REPLACE(INDEX(GroupVertices[Group],MATCH(Edges25[[#This Row],[Vertex 1]],GroupVertices[Vertex],0)),1,1,"")</f>
        <v>1</v>
      </c>
      <c r="Q12" s="63" t="str">
        <f>REPLACE(INDEX(GroupVertices[Group],MATCH(Edges25[[#This Row],[Vertex 2]],GroupVertices[Vertex],0)),1,1,"")</f>
        <v>1</v>
      </c>
      <c r="R12" s="66" t="s">
        <v>315</v>
      </c>
      <c r="S12" s="91">
        <v>44877.611493055556</v>
      </c>
      <c r="T12" s="66" t="s">
        <v>325</v>
      </c>
      <c r="U12" s="94" t="str">
        <f>HYPERLINK("https://youtu.be/erkbGlWtX3Q")</f>
        <v>https://youtu.be/erkbGlWtX3Q</v>
      </c>
      <c r="V12" s="66" t="s">
        <v>406</v>
      </c>
      <c r="W12" s="97" t="s">
        <v>427</v>
      </c>
      <c r="X12" s="66"/>
      <c r="Y12" s="94" t="str">
        <f>HYPERLINK("https://pbs.twimg.com/profile_images/1593167753799643136/KYKFKsS__normal.jpg")</f>
        <v>https://pbs.twimg.com/profile_images/1593167753799643136/KYKFKsS__normal.jpg</v>
      </c>
      <c r="Z12" s="91">
        <v>44877.611493055556</v>
      </c>
      <c r="AA12" s="100">
        <v>44877</v>
      </c>
      <c r="AB12" s="97" t="s">
        <v>450</v>
      </c>
      <c r="AC12" s="94" t="str">
        <f>HYPERLINK("https://twitter.com/vinitra5/status/1591440819596460032")</f>
        <v>https://twitter.com/vinitra5/status/1591440819596460032</v>
      </c>
      <c r="AD12" s="66"/>
      <c r="AE12" s="66"/>
      <c r="AF12" s="97" t="s">
        <v>583</v>
      </c>
      <c r="AG12" s="66"/>
      <c r="AH12" s="66" t="b">
        <v>0</v>
      </c>
      <c r="AI12" s="66">
        <v>0</v>
      </c>
      <c r="AJ12" s="97" t="s">
        <v>712</v>
      </c>
      <c r="AK12" s="66" t="b">
        <v>0</v>
      </c>
      <c r="AL12" s="66" t="s">
        <v>714</v>
      </c>
      <c r="AM12" s="66"/>
      <c r="AN12" s="97" t="s">
        <v>712</v>
      </c>
      <c r="AO12" s="66" t="b">
        <v>0</v>
      </c>
      <c r="AP12" s="66">
        <v>3</v>
      </c>
      <c r="AQ12" s="97" t="s">
        <v>626</v>
      </c>
      <c r="AR12" s="97" t="s">
        <v>720</v>
      </c>
      <c r="AS12" s="66" t="b">
        <v>0</v>
      </c>
      <c r="AT12" s="97" t="s">
        <v>626</v>
      </c>
      <c r="AU12" s="66" t="s">
        <v>241</v>
      </c>
      <c r="AV12" s="66">
        <v>0</v>
      </c>
      <c r="AW12" s="66">
        <v>0</v>
      </c>
      <c r="AX12" s="66"/>
      <c r="AY12" s="66"/>
      <c r="AZ12" s="66"/>
      <c r="BA12" s="66"/>
      <c r="BB12" s="66"/>
      <c r="BC12" s="66"/>
      <c r="BD12" s="66"/>
      <c r="BE12" s="66"/>
      <c r="BF12" s="45">
        <v>0</v>
      </c>
      <c r="BG12" s="46">
        <v>0</v>
      </c>
      <c r="BH12" s="45">
        <v>0</v>
      </c>
      <c r="BI12" s="46">
        <v>0</v>
      </c>
      <c r="BJ12" s="45">
        <v>0</v>
      </c>
      <c r="BK12" s="46">
        <v>0</v>
      </c>
      <c r="BL12" s="45">
        <v>8</v>
      </c>
      <c r="BM12" s="46">
        <v>80</v>
      </c>
      <c r="BN12" s="45">
        <v>10</v>
      </c>
    </row>
    <row r="13" spans="1:66" ht="15">
      <c r="A13" s="62" t="s">
        <v>285</v>
      </c>
      <c r="B13" s="62" t="s">
        <v>297</v>
      </c>
      <c r="C13" s="64"/>
      <c r="D13" s="67"/>
      <c r="E13" s="68"/>
      <c r="F13" s="69"/>
      <c r="G13" s="64"/>
      <c r="H13" s="70"/>
      <c r="I13" s="71"/>
      <c r="J13" s="71"/>
      <c r="K13" s="31" t="s">
        <v>65</v>
      </c>
      <c r="L13" s="79">
        <v>44</v>
      </c>
      <c r="M13" s="79"/>
      <c r="N13" s="73"/>
      <c r="O13" s="66">
        <v>1</v>
      </c>
      <c r="P13" s="63" t="str">
        <f>REPLACE(INDEX(GroupVertices[Group],MATCH(Edges25[[#This Row],[Vertex 1]],GroupVertices[Vertex],0)),1,1,"")</f>
        <v>1</v>
      </c>
      <c r="Q13" s="63" t="str">
        <f>REPLACE(INDEX(GroupVertices[Group],MATCH(Edges25[[#This Row],[Vertex 2]],GroupVertices[Vertex],0)),1,1,"")</f>
        <v>1</v>
      </c>
      <c r="R13" s="66" t="s">
        <v>315</v>
      </c>
      <c r="S13" s="91">
        <v>44877.97864583333</v>
      </c>
      <c r="T13" s="66" t="s">
        <v>325</v>
      </c>
      <c r="U13" s="94" t="str">
        <f>HYPERLINK("https://youtu.be/erkbGlWtX3Q")</f>
        <v>https://youtu.be/erkbGlWtX3Q</v>
      </c>
      <c r="V13" s="66" t="s">
        <v>406</v>
      </c>
      <c r="W13" s="97" t="s">
        <v>427</v>
      </c>
      <c r="X13" s="66"/>
      <c r="Y13" s="94" t="str">
        <f>HYPERLINK("https://pbs.twimg.com/profile_images/875829647790964737/mJLoGN7N_normal.jpg")</f>
        <v>https://pbs.twimg.com/profile_images/875829647790964737/mJLoGN7N_normal.jpg</v>
      </c>
      <c r="Z13" s="91">
        <v>44877.97864583333</v>
      </c>
      <c r="AA13" s="100">
        <v>44877</v>
      </c>
      <c r="AB13" s="97" t="s">
        <v>451</v>
      </c>
      <c r="AC13" s="94" t="str">
        <f>HYPERLINK("https://twitter.com/daya1angel/status/1591573871622295553")</f>
        <v>https://twitter.com/daya1angel/status/1591573871622295553</v>
      </c>
      <c r="AD13" s="66"/>
      <c r="AE13" s="66"/>
      <c r="AF13" s="97" t="s">
        <v>584</v>
      </c>
      <c r="AG13" s="66"/>
      <c r="AH13" s="66" t="b">
        <v>0</v>
      </c>
      <c r="AI13" s="66">
        <v>0</v>
      </c>
      <c r="AJ13" s="97" t="s">
        <v>712</v>
      </c>
      <c r="AK13" s="66" t="b">
        <v>0</v>
      </c>
      <c r="AL13" s="66" t="s">
        <v>714</v>
      </c>
      <c r="AM13" s="66"/>
      <c r="AN13" s="97" t="s">
        <v>712</v>
      </c>
      <c r="AO13" s="66" t="b">
        <v>0</v>
      </c>
      <c r="AP13" s="66">
        <v>3</v>
      </c>
      <c r="AQ13" s="97" t="s">
        <v>626</v>
      </c>
      <c r="AR13" s="97" t="s">
        <v>719</v>
      </c>
      <c r="AS13" s="66" t="b">
        <v>0</v>
      </c>
      <c r="AT13" s="97" t="s">
        <v>626</v>
      </c>
      <c r="AU13" s="66" t="s">
        <v>241</v>
      </c>
      <c r="AV13" s="66">
        <v>0</v>
      </c>
      <c r="AW13" s="66">
        <v>0</v>
      </c>
      <c r="AX13" s="66"/>
      <c r="AY13" s="66"/>
      <c r="AZ13" s="66"/>
      <c r="BA13" s="66"/>
      <c r="BB13" s="66"/>
      <c r="BC13" s="66"/>
      <c r="BD13" s="66"/>
      <c r="BE13" s="66"/>
      <c r="BF13" s="45">
        <v>0</v>
      </c>
      <c r="BG13" s="46">
        <v>0</v>
      </c>
      <c r="BH13" s="45">
        <v>0</v>
      </c>
      <c r="BI13" s="46">
        <v>0</v>
      </c>
      <c r="BJ13" s="45">
        <v>0</v>
      </c>
      <c r="BK13" s="46">
        <v>0</v>
      </c>
      <c r="BL13" s="45">
        <v>8</v>
      </c>
      <c r="BM13" s="46">
        <v>80</v>
      </c>
      <c r="BN13" s="45">
        <v>10</v>
      </c>
    </row>
    <row r="14" spans="1:66" ht="15">
      <c r="A14" s="62" t="s">
        <v>286</v>
      </c>
      <c r="B14" s="62" t="s">
        <v>298</v>
      </c>
      <c r="C14" s="64"/>
      <c r="D14" s="67"/>
      <c r="E14" s="68"/>
      <c r="F14" s="69"/>
      <c r="G14" s="64"/>
      <c r="H14" s="70"/>
      <c r="I14" s="71"/>
      <c r="J14" s="71"/>
      <c r="K14" s="31" t="s">
        <v>65</v>
      </c>
      <c r="L14" s="79">
        <v>45</v>
      </c>
      <c r="M14" s="79"/>
      <c r="N14" s="73"/>
      <c r="O14" s="66">
        <v>1</v>
      </c>
      <c r="P14" s="63" t="str">
        <f>REPLACE(INDEX(GroupVertices[Group],MATCH(Edges25[[#This Row],[Vertex 1]],GroupVertices[Vertex],0)),1,1,"")</f>
        <v>2</v>
      </c>
      <c r="Q14" s="63" t="str">
        <f>REPLACE(INDEX(GroupVertices[Group],MATCH(Edges25[[#This Row],[Vertex 2]],GroupVertices[Vertex],0)),1,1,"")</f>
        <v>2</v>
      </c>
      <c r="R14" s="66" t="s">
        <v>315</v>
      </c>
      <c r="S14" s="91">
        <v>44878.314108796294</v>
      </c>
      <c r="T14" s="66" t="s">
        <v>326</v>
      </c>
      <c r="U14" s="94" t="str">
        <f>HYPERLINK("https://www.abc.es/sociedad/cuatro-espanoles-reposan-congelados-espera-resucitados-20221109220843-nt.html")</f>
        <v>https://www.abc.es/sociedad/cuatro-espanoles-reposan-congelados-espera-resucitados-20221109220843-nt.html</v>
      </c>
      <c r="V14" s="66" t="s">
        <v>402</v>
      </c>
      <c r="W14" s="97" t="s">
        <v>422</v>
      </c>
      <c r="X14" s="66"/>
      <c r="Y14" s="94" t="str">
        <f>HYPERLINK("https://pbs.twimg.com/profile_images/1557013058689671170/qRQLHJjl_normal.jpg")</f>
        <v>https://pbs.twimg.com/profile_images/1557013058689671170/qRQLHJjl_normal.jpg</v>
      </c>
      <c r="Z14" s="91">
        <v>44878.314108796294</v>
      </c>
      <c r="AA14" s="100">
        <v>44878</v>
      </c>
      <c r="AB14" s="97" t="s">
        <v>452</v>
      </c>
      <c r="AC14" s="94" t="str">
        <f>HYPERLINK("https://twitter.com/gul_insidious/status/1591695440382418947")</f>
        <v>https://twitter.com/gul_insidious/status/1591695440382418947</v>
      </c>
      <c r="AD14" s="66"/>
      <c r="AE14" s="66"/>
      <c r="AF14" s="97" t="s">
        <v>585</v>
      </c>
      <c r="AG14" s="66"/>
      <c r="AH14" s="66" t="b">
        <v>0</v>
      </c>
      <c r="AI14" s="66">
        <v>0</v>
      </c>
      <c r="AJ14" s="97" t="s">
        <v>712</v>
      </c>
      <c r="AK14" s="66" t="b">
        <v>0</v>
      </c>
      <c r="AL14" s="66" t="s">
        <v>715</v>
      </c>
      <c r="AM14" s="66"/>
      <c r="AN14" s="97" t="s">
        <v>712</v>
      </c>
      <c r="AO14" s="66" t="b">
        <v>0</v>
      </c>
      <c r="AP14" s="66">
        <v>1</v>
      </c>
      <c r="AQ14" s="97" t="s">
        <v>660</v>
      </c>
      <c r="AR14" s="97" t="s">
        <v>721</v>
      </c>
      <c r="AS14" s="66" t="b">
        <v>0</v>
      </c>
      <c r="AT14" s="97" t="s">
        <v>660</v>
      </c>
      <c r="AU14" s="66" t="s">
        <v>241</v>
      </c>
      <c r="AV14" s="66">
        <v>0</v>
      </c>
      <c r="AW14" s="66">
        <v>0</v>
      </c>
      <c r="AX14" s="66"/>
      <c r="AY14" s="66"/>
      <c r="AZ14" s="66"/>
      <c r="BA14" s="66"/>
      <c r="BB14" s="66"/>
      <c r="BC14" s="66"/>
      <c r="BD14" s="66"/>
      <c r="BE14" s="66"/>
      <c r="BF14" s="45">
        <v>0</v>
      </c>
      <c r="BG14" s="46">
        <v>0</v>
      </c>
      <c r="BH14" s="45">
        <v>0</v>
      </c>
      <c r="BI14" s="46">
        <v>0</v>
      </c>
      <c r="BJ14" s="45">
        <v>0</v>
      </c>
      <c r="BK14" s="46">
        <v>0</v>
      </c>
      <c r="BL14" s="45">
        <v>23</v>
      </c>
      <c r="BM14" s="46">
        <v>67.6470588235294</v>
      </c>
      <c r="BN14" s="45">
        <v>34</v>
      </c>
    </row>
    <row r="15" spans="1:66" ht="15">
      <c r="A15" s="62" t="s">
        <v>287</v>
      </c>
      <c r="B15" s="62" t="s">
        <v>298</v>
      </c>
      <c r="C15" s="64"/>
      <c r="D15" s="67"/>
      <c r="E15" s="68"/>
      <c r="F15" s="69"/>
      <c r="G15" s="64"/>
      <c r="H15" s="70"/>
      <c r="I15" s="71"/>
      <c r="J15" s="71"/>
      <c r="K15" s="31" t="s">
        <v>65</v>
      </c>
      <c r="L15" s="79">
        <v>46</v>
      </c>
      <c r="M15" s="79"/>
      <c r="N15" s="73"/>
      <c r="O15" s="66">
        <v>1</v>
      </c>
      <c r="P15" s="63" t="str">
        <f>REPLACE(INDEX(GroupVertices[Group],MATCH(Edges25[[#This Row],[Vertex 1]],GroupVertices[Vertex],0)),1,1,"")</f>
        <v>5</v>
      </c>
      <c r="Q15" s="63" t="str">
        <f>REPLACE(INDEX(GroupVertices[Group],MATCH(Edges25[[#This Row],[Vertex 2]],GroupVertices[Vertex],0)),1,1,"")</f>
        <v>2</v>
      </c>
      <c r="R15" s="66" t="s">
        <v>315</v>
      </c>
      <c r="S15" s="91">
        <v>44877.03939814815</v>
      </c>
      <c r="T15" s="66" t="s">
        <v>327</v>
      </c>
      <c r="U15" s="94" t="str">
        <f>HYPERLINK("http://transvisionmadrid.com")</f>
        <v>http://transvisionmadrid.com</v>
      </c>
      <c r="V15" s="66" t="s">
        <v>407</v>
      </c>
      <c r="W15" s="97" t="s">
        <v>428</v>
      </c>
      <c r="X15" s="94" t="str">
        <f>HYPERLINK("https://pbs.twimg.com/media/FhTvgAiXgBAb2MX.jpg")</f>
        <v>https://pbs.twimg.com/media/FhTvgAiXgBAb2MX.jpg</v>
      </c>
      <c r="Y15" s="94" t="str">
        <f>HYPERLINK("https://pbs.twimg.com/media/FhTvgAiXgBAb2MX.jpg")</f>
        <v>https://pbs.twimg.com/media/FhTvgAiXgBAb2MX.jpg</v>
      </c>
      <c r="Z15" s="91">
        <v>44877.03939814815</v>
      </c>
      <c r="AA15" s="100">
        <v>44877</v>
      </c>
      <c r="AB15" s="97" t="s">
        <v>453</v>
      </c>
      <c r="AC15" s="94" t="str">
        <f>HYPERLINK("https://twitter.com/peterxing/status/1591233499889307648")</f>
        <v>https://twitter.com/peterxing/status/1591233499889307648</v>
      </c>
      <c r="AD15" s="66"/>
      <c r="AE15" s="66"/>
      <c r="AF15" s="97" t="s">
        <v>586</v>
      </c>
      <c r="AG15" s="66"/>
      <c r="AH15" s="66" t="b">
        <v>0</v>
      </c>
      <c r="AI15" s="66">
        <v>0</v>
      </c>
      <c r="AJ15" s="97" t="s">
        <v>712</v>
      </c>
      <c r="AK15" s="66" t="b">
        <v>0</v>
      </c>
      <c r="AL15" s="66" t="s">
        <v>714</v>
      </c>
      <c r="AM15" s="66"/>
      <c r="AN15" s="97" t="s">
        <v>712</v>
      </c>
      <c r="AO15" s="66" t="b">
        <v>0</v>
      </c>
      <c r="AP15" s="66">
        <v>1</v>
      </c>
      <c r="AQ15" s="97" t="s">
        <v>648</v>
      </c>
      <c r="AR15" s="97" t="s">
        <v>718</v>
      </c>
      <c r="AS15" s="66" t="b">
        <v>0</v>
      </c>
      <c r="AT15" s="97" t="s">
        <v>648</v>
      </c>
      <c r="AU15" s="66" t="s">
        <v>241</v>
      </c>
      <c r="AV15" s="66">
        <v>0</v>
      </c>
      <c r="AW15" s="66">
        <v>0</v>
      </c>
      <c r="AX15" s="66"/>
      <c r="AY15" s="66"/>
      <c r="AZ15" s="66"/>
      <c r="BA15" s="66"/>
      <c r="BB15" s="66"/>
      <c r="BC15" s="66"/>
      <c r="BD15" s="66"/>
      <c r="BE15" s="66"/>
      <c r="BF15" s="45">
        <v>0</v>
      </c>
      <c r="BG15" s="46">
        <v>0</v>
      </c>
      <c r="BH15" s="45">
        <v>0</v>
      </c>
      <c r="BI15" s="46">
        <v>0</v>
      </c>
      <c r="BJ15" s="45">
        <v>0</v>
      </c>
      <c r="BK15" s="46">
        <v>0</v>
      </c>
      <c r="BL15" s="45">
        <v>16</v>
      </c>
      <c r="BM15" s="46">
        <v>84.21052631578948</v>
      </c>
      <c r="BN15" s="45">
        <v>19</v>
      </c>
    </row>
    <row r="16" spans="1:66" ht="15">
      <c r="A16" s="62" t="s">
        <v>287</v>
      </c>
      <c r="B16" s="62" t="s">
        <v>304</v>
      </c>
      <c r="C16" s="64"/>
      <c r="D16" s="67"/>
      <c r="E16" s="68"/>
      <c r="F16" s="69"/>
      <c r="G16" s="64"/>
      <c r="H16" s="70"/>
      <c r="I16" s="71"/>
      <c r="J16" s="71"/>
      <c r="K16" s="31" t="s">
        <v>65</v>
      </c>
      <c r="L16" s="79">
        <v>47</v>
      </c>
      <c r="M16" s="79"/>
      <c r="N16" s="73"/>
      <c r="O16" s="66">
        <v>2</v>
      </c>
      <c r="P16" s="63" t="str">
        <f>REPLACE(INDEX(GroupVertices[Group],MATCH(Edges25[[#This Row],[Vertex 1]],GroupVertices[Vertex],0)),1,1,"")</f>
        <v>5</v>
      </c>
      <c r="Q16" s="63" t="str">
        <f>REPLACE(INDEX(GroupVertices[Group],MATCH(Edges25[[#This Row],[Vertex 2]],GroupVertices[Vertex],0)),1,1,"")</f>
        <v>5</v>
      </c>
      <c r="R16" s="66" t="s">
        <v>315</v>
      </c>
      <c r="S16" s="91">
        <v>44877.473703703705</v>
      </c>
      <c r="T16" s="66" t="s">
        <v>318</v>
      </c>
      <c r="U16" s="66"/>
      <c r="V16" s="66"/>
      <c r="W16" s="97" t="s">
        <v>421</v>
      </c>
      <c r="X16" s="94" t="str">
        <f>HYPERLINK("https://pbs.twimg.com/media/FhWdWZuXwAAO13Y.jpg")</f>
        <v>https://pbs.twimg.com/media/FhWdWZuXwAAO13Y.jpg</v>
      </c>
      <c r="Y16" s="94" t="str">
        <f>HYPERLINK("https://pbs.twimg.com/media/FhWdWZuXwAAO13Y.jpg")</f>
        <v>https://pbs.twimg.com/media/FhWdWZuXwAAO13Y.jpg</v>
      </c>
      <c r="Z16" s="91">
        <v>44877.473703703705</v>
      </c>
      <c r="AA16" s="100">
        <v>44877</v>
      </c>
      <c r="AB16" s="97" t="s">
        <v>454</v>
      </c>
      <c r="AC16" s="94" t="str">
        <f>HYPERLINK("https://twitter.com/peterxing/status/1591390885899833345")</f>
        <v>https://twitter.com/peterxing/status/1591390885899833345</v>
      </c>
      <c r="AD16" s="66"/>
      <c r="AE16" s="66"/>
      <c r="AF16" s="97" t="s">
        <v>587</v>
      </c>
      <c r="AG16" s="66"/>
      <c r="AH16" s="66" t="b">
        <v>0</v>
      </c>
      <c r="AI16" s="66">
        <v>0</v>
      </c>
      <c r="AJ16" s="97" t="s">
        <v>712</v>
      </c>
      <c r="AK16" s="66" t="b">
        <v>0</v>
      </c>
      <c r="AL16" s="66" t="s">
        <v>714</v>
      </c>
      <c r="AM16" s="66"/>
      <c r="AN16" s="97" t="s">
        <v>712</v>
      </c>
      <c r="AO16" s="66" t="b">
        <v>0</v>
      </c>
      <c r="AP16" s="66">
        <v>6</v>
      </c>
      <c r="AQ16" s="97" t="s">
        <v>638</v>
      </c>
      <c r="AR16" s="97" t="s">
        <v>718</v>
      </c>
      <c r="AS16" s="66" t="b">
        <v>0</v>
      </c>
      <c r="AT16" s="97" t="s">
        <v>638</v>
      </c>
      <c r="AU16" s="66" t="s">
        <v>241</v>
      </c>
      <c r="AV16" s="66">
        <v>0</v>
      </c>
      <c r="AW16" s="66">
        <v>0</v>
      </c>
      <c r="AX16" s="66"/>
      <c r="AY16" s="66"/>
      <c r="AZ16" s="66"/>
      <c r="BA16" s="66"/>
      <c r="BB16" s="66"/>
      <c r="BC16" s="66"/>
      <c r="BD16" s="66"/>
      <c r="BE16" s="66"/>
      <c r="BF16" s="45">
        <v>0</v>
      </c>
      <c r="BG16" s="46">
        <v>0</v>
      </c>
      <c r="BH16" s="45">
        <v>0</v>
      </c>
      <c r="BI16" s="46">
        <v>0</v>
      </c>
      <c r="BJ16" s="45">
        <v>0</v>
      </c>
      <c r="BK16" s="46">
        <v>0</v>
      </c>
      <c r="BL16" s="45">
        <v>5</v>
      </c>
      <c r="BM16" s="46">
        <v>83.33333333333333</v>
      </c>
      <c r="BN16" s="45">
        <v>6</v>
      </c>
    </row>
    <row r="17" spans="1:66" ht="15">
      <c r="A17" s="62" t="s">
        <v>287</v>
      </c>
      <c r="B17" s="62" t="s">
        <v>304</v>
      </c>
      <c r="C17" s="64"/>
      <c r="D17" s="67"/>
      <c r="E17" s="68"/>
      <c r="F17" s="69"/>
      <c r="G17" s="64"/>
      <c r="H17" s="70"/>
      <c r="I17" s="71"/>
      <c r="J17" s="71"/>
      <c r="K17" s="31" t="s">
        <v>65</v>
      </c>
      <c r="L17" s="79">
        <v>48</v>
      </c>
      <c r="M17" s="79"/>
      <c r="N17" s="73"/>
      <c r="O17" s="66">
        <v>2</v>
      </c>
      <c r="P17" s="63" t="str">
        <f>REPLACE(INDEX(GroupVertices[Group],MATCH(Edges25[[#This Row],[Vertex 1]],GroupVertices[Vertex],0)),1,1,"")</f>
        <v>5</v>
      </c>
      <c r="Q17" s="63" t="str">
        <f>REPLACE(INDEX(GroupVertices[Group],MATCH(Edges25[[#This Row],[Vertex 2]],GroupVertices[Vertex],0)),1,1,"")</f>
        <v>5</v>
      </c>
      <c r="R17" s="66" t="s">
        <v>315</v>
      </c>
      <c r="S17" s="91">
        <v>44877.494375</v>
      </c>
      <c r="T17" s="66" t="s">
        <v>328</v>
      </c>
      <c r="U17" s="94" t="str">
        <f>HYPERLINK("https://www.transvisionmadrid.com/en/2022.html")</f>
        <v>https://www.transvisionmadrid.com/en/2022.html</v>
      </c>
      <c r="V17" s="66" t="s">
        <v>407</v>
      </c>
      <c r="W17" s="97" t="s">
        <v>421</v>
      </c>
      <c r="X17" s="94" t="str">
        <f>HYPERLINK("https://pbs.twimg.com/media/FhN2si8XwAIi1Du.jpg")</f>
        <v>https://pbs.twimg.com/media/FhN2si8XwAIi1Du.jpg</v>
      </c>
      <c r="Y17" s="94" t="str">
        <f>HYPERLINK("https://pbs.twimg.com/media/FhN2si8XwAIi1Du.jpg")</f>
        <v>https://pbs.twimg.com/media/FhN2si8XwAIi1Du.jpg</v>
      </c>
      <c r="Z17" s="91">
        <v>44877.494375</v>
      </c>
      <c r="AA17" s="100">
        <v>44877</v>
      </c>
      <c r="AB17" s="97" t="s">
        <v>455</v>
      </c>
      <c r="AC17" s="94" t="str">
        <f>HYPERLINK("https://twitter.com/peterxing/status/1591398376918380548")</f>
        <v>https://twitter.com/peterxing/status/1591398376918380548</v>
      </c>
      <c r="AD17" s="66"/>
      <c r="AE17" s="66"/>
      <c r="AF17" s="97" t="s">
        <v>588</v>
      </c>
      <c r="AG17" s="66"/>
      <c r="AH17" s="66" t="b">
        <v>0</v>
      </c>
      <c r="AI17" s="66">
        <v>0</v>
      </c>
      <c r="AJ17" s="97" t="s">
        <v>712</v>
      </c>
      <c r="AK17" s="66" t="b">
        <v>0</v>
      </c>
      <c r="AL17" s="66" t="s">
        <v>714</v>
      </c>
      <c r="AM17" s="66"/>
      <c r="AN17" s="97" t="s">
        <v>712</v>
      </c>
      <c r="AO17" s="66" t="b">
        <v>0</v>
      </c>
      <c r="AP17" s="66">
        <v>2</v>
      </c>
      <c r="AQ17" s="97" t="s">
        <v>637</v>
      </c>
      <c r="AR17" s="97" t="s">
        <v>718</v>
      </c>
      <c r="AS17" s="66" t="b">
        <v>0</v>
      </c>
      <c r="AT17" s="97" t="s">
        <v>637</v>
      </c>
      <c r="AU17" s="66" t="s">
        <v>241</v>
      </c>
      <c r="AV17" s="66">
        <v>0</v>
      </c>
      <c r="AW17" s="66">
        <v>0</v>
      </c>
      <c r="AX17" s="66"/>
      <c r="AY17" s="66"/>
      <c r="AZ17" s="66"/>
      <c r="BA17" s="66"/>
      <c r="BB17" s="66"/>
      <c r="BC17" s="66"/>
      <c r="BD17" s="66"/>
      <c r="BE17" s="66"/>
      <c r="BF17" s="45">
        <v>0</v>
      </c>
      <c r="BG17" s="46">
        <v>0</v>
      </c>
      <c r="BH17" s="45">
        <v>0</v>
      </c>
      <c r="BI17" s="46">
        <v>0</v>
      </c>
      <c r="BJ17" s="45">
        <v>0</v>
      </c>
      <c r="BK17" s="46">
        <v>0</v>
      </c>
      <c r="BL17" s="45">
        <v>17</v>
      </c>
      <c r="BM17" s="46">
        <v>62.96296296296296</v>
      </c>
      <c r="BN17" s="45">
        <v>27</v>
      </c>
    </row>
    <row r="18" spans="1:66" ht="15">
      <c r="A18" s="62" t="s">
        <v>287</v>
      </c>
      <c r="B18" s="62" t="s">
        <v>305</v>
      </c>
      <c r="C18" s="64"/>
      <c r="D18" s="67"/>
      <c r="E18" s="68"/>
      <c r="F18" s="69"/>
      <c r="G18" s="64"/>
      <c r="H18" s="70"/>
      <c r="I18" s="71"/>
      <c r="J18" s="71"/>
      <c r="K18" s="31" t="s">
        <v>65</v>
      </c>
      <c r="L18" s="79">
        <v>49</v>
      </c>
      <c r="M18" s="79"/>
      <c r="N18" s="73"/>
      <c r="O18" s="66">
        <v>1</v>
      </c>
      <c r="P18" s="63" t="str">
        <f>REPLACE(INDEX(GroupVertices[Group],MATCH(Edges25[[#This Row],[Vertex 1]],GroupVertices[Vertex],0)),1,1,"")</f>
        <v>5</v>
      </c>
      <c r="Q18" s="63" t="str">
        <f>REPLACE(INDEX(GroupVertices[Group],MATCH(Edges25[[#This Row],[Vertex 2]],GroupVertices[Vertex],0)),1,1,"")</f>
        <v>4</v>
      </c>
      <c r="R18" s="66" t="s">
        <v>315</v>
      </c>
      <c r="S18" s="91">
        <v>44878.360451388886</v>
      </c>
      <c r="T18" s="66" t="s">
        <v>329</v>
      </c>
      <c r="U18" s="66" t="s">
        <v>394</v>
      </c>
      <c r="V18" s="66" t="s">
        <v>408</v>
      </c>
      <c r="W18" s="97" t="s">
        <v>429</v>
      </c>
      <c r="X18" s="66"/>
      <c r="Y18" s="94" t="str">
        <f>HYPERLINK("https://pbs.twimg.com/profile_images/1444816137166852102/McN2-LTK_normal.jpg")</f>
        <v>https://pbs.twimg.com/profile_images/1444816137166852102/McN2-LTK_normal.jpg</v>
      </c>
      <c r="Z18" s="91">
        <v>44878.360451388886</v>
      </c>
      <c r="AA18" s="100">
        <v>44878</v>
      </c>
      <c r="AB18" s="97" t="s">
        <v>456</v>
      </c>
      <c r="AC18" s="94" t="str">
        <f>HYPERLINK("https://twitter.com/peterxing/status/1591712232328826880")</f>
        <v>https://twitter.com/peterxing/status/1591712232328826880</v>
      </c>
      <c r="AD18" s="66"/>
      <c r="AE18" s="66"/>
      <c r="AF18" s="97" t="s">
        <v>589</v>
      </c>
      <c r="AG18" s="66"/>
      <c r="AH18" s="66" t="b">
        <v>0</v>
      </c>
      <c r="AI18" s="66">
        <v>0</v>
      </c>
      <c r="AJ18" s="97" t="s">
        <v>712</v>
      </c>
      <c r="AK18" s="66" t="b">
        <v>0</v>
      </c>
      <c r="AL18" s="66" t="s">
        <v>714</v>
      </c>
      <c r="AM18" s="66"/>
      <c r="AN18" s="97" t="s">
        <v>712</v>
      </c>
      <c r="AO18" s="66" t="b">
        <v>0</v>
      </c>
      <c r="AP18" s="66">
        <v>5</v>
      </c>
      <c r="AQ18" s="97" t="s">
        <v>699</v>
      </c>
      <c r="AR18" s="97" t="s">
        <v>718</v>
      </c>
      <c r="AS18" s="66" t="b">
        <v>0</v>
      </c>
      <c r="AT18" s="97" t="s">
        <v>699</v>
      </c>
      <c r="AU18" s="66" t="s">
        <v>241</v>
      </c>
      <c r="AV18" s="66">
        <v>0</v>
      </c>
      <c r="AW18" s="66">
        <v>0</v>
      </c>
      <c r="AX18" s="66"/>
      <c r="AY18" s="66"/>
      <c r="AZ18" s="66"/>
      <c r="BA18" s="66"/>
      <c r="BB18" s="66"/>
      <c r="BC18" s="66"/>
      <c r="BD18" s="66"/>
      <c r="BE18" s="66"/>
      <c r="BF18" s="45">
        <v>0</v>
      </c>
      <c r="BG18" s="46">
        <v>0</v>
      </c>
      <c r="BH18" s="45">
        <v>0</v>
      </c>
      <c r="BI18" s="46">
        <v>0</v>
      </c>
      <c r="BJ18" s="45">
        <v>0</v>
      </c>
      <c r="BK18" s="46">
        <v>0</v>
      </c>
      <c r="BL18" s="45">
        <v>16</v>
      </c>
      <c r="BM18" s="46">
        <v>51.61290322580645</v>
      </c>
      <c r="BN18" s="45">
        <v>31</v>
      </c>
    </row>
    <row r="19" spans="1:66" ht="15">
      <c r="A19" s="62" t="s">
        <v>288</v>
      </c>
      <c r="B19" s="62" t="s">
        <v>298</v>
      </c>
      <c r="C19" s="64"/>
      <c r="D19" s="67"/>
      <c r="E19" s="68"/>
      <c r="F19" s="69"/>
      <c r="G19" s="64"/>
      <c r="H19" s="70"/>
      <c r="I19" s="71"/>
      <c r="J19" s="71"/>
      <c r="K19" s="31" t="s">
        <v>65</v>
      </c>
      <c r="L19" s="79">
        <v>50</v>
      </c>
      <c r="M19" s="79"/>
      <c r="N19" s="73"/>
      <c r="O19" s="66">
        <v>1</v>
      </c>
      <c r="P19" s="63" t="str">
        <f>REPLACE(INDEX(GroupVertices[Group],MATCH(Edges25[[#This Row],[Vertex 1]],GroupVertices[Vertex],0)),1,1,"")</f>
        <v>2</v>
      </c>
      <c r="Q19" s="63" t="str">
        <f>REPLACE(INDEX(GroupVertices[Group],MATCH(Edges25[[#This Row],[Vertex 2]],GroupVertices[Vertex],0)),1,1,"")</f>
        <v>2</v>
      </c>
      <c r="R19" s="66" t="s">
        <v>315</v>
      </c>
      <c r="S19" s="91">
        <v>44878.42042824074</v>
      </c>
      <c r="T19" s="66" t="s">
        <v>330</v>
      </c>
      <c r="U19" s="94" t="str">
        <f>HYPERLINK("http://transvisionmadrid.com")</f>
        <v>http://transvisionmadrid.com</v>
      </c>
      <c r="V19" s="66" t="s">
        <v>407</v>
      </c>
      <c r="W19" s="97" t="s">
        <v>428</v>
      </c>
      <c r="X19" s="94" t="str">
        <f>HYPERLINK("https://pbs.twimg.com/media/Fhb3hI6WAAIZ67S.jpg")</f>
        <v>https://pbs.twimg.com/media/Fhb3hI6WAAIZ67S.jpg</v>
      </c>
      <c r="Y19" s="94" t="str">
        <f>HYPERLINK("https://pbs.twimg.com/media/Fhb3hI6WAAIZ67S.jpg")</f>
        <v>https://pbs.twimg.com/media/Fhb3hI6WAAIZ67S.jpg</v>
      </c>
      <c r="Z19" s="91">
        <v>44878.42042824074</v>
      </c>
      <c r="AA19" s="100">
        <v>44878</v>
      </c>
      <c r="AB19" s="97" t="s">
        <v>457</v>
      </c>
      <c r="AC19" s="94" t="str">
        <f>HYPERLINK("https://twitter.com/piroworldwide/status/1591733967438614529")</f>
        <v>https://twitter.com/piroworldwide/status/1591733967438614529</v>
      </c>
      <c r="AD19" s="66"/>
      <c r="AE19" s="66"/>
      <c r="AF19" s="97" t="s">
        <v>590</v>
      </c>
      <c r="AG19" s="66"/>
      <c r="AH19" s="66" t="b">
        <v>0</v>
      </c>
      <c r="AI19" s="66">
        <v>0</v>
      </c>
      <c r="AJ19" s="97" t="s">
        <v>712</v>
      </c>
      <c r="AK19" s="66" t="b">
        <v>0</v>
      </c>
      <c r="AL19" s="66" t="s">
        <v>714</v>
      </c>
      <c r="AM19" s="66"/>
      <c r="AN19" s="97" t="s">
        <v>712</v>
      </c>
      <c r="AO19" s="66" t="b">
        <v>0</v>
      </c>
      <c r="AP19" s="66">
        <v>2</v>
      </c>
      <c r="AQ19" s="97" t="s">
        <v>663</v>
      </c>
      <c r="AR19" s="97" t="s">
        <v>718</v>
      </c>
      <c r="AS19" s="66" t="b">
        <v>0</v>
      </c>
      <c r="AT19" s="97" t="s">
        <v>663</v>
      </c>
      <c r="AU19" s="66" t="s">
        <v>241</v>
      </c>
      <c r="AV19" s="66">
        <v>0</v>
      </c>
      <c r="AW19" s="66">
        <v>0</v>
      </c>
      <c r="AX19" s="66"/>
      <c r="AY19" s="66"/>
      <c r="AZ19" s="66"/>
      <c r="BA19" s="66"/>
      <c r="BB19" s="66"/>
      <c r="BC19" s="66"/>
      <c r="BD19" s="66"/>
      <c r="BE19" s="66"/>
      <c r="BF19" s="45">
        <v>0</v>
      </c>
      <c r="BG19" s="46">
        <v>0</v>
      </c>
      <c r="BH19" s="45">
        <v>0</v>
      </c>
      <c r="BI19" s="46">
        <v>0</v>
      </c>
      <c r="BJ19" s="45">
        <v>0</v>
      </c>
      <c r="BK19" s="46">
        <v>0</v>
      </c>
      <c r="BL19" s="45">
        <v>16</v>
      </c>
      <c r="BM19" s="46">
        <v>84.21052631578948</v>
      </c>
      <c r="BN19" s="45">
        <v>19</v>
      </c>
    </row>
    <row r="20" spans="1:66" ht="15">
      <c r="A20" s="62" t="s">
        <v>289</v>
      </c>
      <c r="B20" s="62" t="s">
        <v>310</v>
      </c>
      <c r="C20" s="64"/>
      <c r="D20" s="67"/>
      <c r="E20" s="68"/>
      <c r="F20" s="69"/>
      <c r="G20" s="64"/>
      <c r="H20" s="70"/>
      <c r="I20" s="71"/>
      <c r="J20" s="71"/>
      <c r="K20" s="31" t="s">
        <v>65</v>
      </c>
      <c r="L20" s="79">
        <v>51</v>
      </c>
      <c r="M20" s="79"/>
      <c r="N20" s="73"/>
      <c r="O20" s="66">
        <v>1</v>
      </c>
      <c r="P20" s="63" t="str">
        <f>REPLACE(INDEX(GroupVertices[Group],MATCH(Edges25[[#This Row],[Vertex 1]],GroupVertices[Vertex],0)),1,1,"")</f>
        <v>2</v>
      </c>
      <c r="Q20" s="63" t="str">
        <f>REPLACE(INDEX(GroupVertices[Group],MATCH(Edges25[[#This Row],[Vertex 2]],GroupVertices[Vertex],0)),1,1,"")</f>
        <v>2</v>
      </c>
      <c r="R20" s="66" t="s">
        <v>316</v>
      </c>
      <c r="S20" s="91">
        <v>44878.63033564815</v>
      </c>
      <c r="T20" s="66" t="s">
        <v>331</v>
      </c>
      <c r="U20" s="94" t="str">
        <f>HYPERLINK("https://www.youtube.com/watch?v=3JK84n-jsMU")</f>
        <v>https://www.youtube.com/watch?v=3JK84n-jsMU</v>
      </c>
      <c r="V20" s="66" t="s">
        <v>403</v>
      </c>
      <c r="W20" s="97" t="s">
        <v>430</v>
      </c>
      <c r="X20" s="94" t="str">
        <f>HYPERLINK("https://pbs.twimg.com/media/Fhb4i56WIAEBmHG.jpg")</f>
        <v>https://pbs.twimg.com/media/Fhb4i56WIAEBmHG.jpg</v>
      </c>
      <c r="Y20" s="94" t="str">
        <f>HYPERLINK("https://pbs.twimg.com/media/Fhb4i56WIAEBmHG.jpg")</f>
        <v>https://pbs.twimg.com/media/Fhb4i56WIAEBmHG.jpg</v>
      </c>
      <c r="Z20" s="91">
        <v>44878.63033564815</v>
      </c>
      <c r="AA20" s="100">
        <v>44878</v>
      </c>
      <c r="AB20" s="97" t="s">
        <v>458</v>
      </c>
      <c r="AC20" s="94" t="str">
        <f>HYPERLINK("https://twitter.com/chris_armstrong/status/1591810036141289472")</f>
        <v>https://twitter.com/chris_armstrong/status/1591810036141289472</v>
      </c>
      <c r="AD20" s="66"/>
      <c r="AE20" s="66"/>
      <c r="AF20" s="97" t="s">
        <v>591</v>
      </c>
      <c r="AG20" s="66"/>
      <c r="AH20" s="66" t="b">
        <v>0</v>
      </c>
      <c r="AI20" s="66">
        <v>0</v>
      </c>
      <c r="AJ20" s="97" t="s">
        <v>712</v>
      </c>
      <c r="AK20" s="66" t="b">
        <v>0</v>
      </c>
      <c r="AL20" s="66" t="s">
        <v>714</v>
      </c>
      <c r="AM20" s="66"/>
      <c r="AN20" s="97" t="s">
        <v>712</v>
      </c>
      <c r="AO20" s="66" t="b">
        <v>0</v>
      </c>
      <c r="AP20" s="66">
        <v>1</v>
      </c>
      <c r="AQ20" s="97" t="s">
        <v>664</v>
      </c>
      <c r="AR20" s="97" t="s">
        <v>718</v>
      </c>
      <c r="AS20" s="66" t="b">
        <v>0</v>
      </c>
      <c r="AT20" s="97" t="s">
        <v>664</v>
      </c>
      <c r="AU20" s="66" t="s">
        <v>241</v>
      </c>
      <c r="AV20" s="66">
        <v>0</v>
      </c>
      <c r="AW20" s="66">
        <v>0</v>
      </c>
      <c r="AX20" s="66"/>
      <c r="AY20" s="66"/>
      <c r="AZ20" s="66"/>
      <c r="BA20" s="66"/>
      <c r="BB20" s="66"/>
      <c r="BC20" s="66"/>
      <c r="BD20" s="66"/>
      <c r="BE20" s="66"/>
      <c r="BF20" s="45"/>
      <c r="BG20" s="46"/>
      <c r="BH20" s="45"/>
      <c r="BI20" s="46"/>
      <c r="BJ20" s="45"/>
      <c r="BK20" s="46"/>
      <c r="BL20" s="45"/>
      <c r="BM20" s="46"/>
      <c r="BN20" s="45"/>
    </row>
    <row r="21" spans="1:66" ht="15">
      <c r="A21" s="62" t="s">
        <v>290</v>
      </c>
      <c r="B21" s="62" t="s">
        <v>304</v>
      </c>
      <c r="C21" s="64"/>
      <c r="D21" s="67"/>
      <c r="E21" s="68"/>
      <c r="F21" s="69"/>
      <c r="G21" s="64"/>
      <c r="H21" s="70"/>
      <c r="I21" s="71"/>
      <c r="J21" s="71"/>
      <c r="K21" s="31" t="s">
        <v>65</v>
      </c>
      <c r="L21" s="79">
        <v>53</v>
      </c>
      <c r="M21" s="79"/>
      <c r="N21" s="73"/>
      <c r="O21" s="66">
        <v>1</v>
      </c>
      <c r="P21" s="63" t="str">
        <f>REPLACE(INDEX(GroupVertices[Group],MATCH(Edges25[[#This Row],[Vertex 1]],GroupVertices[Vertex],0)),1,1,"")</f>
        <v>1</v>
      </c>
      <c r="Q21" s="63" t="str">
        <f>REPLACE(INDEX(GroupVertices[Group],MATCH(Edges25[[#This Row],[Vertex 2]],GroupVertices[Vertex],0)),1,1,"")</f>
        <v>5</v>
      </c>
      <c r="R21" s="66" t="s">
        <v>316</v>
      </c>
      <c r="S21" s="91">
        <v>44877.665914351855</v>
      </c>
      <c r="T21" s="66" t="s">
        <v>321</v>
      </c>
      <c r="U21" s="94" t="str">
        <f>HYPERLINK("https://www.youtube.com/watch?v=xb0JCOgMsXc&amp;feature=youtu.be")</f>
        <v>https://www.youtube.com/watch?v=xb0JCOgMsXc&amp;feature=youtu.be</v>
      </c>
      <c r="V21" s="66" t="s">
        <v>403</v>
      </c>
      <c r="W21" s="97" t="s">
        <v>424</v>
      </c>
      <c r="X21" s="94" t="str">
        <f>HYPERLINK("https://pbs.twimg.com/media/FhW7ZTpXkAAZ4Hh.jpg")</f>
        <v>https://pbs.twimg.com/media/FhW7ZTpXkAAZ4Hh.jpg</v>
      </c>
      <c r="Y21" s="94" t="str">
        <f>HYPERLINK("https://pbs.twimg.com/media/FhW7ZTpXkAAZ4Hh.jpg")</f>
        <v>https://pbs.twimg.com/media/FhW7ZTpXkAAZ4Hh.jpg</v>
      </c>
      <c r="Z21" s="91">
        <v>44877.665914351855</v>
      </c>
      <c r="AA21" s="100">
        <v>44877</v>
      </c>
      <c r="AB21" s="97" t="s">
        <v>459</v>
      </c>
      <c r="AC21" s="94" t="str">
        <f>HYPERLINK("https://twitter.com/jordisandalinas/status/1591460542652219395")</f>
        <v>https://twitter.com/jordisandalinas/status/1591460542652219395</v>
      </c>
      <c r="AD21" s="66"/>
      <c r="AE21" s="66"/>
      <c r="AF21" s="97" t="s">
        <v>592</v>
      </c>
      <c r="AG21" s="66"/>
      <c r="AH21" s="66" t="b">
        <v>0</v>
      </c>
      <c r="AI21" s="66">
        <v>0</v>
      </c>
      <c r="AJ21" s="97" t="s">
        <v>712</v>
      </c>
      <c r="AK21" s="66" t="b">
        <v>0</v>
      </c>
      <c r="AL21" s="66" t="s">
        <v>715</v>
      </c>
      <c r="AM21" s="66"/>
      <c r="AN21" s="97" t="s">
        <v>712</v>
      </c>
      <c r="AO21" s="66" t="b">
        <v>0</v>
      </c>
      <c r="AP21" s="66">
        <v>5</v>
      </c>
      <c r="AQ21" s="97" t="s">
        <v>601</v>
      </c>
      <c r="AR21" s="97" t="s">
        <v>719</v>
      </c>
      <c r="AS21" s="66" t="b">
        <v>0</v>
      </c>
      <c r="AT21" s="97" t="s">
        <v>601</v>
      </c>
      <c r="AU21" s="66" t="s">
        <v>241</v>
      </c>
      <c r="AV21" s="66">
        <v>0</v>
      </c>
      <c r="AW21" s="66">
        <v>0</v>
      </c>
      <c r="AX21" s="66"/>
      <c r="AY21" s="66"/>
      <c r="AZ21" s="66"/>
      <c r="BA21" s="66"/>
      <c r="BB21" s="66"/>
      <c r="BC21" s="66"/>
      <c r="BD21" s="66"/>
      <c r="BE21" s="66"/>
      <c r="BF21" s="45"/>
      <c r="BG21" s="46"/>
      <c r="BH21" s="45"/>
      <c r="BI21" s="46"/>
      <c r="BJ21" s="45"/>
      <c r="BK21" s="46"/>
      <c r="BL21" s="45"/>
      <c r="BM21" s="46"/>
      <c r="BN21" s="45"/>
    </row>
    <row r="22" spans="1:66" ht="15">
      <c r="A22" s="62" t="s">
        <v>290</v>
      </c>
      <c r="B22" s="62" t="s">
        <v>305</v>
      </c>
      <c r="C22" s="64"/>
      <c r="D22" s="67"/>
      <c r="E22" s="68"/>
      <c r="F22" s="69"/>
      <c r="G22" s="64"/>
      <c r="H22" s="70"/>
      <c r="I22" s="71"/>
      <c r="J22" s="71"/>
      <c r="K22" s="31" t="s">
        <v>65</v>
      </c>
      <c r="L22" s="79">
        <v>67</v>
      </c>
      <c r="M22" s="79"/>
      <c r="N22" s="73"/>
      <c r="O22" s="66">
        <v>1</v>
      </c>
      <c r="P22" s="63" t="str">
        <f>REPLACE(INDEX(GroupVertices[Group],MATCH(Edges25[[#This Row],[Vertex 1]],GroupVertices[Vertex],0)),1,1,"")</f>
        <v>1</v>
      </c>
      <c r="Q22" s="63" t="str">
        <f>REPLACE(INDEX(GroupVertices[Group],MATCH(Edges25[[#This Row],[Vertex 2]],GroupVertices[Vertex],0)),1,1,"")</f>
        <v>4</v>
      </c>
      <c r="R22" s="66" t="s">
        <v>315</v>
      </c>
      <c r="S22" s="91">
        <v>44878.66107638889</v>
      </c>
      <c r="T22" s="66" t="s">
        <v>332</v>
      </c>
      <c r="U22" s="94" t="str">
        <f>HYPERLINK("http://transvisionmadrid.com")</f>
        <v>http://transvisionmadrid.com</v>
      </c>
      <c r="V22" s="66" t="s">
        <v>407</v>
      </c>
      <c r="W22" s="97" t="s">
        <v>428</v>
      </c>
      <c r="X22" s="94" t="str">
        <f>HYPERLINK("https://pbs.twimg.com/media/FhatWb1WAAEOUxn.jpg")</f>
        <v>https://pbs.twimg.com/media/FhatWb1WAAEOUxn.jpg</v>
      </c>
      <c r="Y22" s="94" t="str">
        <f>HYPERLINK("https://pbs.twimg.com/media/FhatWb1WAAEOUxn.jpg")</f>
        <v>https://pbs.twimg.com/media/FhatWb1WAAEOUxn.jpg</v>
      </c>
      <c r="Z22" s="91">
        <v>44878.66107638889</v>
      </c>
      <c r="AA22" s="100">
        <v>44878</v>
      </c>
      <c r="AB22" s="97" t="s">
        <v>460</v>
      </c>
      <c r="AC22" s="94" t="str">
        <f>HYPERLINK("https://twitter.com/jordisandalinas/status/1591821175529046016")</f>
        <v>https://twitter.com/jordisandalinas/status/1591821175529046016</v>
      </c>
      <c r="AD22" s="66"/>
      <c r="AE22" s="66"/>
      <c r="AF22" s="97" t="s">
        <v>593</v>
      </c>
      <c r="AG22" s="66"/>
      <c r="AH22" s="66" t="b">
        <v>0</v>
      </c>
      <c r="AI22" s="66">
        <v>0</v>
      </c>
      <c r="AJ22" s="97" t="s">
        <v>712</v>
      </c>
      <c r="AK22" s="66" t="b">
        <v>0</v>
      </c>
      <c r="AL22" s="66" t="s">
        <v>714</v>
      </c>
      <c r="AM22" s="66"/>
      <c r="AN22" s="97" t="s">
        <v>712</v>
      </c>
      <c r="AO22" s="66" t="b">
        <v>0</v>
      </c>
      <c r="AP22" s="66">
        <v>1</v>
      </c>
      <c r="AQ22" s="97" t="s">
        <v>696</v>
      </c>
      <c r="AR22" s="97" t="s">
        <v>719</v>
      </c>
      <c r="AS22" s="66" t="b">
        <v>0</v>
      </c>
      <c r="AT22" s="97" t="s">
        <v>696</v>
      </c>
      <c r="AU22" s="66" t="s">
        <v>241</v>
      </c>
      <c r="AV22" s="66">
        <v>0</v>
      </c>
      <c r="AW22" s="66">
        <v>0</v>
      </c>
      <c r="AX22" s="66"/>
      <c r="AY22" s="66"/>
      <c r="AZ22" s="66"/>
      <c r="BA22" s="66"/>
      <c r="BB22" s="66"/>
      <c r="BC22" s="66"/>
      <c r="BD22" s="66"/>
      <c r="BE22" s="66"/>
      <c r="BF22" s="45">
        <v>0</v>
      </c>
      <c r="BG22" s="46">
        <v>0</v>
      </c>
      <c r="BH22" s="45">
        <v>0</v>
      </c>
      <c r="BI22" s="46">
        <v>0</v>
      </c>
      <c r="BJ22" s="45">
        <v>0</v>
      </c>
      <c r="BK22" s="46">
        <v>0</v>
      </c>
      <c r="BL22" s="45">
        <v>16</v>
      </c>
      <c r="BM22" s="46">
        <v>84.21052631578948</v>
      </c>
      <c r="BN22" s="45">
        <v>19</v>
      </c>
    </row>
    <row r="23" spans="1:66" ht="15">
      <c r="A23" s="62" t="s">
        <v>291</v>
      </c>
      <c r="B23" s="62" t="s">
        <v>298</v>
      </c>
      <c r="C23" s="64"/>
      <c r="D23" s="67"/>
      <c r="E23" s="68"/>
      <c r="F23" s="69"/>
      <c r="G23" s="64"/>
      <c r="H23" s="70"/>
      <c r="I23" s="71"/>
      <c r="J23" s="71"/>
      <c r="K23" s="31" t="s">
        <v>65</v>
      </c>
      <c r="L23" s="79">
        <v>68</v>
      </c>
      <c r="M23" s="79"/>
      <c r="N23" s="73"/>
      <c r="O23" s="66">
        <v>1</v>
      </c>
      <c r="P23" s="63" t="str">
        <f>REPLACE(INDEX(GroupVertices[Group],MATCH(Edges25[[#This Row],[Vertex 1]],GroupVertices[Vertex],0)),1,1,"")</f>
        <v>2</v>
      </c>
      <c r="Q23" s="63" t="str">
        <f>REPLACE(INDEX(GroupVertices[Group],MATCH(Edges25[[#This Row],[Vertex 2]],GroupVertices[Vertex],0)),1,1,"")</f>
        <v>2</v>
      </c>
      <c r="R23" s="66" t="s">
        <v>315</v>
      </c>
      <c r="S23" s="91">
        <v>44878.76724537037</v>
      </c>
      <c r="T23" s="66" t="s">
        <v>330</v>
      </c>
      <c r="U23" s="94" t="str">
        <f>HYPERLINK("http://transvisionmadrid.com")</f>
        <v>http://transvisionmadrid.com</v>
      </c>
      <c r="V23" s="66" t="s">
        <v>407</v>
      </c>
      <c r="W23" s="97" t="s">
        <v>428</v>
      </c>
      <c r="X23" s="94" t="str">
        <f>HYPERLINK("https://pbs.twimg.com/media/Fhb3hI6WAAIZ67S.jpg")</f>
        <v>https://pbs.twimg.com/media/Fhb3hI6WAAIZ67S.jpg</v>
      </c>
      <c r="Y23" s="94" t="str">
        <f>HYPERLINK("https://pbs.twimg.com/media/Fhb3hI6WAAIZ67S.jpg")</f>
        <v>https://pbs.twimg.com/media/Fhb3hI6WAAIZ67S.jpg</v>
      </c>
      <c r="Z23" s="91">
        <v>44878.76724537037</v>
      </c>
      <c r="AA23" s="100">
        <v>44878</v>
      </c>
      <c r="AB23" s="97" t="s">
        <v>461</v>
      </c>
      <c r="AC23" s="94" t="str">
        <f>HYPERLINK("https://twitter.com/ikechukwuebere8/status/1591859648688230404")</f>
        <v>https://twitter.com/ikechukwuebere8/status/1591859648688230404</v>
      </c>
      <c r="AD23" s="66"/>
      <c r="AE23" s="66"/>
      <c r="AF23" s="97" t="s">
        <v>594</v>
      </c>
      <c r="AG23" s="66"/>
      <c r="AH23" s="66" t="b">
        <v>0</v>
      </c>
      <c r="AI23" s="66">
        <v>0</v>
      </c>
      <c r="AJ23" s="97" t="s">
        <v>712</v>
      </c>
      <c r="AK23" s="66" t="b">
        <v>0</v>
      </c>
      <c r="AL23" s="66" t="s">
        <v>714</v>
      </c>
      <c r="AM23" s="66"/>
      <c r="AN23" s="97" t="s">
        <v>712</v>
      </c>
      <c r="AO23" s="66" t="b">
        <v>0</v>
      </c>
      <c r="AP23" s="66">
        <v>2</v>
      </c>
      <c r="AQ23" s="97" t="s">
        <v>663</v>
      </c>
      <c r="AR23" s="97" t="s">
        <v>719</v>
      </c>
      <c r="AS23" s="66" t="b">
        <v>0</v>
      </c>
      <c r="AT23" s="97" t="s">
        <v>663</v>
      </c>
      <c r="AU23" s="66" t="s">
        <v>241</v>
      </c>
      <c r="AV23" s="66">
        <v>0</v>
      </c>
      <c r="AW23" s="66">
        <v>0</v>
      </c>
      <c r="AX23" s="66"/>
      <c r="AY23" s="66"/>
      <c r="AZ23" s="66"/>
      <c r="BA23" s="66"/>
      <c r="BB23" s="66"/>
      <c r="BC23" s="66"/>
      <c r="BD23" s="66"/>
      <c r="BE23" s="66"/>
      <c r="BF23" s="45">
        <v>0</v>
      </c>
      <c r="BG23" s="46">
        <v>0</v>
      </c>
      <c r="BH23" s="45">
        <v>0</v>
      </c>
      <c r="BI23" s="46">
        <v>0</v>
      </c>
      <c r="BJ23" s="45">
        <v>0</v>
      </c>
      <c r="BK23" s="46">
        <v>0</v>
      </c>
      <c r="BL23" s="45">
        <v>16</v>
      </c>
      <c r="BM23" s="46">
        <v>84.21052631578948</v>
      </c>
      <c r="BN23" s="45">
        <v>19</v>
      </c>
    </row>
    <row r="24" spans="1:66" ht="15">
      <c r="A24" s="62" t="s">
        <v>292</v>
      </c>
      <c r="B24" s="62" t="s">
        <v>305</v>
      </c>
      <c r="C24" s="64"/>
      <c r="D24" s="67"/>
      <c r="E24" s="68"/>
      <c r="F24" s="69"/>
      <c r="G24" s="64"/>
      <c r="H24" s="70"/>
      <c r="I24" s="71"/>
      <c r="J24" s="71"/>
      <c r="K24" s="31" t="s">
        <v>65</v>
      </c>
      <c r="L24" s="79">
        <v>69</v>
      </c>
      <c r="M24" s="79"/>
      <c r="N24" s="73"/>
      <c r="O24" s="66">
        <v>1</v>
      </c>
      <c r="P24" s="63" t="str">
        <f>REPLACE(INDEX(GroupVertices[Group],MATCH(Edges25[[#This Row],[Vertex 1]],GroupVertices[Vertex],0)),1,1,"")</f>
        <v>4</v>
      </c>
      <c r="Q24" s="63" t="str">
        <f>REPLACE(INDEX(GroupVertices[Group],MATCH(Edges25[[#This Row],[Vertex 2]],GroupVertices[Vertex],0)),1,1,"")</f>
        <v>4</v>
      </c>
      <c r="R24" s="66" t="s">
        <v>315</v>
      </c>
      <c r="S24" s="91">
        <v>44878.93866898148</v>
      </c>
      <c r="T24" s="66" t="s">
        <v>329</v>
      </c>
      <c r="U24" s="66" t="s">
        <v>394</v>
      </c>
      <c r="V24" s="66" t="s">
        <v>408</v>
      </c>
      <c r="W24" s="97" t="s">
        <v>429</v>
      </c>
      <c r="X24" s="66"/>
      <c r="Y24" s="94" t="str">
        <f>HYPERLINK("https://pbs.twimg.com/profile_images/1519421802304397312/lrC8-Nd3_normal.jpg")</f>
        <v>https://pbs.twimg.com/profile_images/1519421802304397312/lrC8-Nd3_normal.jpg</v>
      </c>
      <c r="Z24" s="91">
        <v>44878.93866898148</v>
      </c>
      <c r="AA24" s="100">
        <v>44878</v>
      </c>
      <c r="AB24" s="97" t="s">
        <v>462</v>
      </c>
      <c r="AC24" s="94" t="str">
        <f>HYPERLINK("https://twitter.com/elultimosapiens/status/1591921771774898176")</f>
        <v>https://twitter.com/elultimosapiens/status/1591921771774898176</v>
      </c>
      <c r="AD24" s="66"/>
      <c r="AE24" s="66"/>
      <c r="AF24" s="97" t="s">
        <v>595</v>
      </c>
      <c r="AG24" s="66"/>
      <c r="AH24" s="66" t="b">
        <v>0</v>
      </c>
      <c r="AI24" s="66">
        <v>0</v>
      </c>
      <c r="AJ24" s="97" t="s">
        <v>712</v>
      </c>
      <c r="AK24" s="66" t="b">
        <v>0</v>
      </c>
      <c r="AL24" s="66" t="s">
        <v>714</v>
      </c>
      <c r="AM24" s="66"/>
      <c r="AN24" s="97" t="s">
        <v>712</v>
      </c>
      <c r="AO24" s="66" t="b">
        <v>0</v>
      </c>
      <c r="AP24" s="66">
        <v>5</v>
      </c>
      <c r="AQ24" s="97" t="s">
        <v>699</v>
      </c>
      <c r="AR24" s="97" t="s">
        <v>717</v>
      </c>
      <c r="AS24" s="66" t="b">
        <v>0</v>
      </c>
      <c r="AT24" s="97" t="s">
        <v>699</v>
      </c>
      <c r="AU24" s="66" t="s">
        <v>241</v>
      </c>
      <c r="AV24" s="66">
        <v>0</v>
      </c>
      <c r="AW24" s="66">
        <v>0</v>
      </c>
      <c r="AX24" s="66"/>
      <c r="AY24" s="66"/>
      <c r="AZ24" s="66"/>
      <c r="BA24" s="66"/>
      <c r="BB24" s="66"/>
      <c r="BC24" s="66"/>
      <c r="BD24" s="66"/>
      <c r="BE24" s="66"/>
      <c r="BF24" s="45">
        <v>0</v>
      </c>
      <c r="BG24" s="46">
        <v>0</v>
      </c>
      <c r="BH24" s="45">
        <v>0</v>
      </c>
      <c r="BI24" s="46">
        <v>0</v>
      </c>
      <c r="BJ24" s="45">
        <v>0</v>
      </c>
      <c r="BK24" s="46">
        <v>0</v>
      </c>
      <c r="BL24" s="45">
        <v>16</v>
      </c>
      <c r="BM24" s="46">
        <v>51.61290322580645</v>
      </c>
      <c r="BN24" s="45">
        <v>31</v>
      </c>
    </row>
    <row r="25" spans="1:66" ht="15">
      <c r="A25" s="62" t="s">
        <v>293</v>
      </c>
      <c r="B25" s="62" t="s">
        <v>298</v>
      </c>
      <c r="C25" s="64"/>
      <c r="D25" s="67"/>
      <c r="E25" s="68"/>
      <c r="F25" s="69"/>
      <c r="G25" s="64"/>
      <c r="H25" s="70"/>
      <c r="I25" s="71"/>
      <c r="J25" s="71"/>
      <c r="K25" s="31" t="s">
        <v>65</v>
      </c>
      <c r="L25" s="79">
        <v>70</v>
      </c>
      <c r="M25" s="79"/>
      <c r="N25" s="73"/>
      <c r="O25" s="66">
        <v>1</v>
      </c>
      <c r="P25" s="63" t="str">
        <f>REPLACE(INDEX(GroupVertices[Group],MATCH(Edges25[[#This Row],[Vertex 1]],GroupVertices[Vertex],0)),1,1,"")</f>
        <v>2</v>
      </c>
      <c r="Q25" s="63" t="str">
        <f>REPLACE(INDEX(GroupVertices[Group],MATCH(Edges25[[#This Row],[Vertex 2]],GroupVertices[Vertex],0)),1,1,"")</f>
        <v>2</v>
      </c>
      <c r="R25" s="66" t="s">
        <v>315</v>
      </c>
      <c r="S25" s="91">
        <v>44879.39226851852</v>
      </c>
      <c r="T25" s="66" t="s">
        <v>333</v>
      </c>
      <c r="U25" s="94" t="str">
        <f>HYPERLINK("https://www.youtube.com/watch?v=3JK84n-jsMU")</f>
        <v>https://www.youtube.com/watch?v=3JK84n-jsMU</v>
      </c>
      <c r="V25" s="66" t="s">
        <v>403</v>
      </c>
      <c r="W25" s="97" t="s">
        <v>430</v>
      </c>
      <c r="X25" s="94" t="str">
        <f>HYPERLINK("https://pbs.twimg.com/media/FhcHy7oXEAMenzQ.png")</f>
        <v>https://pbs.twimg.com/media/FhcHy7oXEAMenzQ.png</v>
      </c>
      <c r="Y25" s="94" t="str">
        <f>HYPERLINK("https://pbs.twimg.com/media/FhcHy7oXEAMenzQ.png")</f>
        <v>https://pbs.twimg.com/media/FhcHy7oXEAMenzQ.png</v>
      </c>
      <c r="Z25" s="91">
        <v>44879.39226851852</v>
      </c>
      <c r="AA25" s="100">
        <v>44879</v>
      </c>
      <c r="AB25" s="97" t="s">
        <v>463</v>
      </c>
      <c r="AC25" s="94" t="str">
        <f>HYPERLINK("https://twitter.com/frcretweets/status/1592086151388602369")</f>
        <v>https://twitter.com/frcretweets/status/1592086151388602369</v>
      </c>
      <c r="AD25" s="66"/>
      <c r="AE25" s="66"/>
      <c r="AF25" s="97" t="s">
        <v>596</v>
      </c>
      <c r="AG25" s="66"/>
      <c r="AH25" s="66" t="b">
        <v>0</v>
      </c>
      <c r="AI25" s="66">
        <v>0</v>
      </c>
      <c r="AJ25" s="97" t="s">
        <v>712</v>
      </c>
      <c r="AK25" s="66" t="b">
        <v>0</v>
      </c>
      <c r="AL25" s="66" t="s">
        <v>714</v>
      </c>
      <c r="AM25" s="66"/>
      <c r="AN25" s="97" t="s">
        <v>712</v>
      </c>
      <c r="AO25" s="66" t="b">
        <v>0</v>
      </c>
      <c r="AP25" s="66">
        <v>5</v>
      </c>
      <c r="AQ25" s="97" t="s">
        <v>665</v>
      </c>
      <c r="AR25" s="97" t="s">
        <v>722</v>
      </c>
      <c r="AS25" s="66" t="b">
        <v>0</v>
      </c>
      <c r="AT25" s="97" t="s">
        <v>665</v>
      </c>
      <c r="AU25" s="66" t="s">
        <v>241</v>
      </c>
      <c r="AV25" s="66">
        <v>0</v>
      </c>
      <c r="AW25" s="66">
        <v>0</v>
      </c>
      <c r="AX25" s="66"/>
      <c r="AY25" s="66"/>
      <c r="AZ25" s="66"/>
      <c r="BA25" s="66"/>
      <c r="BB25" s="66"/>
      <c r="BC25" s="66"/>
      <c r="BD25" s="66"/>
      <c r="BE25" s="66"/>
      <c r="BF25" s="45">
        <v>0</v>
      </c>
      <c r="BG25" s="46">
        <v>0</v>
      </c>
      <c r="BH25" s="45">
        <v>0</v>
      </c>
      <c r="BI25" s="46">
        <v>0</v>
      </c>
      <c r="BJ25" s="45">
        <v>0</v>
      </c>
      <c r="BK25" s="46">
        <v>0</v>
      </c>
      <c r="BL25" s="45">
        <v>5</v>
      </c>
      <c r="BM25" s="46">
        <v>62.5</v>
      </c>
      <c r="BN25" s="45">
        <v>8</v>
      </c>
    </row>
    <row r="26" spans="1:66" ht="15">
      <c r="A26" s="62" t="s">
        <v>294</v>
      </c>
      <c r="B26" s="62" t="s">
        <v>305</v>
      </c>
      <c r="C26" s="64"/>
      <c r="D26" s="67"/>
      <c r="E26" s="68"/>
      <c r="F26" s="69"/>
      <c r="G26" s="64"/>
      <c r="H26" s="70"/>
      <c r="I26" s="71"/>
      <c r="J26" s="71"/>
      <c r="K26" s="31" t="s">
        <v>65</v>
      </c>
      <c r="L26" s="79">
        <v>71</v>
      </c>
      <c r="M26" s="79"/>
      <c r="N26" s="73"/>
      <c r="O26" s="66">
        <v>1</v>
      </c>
      <c r="P26" s="63" t="str">
        <f>REPLACE(INDEX(GroupVertices[Group],MATCH(Edges25[[#This Row],[Vertex 1]],GroupVertices[Vertex],0)),1,1,"")</f>
        <v>4</v>
      </c>
      <c r="Q26" s="63" t="str">
        <f>REPLACE(INDEX(GroupVertices[Group],MATCH(Edges25[[#This Row],[Vertex 2]],GroupVertices[Vertex],0)),1,1,"")</f>
        <v>4</v>
      </c>
      <c r="R26" s="66" t="s">
        <v>315</v>
      </c>
      <c r="S26" s="91">
        <v>44878.916134259256</v>
      </c>
      <c r="T26" s="66" t="s">
        <v>334</v>
      </c>
      <c r="U26" s="94" t="str">
        <f>HYPERLINK("http://transvisionmadrid.com")</f>
        <v>http://transvisionmadrid.com</v>
      </c>
      <c r="V26" s="66" t="s">
        <v>407</v>
      </c>
      <c r="W26" s="97" t="s">
        <v>428</v>
      </c>
      <c r="X26" s="94" t="str">
        <f>HYPERLINK("https://pbs.twimg.com/media/FheSAwLXgAkq2lI.jpg")</f>
        <v>https://pbs.twimg.com/media/FheSAwLXgAkq2lI.jpg</v>
      </c>
      <c r="Y26" s="94" t="str">
        <f>HYPERLINK("https://pbs.twimg.com/media/FheSAwLXgAkq2lI.jpg")</f>
        <v>https://pbs.twimg.com/media/FheSAwLXgAkq2lI.jpg</v>
      </c>
      <c r="Z26" s="91">
        <v>44878.916134259256</v>
      </c>
      <c r="AA26" s="100">
        <v>44878</v>
      </c>
      <c r="AB26" s="97" t="s">
        <v>464</v>
      </c>
      <c r="AC26" s="94" t="str">
        <f>HYPERLINK("https://twitter.com/carlesvillapla1/status/1591913604252831747")</f>
        <v>https://twitter.com/carlesvillapla1/status/1591913604252831747</v>
      </c>
      <c r="AD26" s="66"/>
      <c r="AE26" s="66"/>
      <c r="AF26" s="97" t="s">
        <v>597</v>
      </c>
      <c r="AG26" s="66"/>
      <c r="AH26" s="66" t="b">
        <v>0</v>
      </c>
      <c r="AI26" s="66">
        <v>0</v>
      </c>
      <c r="AJ26" s="97" t="s">
        <v>712</v>
      </c>
      <c r="AK26" s="66" t="b">
        <v>0</v>
      </c>
      <c r="AL26" s="66" t="s">
        <v>714</v>
      </c>
      <c r="AM26" s="66"/>
      <c r="AN26" s="97" t="s">
        <v>712</v>
      </c>
      <c r="AO26" s="66" t="b">
        <v>0</v>
      </c>
      <c r="AP26" s="66">
        <v>1</v>
      </c>
      <c r="AQ26" s="97" t="s">
        <v>703</v>
      </c>
      <c r="AR26" s="97" t="s">
        <v>719</v>
      </c>
      <c r="AS26" s="66" t="b">
        <v>0</v>
      </c>
      <c r="AT26" s="97" t="s">
        <v>703</v>
      </c>
      <c r="AU26" s="66" t="s">
        <v>241</v>
      </c>
      <c r="AV26" s="66">
        <v>0</v>
      </c>
      <c r="AW26" s="66">
        <v>0</v>
      </c>
      <c r="AX26" s="66"/>
      <c r="AY26" s="66"/>
      <c r="AZ26" s="66"/>
      <c r="BA26" s="66"/>
      <c r="BB26" s="66"/>
      <c r="BC26" s="66"/>
      <c r="BD26" s="66"/>
      <c r="BE26" s="66"/>
      <c r="BF26" s="45">
        <v>1</v>
      </c>
      <c r="BG26" s="46">
        <v>5.2631578947368425</v>
      </c>
      <c r="BH26" s="45">
        <v>0</v>
      </c>
      <c r="BI26" s="46">
        <v>0</v>
      </c>
      <c r="BJ26" s="45">
        <v>0</v>
      </c>
      <c r="BK26" s="46">
        <v>0</v>
      </c>
      <c r="BL26" s="45">
        <v>15</v>
      </c>
      <c r="BM26" s="46">
        <v>78.94736842105263</v>
      </c>
      <c r="BN26" s="45">
        <v>19</v>
      </c>
    </row>
    <row r="27" spans="1:66" ht="15">
      <c r="A27" s="62" t="s">
        <v>294</v>
      </c>
      <c r="B27" s="62" t="s">
        <v>298</v>
      </c>
      <c r="C27" s="64"/>
      <c r="D27" s="67"/>
      <c r="E27" s="68"/>
      <c r="F27" s="69"/>
      <c r="G27" s="64"/>
      <c r="H27" s="70"/>
      <c r="I27" s="71"/>
      <c r="J27" s="71"/>
      <c r="K27" s="31" t="s">
        <v>65</v>
      </c>
      <c r="L27" s="79">
        <v>72</v>
      </c>
      <c r="M27" s="79"/>
      <c r="N27" s="73"/>
      <c r="O27" s="66">
        <v>1</v>
      </c>
      <c r="P27" s="63" t="str">
        <f>REPLACE(INDEX(GroupVertices[Group],MATCH(Edges25[[#This Row],[Vertex 1]],GroupVertices[Vertex],0)),1,1,"")</f>
        <v>4</v>
      </c>
      <c r="Q27" s="63" t="str">
        <f>REPLACE(INDEX(GroupVertices[Group],MATCH(Edges25[[#This Row],[Vertex 2]],GroupVertices[Vertex],0)),1,1,"")</f>
        <v>2</v>
      </c>
      <c r="R27" s="66" t="s">
        <v>315</v>
      </c>
      <c r="S27" s="91">
        <v>44879.681539351855</v>
      </c>
      <c r="T27" s="66" t="s">
        <v>333</v>
      </c>
      <c r="U27" s="94" t="str">
        <f>HYPERLINK("https://www.youtube.com/watch?v=3JK84n-jsMU")</f>
        <v>https://www.youtube.com/watch?v=3JK84n-jsMU</v>
      </c>
      <c r="V27" s="66" t="s">
        <v>403</v>
      </c>
      <c r="W27" s="97" t="s">
        <v>430</v>
      </c>
      <c r="X27" s="94" t="str">
        <f>HYPERLINK("https://pbs.twimg.com/media/FhcHy7oXEAMenzQ.png")</f>
        <v>https://pbs.twimg.com/media/FhcHy7oXEAMenzQ.png</v>
      </c>
      <c r="Y27" s="94" t="str">
        <f>HYPERLINK("https://pbs.twimg.com/media/FhcHy7oXEAMenzQ.png")</f>
        <v>https://pbs.twimg.com/media/FhcHy7oXEAMenzQ.png</v>
      </c>
      <c r="Z27" s="91">
        <v>44879.681539351855</v>
      </c>
      <c r="AA27" s="100">
        <v>44879</v>
      </c>
      <c r="AB27" s="97" t="s">
        <v>465</v>
      </c>
      <c r="AC27" s="94" t="str">
        <f>HYPERLINK("https://twitter.com/carlesvillapla1/status/1592190977673936899")</f>
        <v>https://twitter.com/carlesvillapla1/status/1592190977673936899</v>
      </c>
      <c r="AD27" s="66"/>
      <c r="AE27" s="66"/>
      <c r="AF27" s="97" t="s">
        <v>598</v>
      </c>
      <c r="AG27" s="66"/>
      <c r="AH27" s="66" t="b">
        <v>0</v>
      </c>
      <c r="AI27" s="66">
        <v>0</v>
      </c>
      <c r="AJ27" s="97" t="s">
        <v>712</v>
      </c>
      <c r="AK27" s="66" t="b">
        <v>0</v>
      </c>
      <c r="AL27" s="66" t="s">
        <v>714</v>
      </c>
      <c r="AM27" s="66"/>
      <c r="AN27" s="97" t="s">
        <v>712</v>
      </c>
      <c r="AO27" s="66" t="b">
        <v>0</v>
      </c>
      <c r="AP27" s="66">
        <v>5</v>
      </c>
      <c r="AQ27" s="97" t="s">
        <v>665</v>
      </c>
      <c r="AR27" s="97" t="s">
        <v>719</v>
      </c>
      <c r="AS27" s="66" t="b">
        <v>0</v>
      </c>
      <c r="AT27" s="97" t="s">
        <v>665</v>
      </c>
      <c r="AU27" s="66" t="s">
        <v>241</v>
      </c>
      <c r="AV27" s="66">
        <v>0</v>
      </c>
      <c r="AW27" s="66">
        <v>0</v>
      </c>
      <c r="AX27" s="66"/>
      <c r="AY27" s="66"/>
      <c r="AZ27" s="66"/>
      <c r="BA27" s="66"/>
      <c r="BB27" s="66"/>
      <c r="BC27" s="66"/>
      <c r="BD27" s="66"/>
      <c r="BE27" s="66"/>
      <c r="BF27" s="45">
        <v>0</v>
      </c>
      <c r="BG27" s="46">
        <v>0</v>
      </c>
      <c r="BH27" s="45">
        <v>0</v>
      </c>
      <c r="BI27" s="46">
        <v>0</v>
      </c>
      <c r="BJ27" s="45">
        <v>0</v>
      </c>
      <c r="BK27" s="46">
        <v>0</v>
      </c>
      <c r="BL27" s="45">
        <v>5</v>
      </c>
      <c r="BM27" s="46">
        <v>62.5</v>
      </c>
      <c r="BN27" s="45">
        <v>8</v>
      </c>
    </row>
    <row r="28" spans="1:66" ht="15">
      <c r="A28" s="62" t="s">
        <v>295</v>
      </c>
      <c r="B28" s="62" t="s">
        <v>298</v>
      </c>
      <c r="C28" s="64"/>
      <c r="D28" s="67"/>
      <c r="E28" s="68"/>
      <c r="F28" s="69"/>
      <c r="G28" s="64"/>
      <c r="H28" s="70"/>
      <c r="I28" s="71"/>
      <c r="J28" s="71"/>
      <c r="K28" s="31" t="s">
        <v>65</v>
      </c>
      <c r="L28" s="79">
        <v>73</v>
      </c>
      <c r="M28" s="79"/>
      <c r="N28" s="73"/>
      <c r="O28" s="66">
        <v>1</v>
      </c>
      <c r="P28" s="63" t="str">
        <f>REPLACE(INDEX(GroupVertices[Group],MATCH(Edges25[[#This Row],[Vertex 1]],GroupVertices[Vertex],0)),1,1,"")</f>
        <v>2</v>
      </c>
      <c r="Q28" s="63" t="str">
        <f>REPLACE(INDEX(GroupVertices[Group],MATCH(Edges25[[#This Row],[Vertex 2]],GroupVertices[Vertex],0)),1,1,"")</f>
        <v>2</v>
      </c>
      <c r="R28" s="66" t="s">
        <v>315</v>
      </c>
      <c r="S28" s="91">
        <v>44881.76341435185</v>
      </c>
      <c r="T28" s="66" t="s">
        <v>335</v>
      </c>
      <c r="U28" s="94" t="str">
        <f>HYPERLINK("https://www.levante-emv.com/tendencias21/2022/11/12/cumbre-cientifica-inmortalidad-madrid-78418464.html")</f>
        <v>https://www.levante-emv.com/tendencias21/2022/11/12/cumbre-cientifica-inmortalidad-madrid-78418464.html</v>
      </c>
      <c r="V28" s="66" t="s">
        <v>409</v>
      </c>
      <c r="W28" s="97" t="s">
        <v>431</v>
      </c>
      <c r="X28" s="66"/>
      <c r="Y28" s="94" t="str">
        <f>HYPERLINK("https://pbs.twimg.com/profile_images/1580441662622507014/UdEZtt-t_normal.jpg")</f>
        <v>https://pbs.twimg.com/profile_images/1580441662622507014/UdEZtt-t_normal.jpg</v>
      </c>
      <c r="Z28" s="91">
        <v>44881.76341435185</v>
      </c>
      <c r="AA28" s="100">
        <v>44881</v>
      </c>
      <c r="AB28" s="97" t="s">
        <v>466</v>
      </c>
      <c r="AC28" s="94" t="str">
        <f>HYPERLINK("https://twitter.com/thcbc_nft/status/1592945426847518720")</f>
        <v>https://twitter.com/thcbc_nft/status/1592945426847518720</v>
      </c>
      <c r="AD28" s="66"/>
      <c r="AE28" s="66"/>
      <c r="AF28" s="97" t="s">
        <v>599</v>
      </c>
      <c r="AG28" s="66"/>
      <c r="AH28" s="66" t="b">
        <v>0</v>
      </c>
      <c r="AI28" s="66">
        <v>0</v>
      </c>
      <c r="AJ28" s="97" t="s">
        <v>712</v>
      </c>
      <c r="AK28" s="66" t="b">
        <v>0</v>
      </c>
      <c r="AL28" s="66" t="s">
        <v>715</v>
      </c>
      <c r="AM28" s="66"/>
      <c r="AN28" s="97" t="s">
        <v>712</v>
      </c>
      <c r="AO28" s="66" t="b">
        <v>0</v>
      </c>
      <c r="AP28" s="66">
        <v>2</v>
      </c>
      <c r="AQ28" s="97" t="s">
        <v>669</v>
      </c>
      <c r="AR28" s="97" t="s">
        <v>719</v>
      </c>
      <c r="AS28" s="66" t="b">
        <v>0</v>
      </c>
      <c r="AT28" s="97" t="s">
        <v>669</v>
      </c>
      <c r="AU28" s="66" t="s">
        <v>241</v>
      </c>
      <c r="AV28" s="66">
        <v>0</v>
      </c>
      <c r="AW28" s="66">
        <v>0</v>
      </c>
      <c r="AX28" s="66"/>
      <c r="AY28" s="66"/>
      <c r="AZ28" s="66"/>
      <c r="BA28" s="66"/>
      <c r="BB28" s="66"/>
      <c r="BC28" s="66"/>
      <c r="BD28" s="66"/>
      <c r="BE28" s="66"/>
      <c r="BF28" s="45">
        <v>0</v>
      </c>
      <c r="BG28" s="46">
        <v>0</v>
      </c>
      <c r="BH28" s="45">
        <v>0</v>
      </c>
      <c r="BI28" s="46">
        <v>0</v>
      </c>
      <c r="BJ28" s="45">
        <v>0</v>
      </c>
      <c r="BK28" s="46">
        <v>0</v>
      </c>
      <c r="BL28" s="45">
        <v>18</v>
      </c>
      <c r="BM28" s="46">
        <v>66.66666666666667</v>
      </c>
      <c r="BN28" s="45">
        <v>27</v>
      </c>
    </row>
    <row r="29" spans="1:66" ht="15">
      <c r="A29" s="62" t="s">
        <v>296</v>
      </c>
      <c r="B29" s="62" t="s">
        <v>309</v>
      </c>
      <c r="C29" s="64"/>
      <c r="D29" s="67"/>
      <c r="E29" s="68"/>
      <c r="F29" s="69"/>
      <c r="G29" s="64"/>
      <c r="H29" s="70"/>
      <c r="I29" s="71"/>
      <c r="J29" s="71"/>
      <c r="K29" s="31" t="s">
        <v>65</v>
      </c>
      <c r="L29" s="79">
        <v>74</v>
      </c>
      <c r="M29" s="79"/>
      <c r="N29" s="73"/>
      <c r="O29" s="66">
        <v>1</v>
      </c>
      <c r="P29" s="63" t="str">
        <f>REPLACE(INDEX(GroupVertices[Group],MATCH(Edges25[[#This Row],[Vertex 1]],GroupVertices[Vertex],0)),1,1,"")</f>
        <v>3</v>
      </c>
      <c r="Q29" s="63" t="str">
        <f>REPLACE(INDEX(GroupVertices[Group],MATCH(Edges25[[#This Row],[Vertex 2]],GroupVertices[Vertex],0)),1,1,"")</f>
        <v>1</v>
      </c>
      <c r="R29" s="66" t="s">
        <v>316</v>
      </c>
      <c r="S29" s="91">
        <v>44877.56275462963</v>
      </c>
      <c r="T29" s="66" t="s">
        <v>321</v>
      </c>
      <c r="U29" s="94" t="str">
        <f>HYPERLINK("https://www.youtube.com/watch?v=xb0JCOgMsXc&amp;feature=youtu.be")</f>
        <v>https://www.youtube.com/watch?v=xb0JCOgMsXc&amp;feature=youtu.be</v>
      </c>
      <c r="V29" s="66" t="s">
        <v>403</v>
      </c>
      <c r="W29" s="97" t="s">
        <v>424</v>
      </c>
      <c r="X29" s="94" t="str">
        <f>HYPERLINK("https://pbs.twimg.com/media/FhW7ZTpXkAAZ4Hh.jpg")</f>
        <v>https://pbs.twimg.com/media/FhW7ZTpXkAAZ4Hh.jpg</v>
      </c>
      <c r="Y29" s="94" t="str">
        <f>HYPERLINK("https://pbs.twimg.com/media/FhW7ZTpXkAAZ4Hh.jpg")</f>
        <v>https://pbs.twimg.com/media/FhW7ZTpXkAAZ4Hh.jpg</v>
      </c>
      <c r="Z29" s="91">
        <v>44877.56275462963</v>
      </c>
      <c r="AA29" s="100">
        <v>44877</v>
      </c>
      <c r="AB29" s="97" t="s">
        <v>467</v>
      </c>
      <c r="AC29" s="94" t="str">
        <f>HYPERLINK("https://twitter.com/adsdulantoscott/status/1591423156446789635")</f>
        <v>https://twitter.com/adsdulantoscott/status/1591423156446789635</v>
      </c>
      <c r="AD29" s="66"/>
      <c r="AE29" s="66"/>
      <c r="AF29" s="97" t="s">
        <v>600</v>
      </c>
      <c r="AG29" s="66"/>
      <c r="AH29" s="66" t="b">
        <v>0</v>
      </c>
      <c r="AI29" s="66">
        <v>0</v>
      </c>
      <c r="AJ29" s="97" t="s">
        <v>712</v>
      </c>
      <c r="AK29" s="66" t="b">
        <v>0</v>
      </c>
      <c r="AL29" s="66" t="s">
        <v>715</v>
      </c>
      <c r="AM29" s="66"/>
      <c r="AN29" s="97" t="s">
        <v>712</v>
      </c>
      <c r="AO29" s="66" t="b">
        <v>0</v>
      </c>
      <c r="AP29" s="66">
        <v>5</v>
      </c>
      <c r="AQ29" s="97" t="s">
        <v>601</v>
      </c>
      <c r="AR29" s="97" t="s">
        <v>718</v>
      </c>
      <c r="AS29" s="66" t="b">
        <v>0</v>
      </c>
      <c r="AT29" s="97" t="s">
        <v>601</v>
      </c>
      <c r="AU29" s="66" t="s">
        <v>241</v>
      </c>
      <c r="AV29" s="66">
        <v>0</v>
      </c>
      <c r="AW29" s="66">
        <v>0</v>
      </c>
      <c r="AX29" s="66"/>
      <c r="AY29" s="66"/>
      <c r="AZ29" s="66"/>
      <c r="BA29" s="66"/>
      <c r="BB29" s="66"/>
      <c r="BC29" s="66"/>
      <c r="BD29" s="66"/>
      <c r="BE29" s="66"/>
      <c r="BF29" s="45"/>
      <c r="BG29" s="46"/>
      <c r="BH29" s="45"/>
      <c r="BI29" s="46"/>
      <c r="BJ29" s="45"/>
      <c r="BK29" s="46"/>
      <c r="BL29" s="45"/>
      <c r="BM29" s="46"/>
      <c r="BN29" s="45"/>
    </row>
    <row r="30" spans="1:66" ht="15">
      <c r="A30" s="62" t="s">
        <v>297</v>
      </c>
      <c r="B30" s="62" t="s">
        <v>309</v>
      </c>
      <c r="C30" s="64"/>
      <c r="D30" s="67"/>
      <c r="E30" s="68"/>
      <c r="F30" s="69"/>
      <c r="G30" s="64"/>
      <c r="H30" s="70"/>
      <c r="I30" s="71"/>
      <c r="J30" s="71"/>
      <c r="K30" s="31" t="s">
        <v>65</v>
      </c>
      <c r="L30" s="79">
        <v>75</v>
      </c>
      <c r="M30" s="79"/>
      <c r="N30" s="73"/>
      <c r="O30" s="66">
        <v>1</v>
      </c>
      <c r="P30" s="63" t="str">
        <f>REPLACE(INDEX(GroupVertices[Group],MATCH(Edges25[[#This Row],[Vertex 1]],GroupVertices[Vertex],0)),1,1,"")</f>
        <v>1</v>
      </c>
      <c r="Q30" s="63" t="str">
        <f>REPLACE(INDEX(GroupVertices[Group],MATCH(Edges25[[#This Row],[Vertex 2]],GroupVertices[Vertex],0)),1,1,"")</f>
        <v>1</v>
      </c>
      <c r="R30" s="66" t="s">
        <v>317</v>
      </c>
      <c r="S30" s="91">
        <v>44877.52521990741</v>
      </c>
      <c r="T30" s="66" t="s">
        <v>321</v>
      </c>
      <c r="U30" s="94" t="str">
        <f>HYPERLINK("https://www.youtube.com/watch?v=xb0JCOgMsXc&amp;feature=youtu.be")</f>
        <v>https://www.youtube.com/watch?v=xb0JCOgMsXc&amp;feature=youtu.be</v>
      </c>
      <c r="V30" s="66" t="s">
        <v>403</v>
      </c>
      <c r="W30" s="97" t="s">
        <v>424</v>
      </c>
      <c r="X30" s="94" t="str">
        <f>HYPERLINK("https://pbs.twimg.com/media/FhW7ZTpXkAAZ4Hh.jpg")</f>
        <v>https://pbs.twimg.com/media/FhW7ZTpXkAAZ4Hh.jpg</v>
      </c>
      <c r="Y30" s="94" t="str">
        <f>HYPERLINK("https://pbs.twimg.com/media/FhW7ZTpXkAAZ4Hh.jpg")</f>
        <v>https://pbs.twimg.com/media/FhW7ZTpXkAAZ4Hh.jpg</v>
      </c>
      <c r="Z30" s="91">
        <v>44877.52521990741</v>
      </c>
      <c r="AA30" s="100">
        <v>44877</v>
      </c>
      <c r="AB30" s="97" t="s">
        <v>468</v>
      </c>
      <c r="AC30" s="94" t="str">
        <f>HYPERLINK("https://twitter.com/hashtagmarketi7/status/1591409554893725697")</f>
        <v>https://twitter.com/hashtagmarketi7/status/1591409554893725697</v>
      </c>
      <c r="AD30" s="66"/>
      <c r="AE30" s="66"/>
      <c r="AF30" s="97" t="s">
        <v>601</v>
      </c>
      <c r="AG30" s="66"/>
      <c r="AH30" s="66" t="b">
        <v>0</v>
      </c>
      <c r="AI30" s="66">
        <v>6</v>
      </c>
      <c r="AJ30" s="97" t="s">
        <v>712</v>
      </c>
      <c r="AK30" s="66" t="b">
        <v>0</v>
      </c>
      <c r="AL30" s="66" t="s">
        <v>715</v>
      </c>
      <c r="AM30" s="66"/>
      <c r="AN30" s="97" t="s">
        <v>712</v>
      </c>
      <c r="AO30" s="66" t="b">
        <v>0</v>
      </c>
      <c r="AP30" s="66">
        <v>5</v>
      </c>
      <c r="AQ30" s="97" t="s">
        <v>712</v>
      </c>
      <c r="AR30" s="97" t="s">
        <v>717</v>
      </c>
      <c r="AS30" s="66" t="b">
        <v>0</v>
      </c>
      <c r="AT30" s="97" t="s">
        <v>601</v>
      </c>
      <c r="AU30" s="66" t="s">
        <v>241</v>
      </c>
      <c r="AV30" s="66">
        <v>0</v>
      </c>
      <c r="AW30" s="66">
        <v>0</v>
      </c>
      <c r="AX30" s="66"/>
      <c r="AY30" s="66"/>
      <c r="AZ30" s="66"/>
      <c r="BA30" s="66"/>
      <c r="BB30" s="66"/>
      <c r="BC30" s="66"/>
      <c r="BD30" s="66"/>
      <c r="BE30" s="66"/>
      <c r="BF30" s="45"/>
      <c r="BG30" s="46"/>
      <c r="BH30" s="45"/>
      <c r="BI30" s="46"/>
      <c r="BJ30" s="45"/>
      <c r="BK30" s="46"/>
      <c r="BL30" s="45"/>
      <c r="BM30" s="46"/>
      <c r="BN30" s="45"/>
    </row>
    <row r="31" spans="1:66" ht="15">
      <c r="A31" s="62" t="s">
        <v>298</v>
      </c>
      <c r="B31" s="62" t="s">
        <v>309</v>
      </c>
      <c r="C31" s="64"/>
      <c r="D31" s="67"/>
      <c r="E31" s="68"/>
      <c r="F31" s="69"/>
      <c r="G31" s="64"/>
      <c r="H31" s="70"/>
      <c r="I31" s="71"/>
      <c r="J31" s="71"/>
      <c r="K31" s="31" t="s">
        <v>65</v>
      </c>
      <c r="L31" s="79">
        <v>76</v>
      </c>
      <c r="M31" s="79"/>
      <c r="N31" s="73"/>
      <c r="O31" s="66">
        <v>1</v>
      </c>
      <c r="P31" s="63" t="str">
        <f>REPLACE(INDEX(GroupVertices[Group],MATCH(Edges25[[#This Row],[Vertex 1]],GroupVertices[Vertex],0)),1,1,"")</f>
        <v>2</v>
      </c>
      <c r="Q31" s="63" t="str">
        <f>REPLACE(INDEX(GroupVertices[Group],MATCH(Edges25[[#This Row],[Vertex 2]],GroupVertices[Vertex],0)),1,1,"")</f>
        <v>1</v>
      </c>
      <c r="R31" s="66" t="s">
        <v>316</v>
      </c>
      <c r="S31" s="91">
        <v>44877.526192129626</v>
      </c>
      <c r="T31" s="66" t="s">
        <v>321</v>
      </c>
      <c r="U31" s="94" t="str">
        <f>HYPERLINK("https://www.youtube.com/watch?v=xb0JCOgMsXc&amp;feature=youtu.be")</f>
        <v>https://www.youtube.com/watch?v=xb0JCOgMsXc&amp;feature=youtu.be</v>
      </c>
      <c r="V31" s="66" t="s">
        <v>403</v>
      </c>
      <c r="W31" s="97" t="s">
        <v>424</v>
      </c>
      <c r="X31" s="94" t="str">
        <f>HYPERLINK("https://pbs.twimg.com/media/FhW7ZTpXkAAZ4Hh.jpg")</f>
        <v>https://pbs.twimg.com/media/FhW7ZTpXkAAZ4Hh.jpg</v>
      </c>
      <c r="Y31" s="94" t="str">
        <f>HYPERLINK("https://pbs.twimg.com/media/FhW7ZTpXkAAZ4Hh.jpg")</f>
        <v>https://pbs.twimg.com/media/FhW7ZTpXkAAZ4Hh.jpg</v>
      </c>
      <c r="Z31" s="91">
        <v>44877.526192129626</v>
      </c>
      <c r="AA31" s="100">
        <v>44877</v>
      </c>
      <c r="AB31" s="97" t="s">
        <v>469</v>
      </c>
      <c r="AC31" s="94" t="str">
        <f>HYPERLINK("https://twitter.com/transvisionmad1/status/1591409908440002562")</f>
        <v>https://twitter.com/transvisionmad1/status/1591409908440002562</v>
      </c>
      <c r="AD31" s="66"/>
      <c r="AE31" s="66"/>
      <c r="AF31" s="97" t="s">
        <v>602</v>
      </c>
      <c r="AG31" s="66"/>
      <c r="AH31" s="66" t="b">
        <v>0</v>
      </c>
      <c r="AI31" s="66">
        <v>0</v>
      </c>
      <c r="AJ31" s="97" t="s">
        <v>712</v>
      </c>
      <c r="AK31" s="66" t="b">
        <v>0</v>
      </c>
      <c r="AL31" s="66" t="s">
        <v>715</v>
      </c>
      <c r="AM31" s="66"/>
      <c r="AN31" s="97" t="s">
        <v>712</v>
      </c>
      <c r="AO31" s="66" t="b">
        <v>0</v>
      </c>
      <c r="AP31" s="66">
        <v>5</v>
      </c>
      <c r="AQ31" s="97" t="s">
        <v>601</v>
      </c>
      <c r="AR31" s="97" t="s">
        <v>717</v>
      </c>
      <c r="AS31" s="66" t="b">
        <v>0</v>
      </c>
      <c r="AT31" s="97" t="s">
        <v>601</v>
      </c>
      <c r="AU31" s="66" t="s">
        <v>241</v>
      </c>
      <c r="AV31" s="66">
        <v>0</v>
      </c>
      <c r="AW31" s="66">
        <v>0</v>
      </c>
      <c r="AX31" s="66"/>
      <c r="AY31" s="66"/>
      <c r="AZ31" s="66"/>
      <c r="BA31" s="66"/>
      <c r="BB31" s="66"/>
      <c r="BC31" s="66"/>
      <c r="BD31" s="66"/>
      <c r="BE31" s="66"/>
      <c r="BF31" s="45"/>
      <c r="BG31" s="46"/>
      <c r="BH31" s="45"/>
      <c r="BI31" s="46"/>
      <c r="BJ31" s="45"/>
      <c r="BK31" s="46"/>
      <c r="BL31" s="45"/>
      <c r="BM31" s="46"/>
      <c r="BN31" s="45"/>
    </row>
    <row r="32" spans="1:66" ht="15">
      <c r="A32" s="62" t="s">
        <v>299</v>
      </c>
      <c r="B32" s="62" t="s">
        <v>304</v>
      </c>
      <c r="C32" s="64"/>
      <c r="D32" s="67"/>
      <c r="E32" s="68"/>
      <c r="F32" s="69"/>
      <c r="G32" s="64"/>
      <c r="H32" s="70"/>
      <c r="I32" s="71"/>
      <c r="J32" s="71"/>
      <c r="K32" s="31" t="s">
        <v>65</v>
      </c>
      <c r="L32" s="79">
        <v>79</v>
      </c>
      <c r="M32" s="79"/>
      <c r="N32" s="73"/>
      <c r="O32" s="66">
        <v>1</v>
      </c>
      <c r="P32" s="63" t="str">
        <f>REPLACE(INDEX(GroupVertices[Group],MATCH(Edges25[[#This Row],[Vertex 1]],GroupVertices[Vertex],0)),1,1,"")</f>
        <v>1</v>
      </c>
      <c r="Q32" s="63" t="str">
        <f>REPLACE(INDEX(GroupVertices[Group],MATCH(Edges25[[#This Row],[Vertex 2]],GroupVertices[Vertex],0)),1,1,"")</f>
        <v>5</v>
      </c>
      <c r="R32" s="66" t="s">
        <v>315</v>
      </c>
      <c r="S32" s="91">
        <v>44879.80662037037</v>
      </c>
      <c r="T32" s="66" t="s">
        <v>336</v>
      </c>
      <c r="U32" s="66"/>
      <c r="V32" s="66"/>
      <c r="W32" s="97" t="s">
        <v>421</v>
      </c>
      <c r="X32" s="94" t="str">
        <f>HYPERLINK("https://pbs.twimg.com/media/FhX_xegXoAIf7pk.jpg")</f>
        <v>https://pbs.twimg.com/media/FhX_xegXoAIf7pk.jpg</v>
      </c>
      <c r="Y32" s="94" t="str">
        <f>HYPERLINK("https://pbs.twimg.com/media/FhX_xegXoAIf7pk.jpg")</f>
        <v>https://pbs.twimg.com/media/FhX_xegXoAIf7pk.jpg</v>
      </c>
      <c r="Z32" s="91">
        <v>44879.80662037037</v>
      </c>
      <c r="AA32" s="100">
        <v>44879</v>
      </c>
      <c r="AB32" s="97" t="s">
        <v>470</v>
      </c>
      <c r="AC32" s="94" t="str">
        <f>HYPERLINK("https://twitter.com/humanityplus/status/1592236305534042112")</f>
        <v>https://twitter.com/humanityplus/status/1592236305534042112</v>
      </c>
      <c r="AD32" s="66"/>
      <c r="AE32" s="66"/>
      <c r="AF32" s="97" t="s">
        <v>603</v>
      </c>
      <c r="AG32" s="66"/>
      <c r="AH32" s="66" t="b">
        <v>0</v>
      </c>
      <c r="AI32" s="66">
        <v>0</v>
      </c>
      <c r="AJ32" s="97" t="s">
        <v>712</v>
      </c>
      <c r="AK32" s="66" t="b">
        <v>0</v>
      </c>
      <c r="AL32" s="66" t="s">
        <v>714</v>
      </c>
      <c r="AM32" s="66"/>
      <c r="AN32" s="97" t="s">
        <v>712</v>
      </c>
      <c r="AO32" s="66" t="b">
        <v>0</v>
      </c>
      <c r="AP32" s="66">
        <v>4</v>
      </c>
      <c r="AQ32" s="97" t="s">
        <v>639</v>
      </c>
      <c r="AR32" s="97" t="s">
        <v>717</v>
      </c>
      <c r="AS32" s="66" t="b">
        <v>0</v>
      </c>
      <c r="AT32" s="97" t="s">
        <v>639</v>
      </c>
      <c r="AU32" s="66" t="s">
        <v>241</v>
      </c>
      <c r="AV32" s="66">
        <v>0</v>
      </c>
      <c r="AW32" s="66">
        <v>0</v>
      </c>
      <c r="AX32" s="66"/>
      <c r="AY32" s="66"/>
      <c r="AZ32" s="66"/>
      <c r="BA32" s="66"/>
      <c r="BB32" s="66"/>
      <c r="BC32" s="66"/>
      <c r="BD32" s="66"/>
      <c r="BE32" s="66"/>
      <c r="BF32" s="45">
        <v>1</v>
      </c>
      <c r="BG32" s="46">
        <v>7.6923076923076925</v>
      </c>
      <c r="BH32" s="45">
        <v>0</v>
      </c>
      <c r="BI32" s="46">
        <v>0</v>
      </c>
      <c r="BJ32" s="45">
        <v>0</v>
      </c>
      <c r="BK32" s="46">
        <v>0</v>
      </c>
      <c r="BL32" s="45">
        <v>7</v>
      </c>
      <c r="BM32" s="46">
        <v>53.84615384615385</v>
      </c>
      <c r="BN32" s="45">
        <v>13</v>
      </c>
    </row>
    <row r="33" spans="1:66" ht="15">
      <c r="A33" s="62" t="s">
        <v>300</v>
      </c>
      <c r="B33" s="62" t="s">
        <v>301</v>
      </c>
      <c r="C33" s="64"/>
      <c r="D33" s="67"/>
      <c r="E33" s="68"/>
      <c r="F33" s="69"/>
      <c r="G33" s="64"/>
      <c r="H33" s="70"/>
      <c r="I33" s="71"/>
      <c r="J33" s="71"/>
      <c r="K33" s="31" t="s">
        <v>66</v>
      </c>
      <c r="L33" s="79">
        <v>81</v>
      </c>
      <c r="M33" s="79"/>
      <c r="N33" s="73"/>
      <c r="O33" s="66">
        <v>1</v>
      </c>
      <c r="P33" s="63" t="str">
        <f>REPLACE(INDEX(GroupVertices[Group],MATCH(Edges25[[#This Row],[Vertex 1]],GroupVertices[Vertex],0)),1,1,"")</f>
        <v>3</v>
      </c>
      <c r="Q33" s="63" t="str">
        <f>REPLACE(INDEX(GroupVertices[Group],MATCH(Edges25[[#This Row],[Vertex 2]],GroupVertices[Vertex],0)),1,1,"")</f>
        <v>3</v>
      </c>
      <c r="R33" s="66" t="s">
        <v>316</v>
      </c>
      <c r="S33" s="91">
        <v>44877.94027777778</v>
      </c>
      <c r="T33" s="66" t="s">
        <v>320</v>
      </c>
      <c r="U33" s="94" t="str">
        <f>HYPERLINK("https://www.youtube.com/watch?v=xb0JCOgMsXc&amp;feature=youtu.be")</f>
        <v>https://www.youtube.com/watch?v=xb0JCOgMsXc&amp;feature=youtu.be</v>
      </c>
      <c r="V33" s="66" t="s">
        <v>403</v>
      </c>
      <c r="W33" s="97" t="s">
        <v>423</v>
      </c>
      <c r="X33" s="94" t="str">
        <f>HYPERLINK("https://pbs.twimg.com/media/FhWu7YzX0AEJMfI.png")</f>
        <v>https://pbs.twimg.com/media/FhWu7YzX0AEJMfI.png</v>
      </c>
      <c r="Y33" s="94" t="str">
        <f>HYPERLINK("https://pbs.twimg.com/media/FhWu7YzX0AEJMfI.png")</f>
        <v>https://pbs.twimg.com/media/FhWu7YzX0AEJMfI.png</v>
      </c>
      <c r="Z33" s="91">
        <v>44877.94027777778</v>
      </c>
      <c r="AA33" s="100">
        <v>44877</v>
      </c>
      <c r="AB33" s="97" t="s">
        <v>471</v>
      </c>
      <c r="AC33" s="94" t="str">
        <f>HYPERLINK("https://twitter.com/javiercremades/status/1591559965898330113")</f>
        <v>https://twitter.com/javiercremades/status/1591559965898330113</v>
      </c>
      <c r="AD33" s="66"/>
      <c r="AE33" s="66"/>
      <c r="AF33" s="97" t="s">
        <v>604</v>
      </c>
      <c r="AG33" s="66"/>
      <c r="AH33" s="66" t="b">
        <v>0</v>
      </c>
      <c r="AI33" s="66">
        <v>0</v>
      </c>
      <c r="AJ33" s="97" t="s">
        <v>712</v>
      </c>
      <c r="AK33" s="66" t="b">
        <v>0</v>
      </c>
      <c r="AL33" s="66" t="s">
        <v>715</v>
      </c>
      <c r="AM33" s="66"/>
      <c r="AN33" s="97" t="s">
        <v>712</v>
      </c>
      <c r="AO33" s="66" t="b">
        <v>0</v>
      </c>
      <c r="AP33" s="66">
        <v>5</v>
      </c>
      <c r="AQ33" s="97" t="s">
        <v>613</v>
      </c>
      <c r="AR33" s="97" t="s">
        <v>718</v>
      </c>
      <c r="AS33" s="66" t="b">
        <v>0</v>
      </c>
      <c r="AT33" s="97" t="s">
        <v>613</v>
      </c>
      <c r="AU33" s="66" t="s">
        <v>241</v>
      </c>
      <c r="AV33" s="66">
        <v>0</v>
      </c>
      <c r="AW33" s="66">
        <v>0</v>
      </c>
      <c r="AX33" s="66"/>
      <c r="AY33" s="66"/>
      <c r="AZ33" s="66"/>
      <c r="BA33" s="66"/>
      <c r="BB33" s="66"/>
      <c r="BC33" s="66"/>
      <c r="BD33" s="66"/>
      <c r="BE33" s="66"/>
      <c r="BF33" s="45"/>
      <c r="BG33" s="46"/>
      <c r="BH33" s="45"/>
      <c r="BI33" s="46"/>
      <c r="BJ33" s="45"/>
      <c r="BK33" s="46"/>
      <c r="BL33" s="45"/>
      <c r="BM33" s="46"/>
      <c r="BN33" s="45"/>
    </row>
    <row r="34" spans="1:66" ht="15">
      <c r="A34" s="62" t="s">
        <v>296</v>
      </c>
      <c r="B34" s="62" t="s">
        <v>301</v>
      </c>
      <c r="C34" s="64"/>
      <c r="D34" s="67"/>
      <c r="E34" s="68"/>
      <c r="F34" s="69"/>
      <c r="G34" s="64"/>
      <c r="H34" s="70"/>
      <c r="I34" s="71"/>
      <c r="J34" s="71"/>
      <c r="K34" s="31" t="s">
        <v>65</v>
      </c>
      <c r="L34" s="79">
        <v>82</v>
      </c>
      <c r="M34" s="79"/>
      <c r="N34" s="73"/>
      <c r="O34" s="66">
        <v>2</v>
      </c>
      <c r="P34" s="63" t="str">
        <f>REPLACE(INDEX(GroupVertices[Group],MATCH(Edges25[[#This Row],[Vertex 1]],GroupVertices[Vertex],0)),1,1,"")</f>
        <v>3</v>
      </c>
      <c r="Q34" s="63" t="str">
        <f>REPLACE(INDEX(GroupVertices[Group],MATCH(Edges25[[#This Row],[Vertex 2]],GroupVertices[Vertex],0)),1,1,"")</f>
        <v>3</v>
      </c>
      <c r="R34" s="66" t="s">
        <v>316</v>
      </c>
      <c r="S34" s="91">
        <v>44877.465775462966</v>
      </c>
      <c r="T34" s="66" t="s">
        <v>320</v>
      </c>
      <c r="U34" s="94" t="str">
        <f>HYPERLINK("https://www.youtube.com/watch?v=xb0JCOgMsXc&amp;feature=youtu.be")</f>
        <v>https://www.youtube.com/watch?v=xb0JCOgMsXc&amp;feature=youtu.be</v>
      </c>
      <c r="V34" s="66" t="s">
        <v>403</v>
      </c>
      <c r="W34" s="97" t="s">
        <v>423</v>
      </c>
      <c r="X34" s="94" t="str">
        <f>HYPERLINK("https://pbs.twimg.com/media/FhWu7YzX0AEJMfI.png")</f>
        <v>https://pbs.twimg.com/media/FhWu7YzX0AEJMfI.png</v>
      </c>
      <c r="Y34" s="94" t="str">
        <f>HYPERLINK("https://pbs.twimg.com/media/FhWu7YzX0AEJMfI.png")</f>
        <v>https://pbs.twimg.com/media/FhWu7YzX0AEJMfI.png</v>
      </c>
      <c r="Z34" s="91">
        <v>44877.465775462966</v>
      </c>
      <c r="AA34" s="100">
        <v>44877</v>
      </c>
      <c r="AB34" s="97" t="s">
        <v>472</v>
      </c>
      <c r="AC34" s="94" t="str">
        <f>HYPERLINK("https://twitter.com/adsdulantoscott/status/1591388011895623680")</f>
        <v>https://twitter.com/adsdulantoscott/status/1591388011895623680</v>
      </c>
      <c r="AD34" s="66"/>
      <c r="AE34" s="66"/>
      <c r="AF34" s="97" t="s">
        <v>605</v>
      </c>
      <c r="AG34" s="66"/>
      <c r="AH34" s="66" t="b">
        <v>0</v>
      </c>
      <c r="AI34" s="66">
        <v>0</v>
      </c>
      <c r="AJ34" s="97" t="s">
        <v>712</v>
      </c>
      <c r="AK34" s="66" t="b">
        <v>0</v>
      </c>
      <c r="AL34" s="66" t="s">
        <v>715</v>
      </c>
      <c r="AM34" s="66"/>
      <c r="AN34" s="97" t="s">
        <v>712</v>
      </c>
      <c r="AO34" s="66" t="b">
        <v>0</v>
      </c>
      <c r="AP34" s="66">
        <v>5</v>
      </c>
      <c r="AQ34" s="97" t="s">
        <v>613</v>
      </c>
      <c r="AR34" s="97" t="s">
        <v>718</v>
      </c>
      <c r="AS34" s="66" t="b">
        <v>0</v>
      </c>
      <c r="AT34" s="97" t="s">
        <v>613</v>
      </c>
      <c r="AU34" s="66" t="s">
        <v>241</v>
      </c>
      <c r="AV34" s="66">
        <v>0</v>
      </c>
      <c r="AW34" s="66">
        <v>0</v>
      </c>
      <c r="AX34" s="66"/>
      <c r="AY34" s="66"/>
      <c r="AZ34" s="66"/>
      <c r="BA34" s="66"/>
      <c r="BB34" s="66"/>
      <c r="BC34" s="66"/>
      <c r="BD34" s="66"/>
      <c r="BE34" s="66"/>
      <c r="BF34" s="45"/>
      <c r="BG34" s="46"/>
      <c r="BH34" s="45"/>
      <c r="BI34" s="46"/>
      <c r="BJ34" s="45"/>
      <c r="BK34" s="46"/>
      <c r="BL34" s="45"/>
      <c r="BM34" s="46"/>
      <c r="BN34" s="45"/>
    </row>
    <row r="35" spans="1:66" ht="15">
      <c r="A35" s="62" t="s">
        <v>301</v>
      </c>
      <c r="B35" s="62" t="s">
        <v>305</v>
      </c>
      <c r="C35" s="64"/>
      <c r="D35" s="67"/>
      <c r="E35" s="68"/>
      <c r="F35" s="69"/>
      <c r="G35" s="64"/>
      <c r="H35" s="70"/>
      <c r="I35" s="71"/>
      <c r="J35" s="71"/>
      <c r="K35" s="31" t="s">
        <v>65</v>
      </c>
      <c r="L35" s="79">
        <v>84</v>
      </c>
      <c r="M35" s="79"/>
      <c r="N35" s="73"/>
      <c r="O35" s="66">
        <v>1</v>
      </c>
      <c r="P35" s="63" t="str">
        <f>REPLACE(INDEX(GroupVertices[Group],MATCH(Edges25[[#This Row],[Vertex 1]],GroupVertices[Vertex],0)),1,1,"")</f>
        <v>3</v>
      </c>
      <c r="Q35" s="63" t="str">
        <f>REPLACE(INDEX(GroupVertices[Group],MATCH(Edges25[[#This Row],[Vertex 2]],GroupVertices[Vertex],0)),1,1,"")</f>
        <v>4</v>
      </c>
      <c r="R35" s="66" t="s">
        <v>316</v>
      </c>
      <c r="S35" s="91">
        <v>44877.43305555556</v>
      </c>
      <c r="T35" s="66" t="s">
        <v>320</v>
      </c>
      <c r="U35" s="94" t="str">
        <f>HYPERLINK("https://www.youtube.com/watch?v=xb0JCOgMsXc&amp;feature=youtu.be")</f>
        <v>https://www.youtube.com/watch?v=xb0JCOgMsXc&amp;feature=youtu.be</v>
      </c>
      <c r="V35" s="66" t="s">
        <v>403</v>
      </c>
      <c r="W35" s="97" t="s">
        <v>423</v>
      </c>
      <c r="X35" s="94" t="str">
        <f>HYPERLINK("https://pbs.twimg.com/media/FhWu7YzX0AEJMfI.png")</f>
        <v>https://pbs.twimg.com/media/FhWu7YzX0AEJMfI.png</v>
      </c>
      <c r="Y35" s="94" t="str">
        <f>HYPERLINK("https://pbs.twimg.com/media/FhWu7YzX0AEJMfI.png")</f>
        <v>https://pbs.twimg.com/media/FhWu7YzX0AEJMfI.png</v>
      </c>
      <c r="Z35" s="91">
        <v>44877.43305555556</v>
      </c>
      <c r="AA35" s="100">
        <v>44877</v>
      </c>
      <c r="AB35" s="97" t="s">
        <v>473</v>
      </c>
      <c r="AC35" s="94" t="str">
        <f>HYPERLINK("https://twitter.com/ieuropeo/status/1591376155583586306")</f>
        <v>https://twitter.com/ieuropeo/status/1591376155583586306</v>
      </c>
      <c r="AD35" s="66"/>
      <c r="AE35" s="66"/>
      <c r="AF35" s="97" t="s">
        <v>606</v>
      </c>
      <c r="AG35" s="66"/>
      <c r="AH35" s="66" t="b">
        <v>0</v>
      </c>
      <c r="AI35" s="66">
        <v>0</v>
      </c>
      <c r="AJ35" s="97" t="s">
        <v>712</v>
      </c>
      <c r="AK35" s="66" t="b">
        <v>0</v>
      </c>
      <c r="AL35" s="66" t="s">
        <v>715</v>
      </c>
      <c r="AM35" s="66"/>
      <c r="AN35" s="97" t="s">
        <v>712</v>
      </c>
      <c r="AO35" s="66" t="b">
        <v>0</v>
      </c>
      <c r="AP35" s="66">
        <v>5</v>
      </c>
      <c r="AQ35" s="97" t="s">
        <v>613</v>
      </c>
      <c r="AR35" s="97" t="s">
        <v>717</v>
      </c>
      <c r="AS35" s="66" t="b">
        <v>0</v>
      </c>
      <c r="AT35" s="97" t="s">
        <v>613</v>
      </c>
      <c r="AU35" s="66" t="s">
        <v>241</v>
      </c>
      <c r="AV35" s="66">
        <v>0</v>
      </c>
      <c r="AW35" s="66">
        <v>0</v>
      </c>
      <c r="AX35" s="66"/>
      <c r="AY35" s="66"/>
      <c r="AZ35" s="66"/>
      <c r="BA35" s="66"/>
      <c r="BB35" s="66"/>
      <c r="BC35" s="66"/>
      <c r="BD35" s="66"/>
      <c r="BE35" s="66"/>
      <c r="BF35" s="45"/>
      <c r="BG35" s="46"/>
      <c r="BH35" s="45"/>
      <c r="BI35" s="46"/>
      <c r="BJ35" s="45"/>
      <c r="BK35" s="46"/>
      <c r="BL35" s="45"/>
      <c r="BM35" s="46"/>
      <c r="BN35" s="45"/>
    </row>
    <row r="36" spans="1:66" ht="15">
      <c r="A36" s="62" t="s">
        <v>301</v>
      </c>
      <c r="B36" s="62" t="s">
        <v>298</v>
      </c>
      <c r="C36" s="64"/>
      <c r="D36" s="67"/>
      <c r="E36" s="68"/>
      <c r="F36" s="69"/>
      <c r="G36" s="64"/>
      <c r="H36" s="70"/>
      <c r="I36" s="71"/>
      <c r="J36" s="71"/>
      <c r="K36" s="31" t="s">
        <v>66</v>
      </c>
      <c r="L36" s="79">
        <v>89</v>
      </c>
      <c r="M36" s="79"/>
      <c r="N36" s="73"/>
      <c r="O36" s="66">
        <v>3</v>
      </c>
      <c r="P36" s="63" t="str">
        <f>REPLACE(INDEX(GroupVertices[Group],MATCH(Edges25[[#This Row],[Vertex 1]],GroupVertices[Vertex],0)),1,1,"")</f>
        <v>3</v>
      </c>
      <c r="Q36" s="63" t="str">
        <f>REPLACE(INDEX(GroupVertices[Group],MATCH(Edges25[[#This Row],[Vertex 2]],GroupVertices[Vertex],0)),1,1,"")</f>
        <v>2</v>
      </c>
      <c r="R36" s="66" t="s">
        <v>315</v>
      </c>
      <c r="S36" s="91">
        <v>44878.63145833334</v>
      </c>
      <c r="T36" s="66" t="s">
        <v>337</v>
      </c>
      <c r="U36" s="94" t="str">
        <f>HYPERLINK("https://www.youtube.com/c/AlianzaFuturista/streams")</f>
        <v>https://www.youtube.com/c/AlianzaFuturista/streams</v>
      </c>
      <c r="V36" s="66" t="s">
        <v>403</v>
      </c>
      <c r="W36" s="97" t="s">
        <v>429</v>
      </c>
      <c r="X36" s="94" t="str">
        <f>HYPERLINK("https://pbs.twimg.com/media/FhbRBMWWYAACddn.jpg")</f>
        <v>https://pbs.twimg.com/media/FhbRBMWWYAACddn.jpg</v>
      </c>
      <c r="Y36" s="94" t="str">
        <f>HYPERLINK("https://pbs.twimg.com/media/FhbRBMWWYAACddn.jpg")</f>
        <v>https://pbs.twimg.com/media/FhbRBMWWYAACddn.jpg</v>
      </c>
      <c r="Z36" s="91">
        <v>44878.63145833334</v>
      </c>
      <c r="AA36" s="100">
        <v>44878</v>
      </c>
      <c r="AB36" s="97" t="s">
        <v>474</v>
      </c>
      <c r="AC36" s="94" t="str">
        <f>HYPERLINK("https://twitter.com/ieuropeo/status/1591810443919884290")</f>
        <v>https://twitter.com/ieuropeo/status/1591810443919884290</v>
      </c>
      <c r="AD36" s="66"/>
      <c r="AE36" s="66"/>
      <c r="AF36" s="97" t="s">
        <v>607</v>
      </c>
      <c r="AG36" s="66"/>
      <c r="AH36" s="66" t="b">
        <v>0</v>
      </c>
      <c r="AI36" s="66">
        <v>0</v>
      </c>
      <c r="AJ36" s="97" t="s">
        <v>712</v>
      </c>
      <c r="AK36" s="66" t="b">
        <v>0</v>
      </c>
      <c r="AL36" s="66" t="s">
        <v>714</v>
      </c>
      <c r="AM36" s="66"/>
      <c r="AN36" s="97" t="s">
        <v>712</v>
      </c>
      <c r="AO36" s="66" t="b">
        <v>0</v>
      </c>
      <c r="AP36" s="66">
        <v>2</v>
      </c>
      <c r="AQ36" s="97" t="s">
        <v>661</v>
      </c>
      <c r="AR36" s="97" t="s">
        <v>717</v>
      </c>
      <c r="AS36" s="66" t="b">
        <v>0</v>
      </c>
      <c r="AT36" s="97" t="s">
        <v>661</v>
      </c>
      <c r="AU36" s="66" t="s">
        <v>241</v>
      </c>
      <c r="AV36" s="66">
        <v>0</v>
      </c>
      <c r="AW36" s="66">
        <v>0</v>
      </c>
      <c r="AX36" s="66"/>
      <c r="AY36" s="66"/>
      <c r="AZ36" s="66"/>
      <c r="BA36" s="66"/>
      <c r="BB36" s="66"/>
      <c r="BC36" s="66"/>
      <c r="BD36" s="66"/>
      <c r="BE36" s="66"/>
      <c r="BF36" s="45">
        <v>0</v>
      </c>
      <c r="BG36" s="46">
        <v>0</v>
      </c>
      <c r="BH36" s="45">
        <v>0</v>
      </c>
      <c r="BI36" s="46">
        <v>0</v>
      </c>
      <c r="BJ36" s="45">
        <v>0</v>
      </c>
      <c r="BK36" s="46">
        <v>0</v>
      </c>
      <c r="BL36" s="45">
        <v>19</v>
      </c>
      <c r="BM36" s="46">
        <v>59.375</v>
      </c>
      <c r="BN36" s="45">
        <v>32</v>
      </c>
    </row>
    <row r="37" spans="1:66" ht="15">
      <c r="A37" s="62" t="s">
        <v>301</v>
      </c>
      <c r="B37" s="62" t="s">
        <v>304</v>
      </c>
      <c r="C37" s="64"/>
      <c r="D37" s="67"/>
      <c r="E37" s="68"/>
      <c r="F37" s="69"/>
      <c r="G37" s="64"/>
      <c r="H37" s="70"/>
      <c r="I37" s="71"/>
      <c r="J37" s="71"/>
      <c r="K37" s="31" t="s">
        <v>65</v>
      </c>
      <c r="L37" s="79">
        <v>90</v>
      </c>
      <c r="M37" s="79"/>
      <c r="N37" s="73"/>
      <c r="O37" s="66">
        <v>2</v>
      </c>
      <c r="P37" s="63" t="str">
        <f>REPLACE(INDEX(GroupVertices[Group],MATCH(Edges25[[#This Row],[Vertex 1]],GroupVertices[Vertex],0)),1,1,"")</f>
        <v>3</v>
      </c>
      <c r="Q37" s="63" t="str">
        <f>REPLACE(INDEX(GroupVertices[Group],MATCH(Edges25[[#This Row],[Vertex 2]],GroupVertices[Vertex],0)),1,1,"")</f>
        <v>5</v>
      </c>
      <c r="R37" s="66" t="s">
        <v>315</v>
      </c>
      <c r="S37" s="91">
        <v>44879.34679398148</v>
      </c>
      <c r="T37" s="66" t="s">
        <v>318</v>
      </c>
      <c r="U37" s="66"/>
      <c r="V37" s="66"/>
      <c r="W37" s="97" t="s">
        <v>421</v>
      </c>
      <c r="X37" s="94" t="str">
        <f>HYPERLINK("https://pbs.twimg.com/media/FhWdWZuXwAAO13Y.jpg")</f>
        <v>https://pbs.twimg.com/media/FhWdWZuXwAAO13Y.jpg</v>
      </c>
      <c r="Y37" s="94" t="str">
        <f>HYPERLINK("https://pbs.twimg.com/media/FhWdWZuXwAAO13Y.jpg")</f>
        <v>https://pbs.twimg.com/media/FhWdWZuXwAAO13Y.jpg</v>
      </c>
      <c r="Z37" s="91">
        <v>44879.34679398148</v>
      </c>
      <c r="AA37" s="100">
        <v>44879</v>
      </c>
      <c r="AB37" s="97" t="s">
        <v>475</v>
      </c>
      <c r="AC37" s="94" t="str">
        <f>HYPERLINK("https://twitter.com/ieuropeo/status/1592069672983490560")</f>
        <v>https://twitter.com/ieuropeo/status/1592069672983490560</v>
      </c>
      <c r="AD37" s="66"/>
      <c r="AE37" s="66"/>
      <c r="AF37" s="97" t="s">
        <v>608</v>
      </c>
      <c r="AG37" s="66"/>
      <c r="AH37" s="66" t="b">
        <v>0</v>
      </c>
      <c r="AI37" s="66">
        <v>0</v>
      </c>
      <c r="AJ37" s="97" t="s">
        <v>712</v>
      </c>
      <c r="AK37" s="66" t="b">
        <v>0</v>
      </c>
      <c r="AL37" s="66" t="s">
        <v>714</v>
      </c>
      <c r="AM37" s="66"/>
      <c r="AN37" s="97" t="s">
        <v>712</v>
      </c>
      <c r="AO37" s="66" t="b">
        <v>0</v>
      </c>
      <c r="AP37" s="66">
        <v>6</v>
      </c>
      <c r="AQ37" s="97" t="s">
        <v>638</v>
      </c>
      <c r="AR37" s="97" t="s">
        <v>717</v>
      </c>
      <c r="AS37" s="66" t="b">
        <v>0</v>
      </c>
      <c r="AT37" s="97" t="s">
        <v>638</v>
      </c>
      <c r="AU37" s="66" t="s">
        <v>241</v>
      </c>
      <c r="AV37" s="66">
        <v>0</v>
      </c>
      <c r="AW37" s="66">
        <v>0</v>
      </c>
      <c r="AX37" s="66"/>
      <c r="AY37" s="66"/>
      <c r="AZ37" s="66"/>
      <c r="BA37" s="66"/>
      <c r="BB37" s="66"/>
      <c r="BC37" s="66"/>
      <c r="BD37" s="66"/>
      <c r="BE37" s="66"/>
      <c r="BF37" s="45">
        <v>0</v>
      </c>
      <c r="BG37" s="46">
        <v>0</v>
      </c>
      <c r="BH37" s="45">
        <v>0</v>
      </c>
      <c r="BI37" s="46">
        <v>0</v>
      </c>
      <c r="BJ37" s="45">
        <v>0</v>
      </c>
      <c r="BK37" s="46">
        <v>0</v>
      </c>
      <c r="BL37" s="45">
        <v>5</v>
      </c>
      <c r="BM37" s="46">
        <v>83.33333333333333</v>
      </c>
      <c r="BN37" s="45">
        <v>6</v>
      </c>
    </row>
    <row r="38" spans="1:66" ht="15">
      <c r="A38" s="62" t="s">
        <v>301</v>
      </c>
      <c r="B38" s="62" t="s">
        <v>304</v>
      </c>
      <c r="C38" s="64"/>
      <c r="D38" s="67"/>
      <c r="E38" s="68"/>
      <c r="F38" s="69"/>
      <c r="G38" s="64"/>
      <c r="H38" s="70"/>
      <c r="I38" s="71"/>
      <c r="J38" s="71"/>
      <c r="K38" s="31" t="s">
        <v>65</v>
      </c>
      <c r="L38" s="79">
        <v>91</v>
      </c>
      <c r="M38" s="79"/>
      <c r="N38" s="73"/>
      <c r="O38" s="66">
        <v>2</v>
      </c>
      <c r="P38" s="63" t="str">
        <f>REPLACE(INDEX(GroupVertices[Group],MATCH(Edges25[[#This Row],[Vertex 1]],GroupVertices[Vertex],0)),1,1,"")</f>
        <v>3</v>
      </c>
      <c r="Q38" s="63" t="str">
        <f>REPLACE(INDEX(GroupVertices[Group],MATCH(Edges25[[#This Row],[Vertex 2]],GroupVertices[Vertex],0)),1,1,"")</f>
        <v>5</v>
      </c>
      <c r="R38" s="66" t="s">
        <v>315</v>
      </c>
      <c r="S38" s="91">
        <v>44879.34730324074</v>
      </c>
      <c r="T38" s="66" t="s">
        <v>336</v>
      </c>
      <c r="U38" s="66"/>
      <c r="V38" s="66"/>
      <c r="W38" s="97" t="s">
        <v>421</v>
      </c>
      <c r="X38" s="94" t="str">
        <f>HYPERLINK("https://pbs.twimg.com/media/FhX_xegXoAIf7pk.jpg")</f>
        <v>https://pbs.twimg.com/media/FhX_xegXoAIf7pk.jpg</v>
      </c>
      <c r="Y38" s="94" t="str">
        <f>HYPERLINK("https://pbs.twimg.com/media/FhX_xegXoAIf7pk.jpg")</f>
        <v>https://pbs.twimg.com/media/FhX_xegXoAIf7pk.jpg</v>
      </c>
      <c r="Z38" s="91">
        <v>44879.34730324074</v>
      </c>
      <c r="AA38" s="100">
        <v>44879</v>
      </c>
      <c r="AB38" s="97" t="s">
        <v>476</v>
      </c>
      <c r="AC38" s="94" t="str">
        <f>HYPERLINK("https://twitter.com/ieuropeo/status/1592069855901274114")</f>
        <v>https://twitter.com/ieuropeo/status/1592069855901274114</v>
      </c>
      <c r="AD38" s="66"/>
      <c r="AE38" s="66"/>
      <c r="AF38" s="97" t="s">
        <v>609</v>
      </c>
      <c r="AG38" s="66"/>
      <c r="AH38" s="66" t="b">
        <v>0</v>
      </c>
      <c r="AI38" s="66">
        <v>0</v>
      </c>
      <c r="AJ38" s="97" t="s">
        <v>712</v>
      </c>
      <c r="AK38" s="66" t="b">
        <v>0</v>
      </c>
      <c r="AL38" s="66" t="s">
        <v>714</v>
      </c>
      <c r="AM38" s="66"/>
      <c r="AN38" s="97" t="s">
        <v>712</v>
      </c>
      <c r="AO38" s="66" t="b">
        <v>0</v>
      </c>
      <c r="AP38" s="66">
        <v>4</v>
      </c>
      <c r="AQ38" s="97" t="s">
        <v>639</v>
      </c>
      <c r="AR38" s="97" t="s">
        <v>717</v>
      </c>
      <c r="AS38" s="66" t="b">
        <v>0</v>
      </c>
      <c r="AT38" s="97" t="s">
        <v>639</v>
      </c>
      <c r="AU38" s="66" t="s">
        <v>241</v>
      </c>
      <c r="AV38" s="66">
        <v>0</v>
      </c>
      <c r="AW38" s="66">
        <v>0</v>
      </c>
      <c r="AX38" s="66"/>
      <c r="AY38" s="66"/>
      <c r="AZ38" s="66"/>
      <c r="BA38" s="66"/>
      <c r="BB38" s="66"/>
      <c r="BC38" s="66"/>
      <c r="BD38" s="66"/>
      <c r="BE38" s="66"/>
      <c r="BF38" s="45">
        <v>1</v>
      </c>
      <c r="BG38" s="46">
        <v>7.6923076923076925</v>
      </c>
      <c r="BH38" s="45">
        <v>0</v>
      </c>
      <c r="BI38" s="46">
        <v>0</v>
      </c>
      <c r="BJ38" s="45">
        <v>0</v>
      </c>
      <c r="BK38" s="46">
        <v>0</v>
      </c>
      <c r="BL38" s="45">
        <v>7</v>
      </c>
      <c r="BM38" s="46">
        <v>53.84615384615385</v>
      </c>
      <c r="BN38" s="45">
        <v>13</v>
      </c>
    </row>
    <row r="39" spans="1:66" ht="15">
      <c r="A39" s="62" t="s">
        <v>301</v>
      </c>
      <c r="B39" s="62" t="s">
        <v>305</v>
      </c>
      <c r="C39" s="64"/>
      <c r="D39" s="67"/>
      <c r="E39" s="68"/>
      <c r="F39" s="69"/>
      <c r="G39" s="64"/>
      <c r="H39" s="70"/>
      <c r="I39" s="71"/>
      <c r="J39" s="71"/>
      <c r="K39" s="31" t="s">
        <v>65</v>
      </c>
      <c r="L39" s="79">
        <v>92</v>
      </c>
      <c r="M39" s="79"/>
      <c r="N39" s="73"/>
      <c r="O39" s="66">
        <v>1</v>
      </c>
      <c r="P39" s="63" t="str">
        <f>REPLACE(INDEX(GroupVertices[Group],MATCH(Edges25[[#This Row],[Vertex 1]],GroupVertices[Vertex],0)),1,1,"")</f>
        <v>3</v>
      </c>
      <c r="Q39" s="63" t="str">
        <f>REPLACE(INDEX(GroupVertices[Group],MATCH(Edges25[[#This Row],[Vertex 2]],GroupVertices[Vertex],0)),1,1,"")</f>
        <v>4</v>
      </c>
      <c r="R39" s="66" t="s">
        <v>315</v>
      </c>
      <c r="S39" s="91">
        <v>44879.34857638889</v>
      </c>
      <c r="T39" s="66" t="s">
        <v>329</v>
      </c>
      <c r="U39" s="66" t="s">
        <v>394</v>
      </c>
      <c r="V39" s="66" t="s">
        <v>408</v>
      </c>
      <c r="W39" s="97" t="s">
        <v>429</v>
      </c>
      <c r="X39" s="66"/>
      <c r="Y39" s="94" t="str">
        <f>HYPERLINK("https://pbs.twimg.com/profile_images/1583010428514344960/3R3Ud3F4_normal.png")</f>
        <v>https://pbs.twimg.com/profile_images/1583010428514344960/3R3Ud3F4_normal.png</v>
      </c>
      <c r="Z39" s="91">
        <v>44879.34857638889</v>
      </c>
      <c r="AA39" s="100">
        <v>44879</v>
      </c>
      <c r="AB39" s="97" t="s">
        <v>477</v>
      </c>
      <c r="AC39" s="94" t="str">
        <f>HYPERLINK("https://twitter.com/ieuropeo/status/1592070315278049280")</f>
        <v>https://twitter.com/ieuropeo/status/1592070315278049280</v>
      </c>
      <c r="AD39" s="66"/>
      <c r="AE39" s="66"/>
      <c r="AF39" s="97" t="s">
        <v>610</v>
      </c>
      <c r="AG39" s="66"/>
      <c r="AH39" s="66" t="b">
        <v>0</v>
      </c>
      <c r="AI39" s="66">
        <v>0</v>
      </c>
      <c r="AJ39" s="97" t="s">
        <v>712</v>
      </c>
      <c r="AK39" s="66" t="b">
        <v>0</v>
      </c>
      <c r="AL39" s="66" t="s">
        <v>714</v>
      </c>
      <c r="AM39" s="66"/>
      <c r="AN39" s="97" t="s">
        <v>712</v>
      </c>
      <c r="AO39" s="66" t="b">
        <v>0</v>
      </c>
      <c r="AP39" s="66">
        <v>5</v>
      </c>
      <c r="AQ39" s="97" t="s">
        <v>699</v>
      </c>
      <c r="AR39" s="97" t="s">
        <v>717</v>
      </c>
      <c r="AS39" s="66" t="b">
        <v>0</v>
      </c>
      <c r="AT39" s="97" t="s">
        <v>699</v>
      </c>
      <c r="AU39" s="66" t="s">
        <v>241</v>
      </c>
      <c r="AV39" s="66">
        <v>0</v>
      </c>
      <c r="AW39" s="66">
        <v>0</v>
      </c>
      <c r="AX39" s="66"/>
      <c r="AY39" s="66"/>
      <c r="AZ39" s="66"/>
      <c r="BA39" s="66"/>
      <c r="BB39" s="66"/>
      <c r="BC39" s="66"/>
      <c r="BD39" s="66"/>
      <c r="BE39" s="66"/>
      <c r="BF39" s="45">
        <v>0</v>
      </c>
      <c r="BG39" s="46">
        <v>0</v>
      </c>
      <c r="BH39" s="45">
        <v>0</v>
      </c>
      <c r="BI39" s="46">
        <v>0</v>
      </c>
      <c r="BJ39" s="45">
        <v>0</v>
      </c>
      <c r="BK39" s="46">
        <v>0</v>
      </c>
      <c r="BL39" s="45">
        <v>16</v>
      </c>
      <c r="BM39" s="46">
        <v>51.61290322580645</v>
      </c>
      <c r="BN39" s="45">
        <v>31</v>
      </c>
    </row>
    <row r="40" spans="1:66" ht="15">
      <c r="A40" s="62" t="s">
        <v>301</v>
      </c>
      <c r="B40" s="62" t="s">
        <v>298</v>
      </c>
      <c r="C40" s="64"/>
      <c r="D40" s="67"/>
      <c r="E40" s="68"/>
      <c r="F40" s="69"/>
      <c r="G40" s="64"/>
      <c r="H40" s="70"/>
      <c r="I40" s="71"/>
      <c r="J40" s="71"/>
      <c r="K40" s="31" t="s">
        <v>66</v>
      </c>
      <c r="L40" s="79">
        <v>93</v>
      </c>
      <c r="M40" s="79"/>
      <c r="N40" s="73"/>
      <c r="O40" s="66">
        <v>3</v>
      </c>
      <c r="P40" s="63" t="str">
        <f>REPLACE(INDEX(GroupVertices[Group],MATCH(Edges25[[#This Row],[Vertex 1]],GroupVertices[Vertex],0)),1,1,"")</f>
        <v>3</v>
      </c>
      <c r="Q40" s="63" t="str">
        <f>REPLACE(INDEX(GroupVertices[Group],MATCH(Edges25[[#This Row],[Vertex 2]],GroupVertices[Vertex],0)),1,1,"")</f>
        <v>2</v>
      </c>
      <c r="R40" s="66" t="s">
        <v>315</v>
      </c>
      <c r="S40" s="91">
        <v>44879.34877314815</v>
      </c>
      <c r="T40" s="66" t="s">
        <v>333</v>
      </c>
      <c r="U40" s="94" t="str">
        <f>HYPERLINK("https://www.youtube.com/watch?v=3JK84n-jsMU")</f>
        <v>https://www.youtube.com/watch?v=3JK84n-jsMU</v>
      </c>
      <c r="V40" s="66" t="s">
        <v>403</v>
      </c>
      <c r="W40" s="97" t="s">
        <v>430</v>
      </c>
      <c r="X40" s="94" t="str">
        <f>HYPERLINK("https://pbs.twimg.com/media/FhcHy7oXEAMenzQ.png")</f>
        <v>https://pbs.twimg.com/media/FhcHy7oXEAMenzQ.png</v>
      </c>
      <c r="Y40" s="94" t="str">
        <f>HYPERLINK("https://pbs.twimg.com/media/FhcHy7oXEAMenzQ.png")</f>
        <v>https://pbs.twimg.com/media/FhcHy7oXEAMenzQ.png</v>
      </c>
      <c r="Z40" s="91">
        <v>44879.34877314815</v>
      </c>
      <c r="AA40" s="100">
        <v>44879</v>
      </c>
      <c r="AB40" s="97" t="s">
        <v>478</v>
      </c>
      <c r="AC40" s="94" t="str">
        <f>HYPERLINK("https://twitter.com/ieuropeo/status/1592070389500284928")</f>
        <v>https://twitter.com/ieuropeo/status/1592070389500284928</v>
      </c>
      <c r="AD40" s="66"/>
      <c r="AE40" s="66"/>
      <c r="AF40" s="97" t="s">
        <v>611</v>
      </c>
      <c r="AG40" s="66"/>
      <c r="AH40" s="66" t="b">
        <v>0</v>
      </c>
      <c r="AI40" s="66">
        <v>0</v>
      </c>
      <c r="AJ40" s="97" t="s">
        <v>712</v>
      </c>
      <c r="AK40" s="66" t="b">
        <v>0</v>
      </c>
      <c r="AL40" s="66" t="s">
        <v>714</v>
      </c>
      <c r="AM40" s="66"/>
      <c r="AN40" s="97" t="s">
        <v>712</v>
      </c>
      <c r="AO40" s="66" t="b">
        <v>0</v>
      </c>
      <c r="AP40" s="66">
        <v>5</v>
      </c>
      <c r="AQ40" s="97" t="s">
        <v>665</v>
      </c>
      <c r="AR40" s="97" t="s">
        <v>717</v>
      </c>
      <c r="AS40" s="66" t="b">
        <v>0</v>
      </c>
      <c r="AT40" s="97" t="s">
        <v>665</v>
      </c>
      <c r="AU40" s="66" t="s">
        <v>241</v>
      </c>
      <c r="AV40" s="66">
        <v>0</v>
      </c>
      <c r="AW40" s="66">
        <v>0</v>
      </c>
      <c r="AX40" s="66"/>
      <c r="AY40" s="66"/>
      <c r="AZ40" s="66"/>
      <c r="BA40" s="66"/>
      <c r="BB40" s="66"/>
      <c r="BC40" s="66"/>
      <c r="BD40" s="66"/>
      <c r="BE40" s="66"/>
      <c r="BF40" s="45">
        <v>0</v>
      </c>
      <c r="BG40" s="46">
        <v>0</v>
      </c>
      <c r="BH40" s="45">
        <v>0</v>
      </c>
      <c r="BI40" s="46">
        <v>0</v>
      </c>
      <c r="BJ40" s="45">
        <v>0</v>
      </c>
      <c r="BK40" s="46">
        <v>0</v>
      </c>
      <c r="BL40" s="45">
        <v>5</v>
      </c>
      <c r="BM40" s="46">
        <v>62.5</v>
      </c>
      <c r="BN40" s="45">
        <v>8</v>
      </c>
    </row>
    <row r="41" spans="1:66" ht="15">
      <c r="A41" s="62" t="s">
        <v>297</v>
      </c>
      <c r="B41" s="62" t="s">
        <v>301</v>
      </c>
      <c r="C41" s="64"/>
      <c r="D41" s="67"/>
      <c r="E41" s="68"/>
      <c r="F41" s="69"/>
      <c r="G41" s="64"/>
      <c r="H41" s="70"/>
      <c r="I41" s="71"/>
      <c r="J41" s="71"/>
      <c r="K41" s="31" t="s">
        <v>65</v>
      </c>
      <c r="L41" s="79">
        <v>94</v>
      </c>
      <c r="M41" s="79"/>
      <c r="N41" s="73"/>
      <c r="O41" s="66">
        <v>1</v>
      </c>
      <c r="P41" s="63" t="str">
        <f>REPLACE(INDEX(GroupVertices[Group],MATCH(Edges25[[#This Row],[Vertex 1]],GroupVertices[Vertex],0)),1,1,"")</f>
        <v>1</v>
      </c>
      <c r="Q41" s="63" t="str">
        <f>REPLACE(INDEX(GroupVertices[Group],MATCH(Edges25[[#This Row],[Vertex 2]],GroupVertices[Vertex],0)),1,1,"")</f>
        <v>3</v>
      </c>
      <c r="R41" s="66" t="s">
        <v>316</v>
      </c>
      <c r="S41" s="91">
        <v>44877.45034722222</v>
      </c>
      <c r="T41" s="66" t="s">
        <v>320</v>
      </c>
      <c r="U41" s="94" t="str">
        <f>HYPERLINK("https://www.youtube.com/watch?v=xb0JCOgMsXc&amp;feature=youtu.be")</f>
        <v>https://www.youtube.com/watch?v=xb0JCOgMsXc&amp;feature=youtu.be</v>
      </c>
      <c r="V41" s="66" t="s">
        <v>403</v>
      </c>
      <c r="W41" s="97" t="s">
        <v>423</v>
      </c>
      <c r="X41" s="94" t="str">
        <f>HYPERLINK("https://pbs.twimg.com/media/FhWu7YzX0AEJMfI.png")</f>
        <v>https://pbs.twimg.com/media/FhWu7YzX0AEJMfI.png</v>
      </c>
      <c r="Y41" s="94" t="str">
        <f>HYPERLINK("https://pbs.twimg.com/media/FhWu7YzX0AEJMfI.png")</f>
        <v>https://pbs.twimg.com/media/FhWu7YzX0AEJMfI.png</v>
      </c>
      <c r="Z41" s="91">
        <v>44877.45034722222</v>
      </c>
      <c r="AA41" s="100">
        <v>44877</v>
      </c>
      <c r="AB41" s="97" t="s">
        <v>479</v>
      </c>
      <c r="AC41" s="94" t="str">
        <f>HYPERLINK("https://twitter.com/hashtagmarketi7/status/1591382423438344198")</f>
        <v>https://twitter.com/hashtagmarketi7/status/1591382423438344198</v>
      </c>
      <c r="AD41" s="66"/>
      <c r="AE41" s="66"/>
      <c r="AF41" s="97" t="s">
        <v>612</v>
      </c>
      <c r="AG41" s="66"/>
      <c r="AH41" s="66" t="b">
        <v>0</v>
      </c>
      <c r="AI41" s="66">
        <v>0</v>
      </c>
      <c r="AJ41" s="97" t="s">
        <v>712</v>
      </c>
      <c r="AK41" s="66" t="b">
        <v>0</v>
      </c>
      <c r="AL41" s="66" t="s">
        <v>715</v>
      </c>
      <c r="AM41" s="66"/>
      <c r="AN41" s="97" t="s">
        <v>712</v>
      </c>
      <c r="AO41" s="66" t="b">
        <v>0</v>
      </c>
      <c r="AP41" s="66">
        <v>5</v>
      </c>
      <c r="AQ41" s="97" t="s">
        <v>613</v>
      </c>
      <c r="AR41" s="97" t="s">
        <v>717</v>
      </c>
      <c r="AS41" s="66" t="b">
        <v>0</v>
      </c>
      <c r="AT41" s="97" t="s">
        <v>613</v>
      </c>
      <c r="AU41" s="66" t="s">
        <v>241</v>
      </c>
      <c r="AV41" s="66">
        <v>0</v>
      </c>
      <c r="AW41" s="66">
        <v>0</v>
      </c>
      <c r="AX41" s="66"/>
      <c r="AY41" s="66"/>
      <c r="AZ41" s="66"/>
      <c r="BA41" s="66"/>
      <c r="BB41" s="66"/>
      <c r="BC41" s="66"/>
      <c r="BD41" s="66"/>
      <c r="BE41" s="66"/>
      <c r="BF41" s="45"/>
      <c r="BG41" s="46"/>
      <c r="BH41" s="45"/>
      <c r="BI41" s="46"/>
      <c r="BJ41" s="45"/>
      <c r="BK41" s="46"/>
      <c r="BL41" s="45"/>
      <c r="BM41" s="46"/>
      <c r="BN41" s="45"/>
    </row>
    <row r="42" spans="1:66" ht="15">
      <c r="A42" s="62" t="s">
        <v>298</v>
      </c>
      <c r="B42" s="62" t="s">
        <v>301</v>
      </c>
      <c r="C42" s="64"/>
      <c r="D42" s="67"/>
      <c r="E42" s="68"/>
      <c r="F42" s="69"/>
      <c r="G42" s="64"/>
      <c r="H42" s="70"/>
      <c r="I42" s="71"/>
      <c r="J42" s="71"/>
      <c r="K42" s="31" t="s">
        <v>66</v>
      </c>
      <c r="L42" s="79">
        <v>96</v>
      </c>
      <c r="M42" s="79"/>
      <c r="N42" s="73"/>
      <c r="O42" s="66">
        <v>1</v>
      </c>
      <c r="P42" s="63" t="str">
        <f>REPLACE(INDEX(GroupVertices[Group],MATCH(Edges25[[#This Row],[Vertex 1]],GroupVertices[Vertex],0)),1,1,"")</f>
        <v>2</v>
      </c>
      <c r="Q42" s="63" t="str">
        <f>REPLACE(INDEX(GroupVertices[Group],MATCH(Edges25[[#This Row],[Vertex 2]],GroupVertices[Vertex],0)),1,1,"")</f>
        <v>3</v>
      </c>
      <c r="R42" s="66" t="s">
        <v>317</v>
      </c>
      <c r="S42" s="91">
        <v>44877.42091435185</v>
      </c>
      <c r="T42" s="66" t="s">
        <v>320</v>
      </c>
      <c r="U42" s="94" t="str">
        <f>HYPERLINK("https://www.youtube.com/watch?v=xb0JCOgMsXc&amp;feature=youtu.be")</f>
        <v>https://www.youtube.com/watch?v=xb0JCOgMsXc&amp;feature=youtu.be</v>
      </c>
      <c r="V42" s="66" t="s">
        <v>403</v>
      </c>
      <c r="W42" s="97" t="s">
        <v>423</v>
      </c>
      <c r="X42" s="94" t="str">
        <f>HYPERLINK("https://pbs.twimg.com/media/FhWu7YzX0AEJMfI.png")</f>
        <v>https://pbs.twimg.com/media/FhWu7YzX0AEJMfI.png</v>
      </c>
      <c r="Y42" s="94" t="str">
        <f>HYPERLINK("https://pbs.twimg.com/media/FhWu7YzX0AEJMfI.png")</f>
        <v>https://pbs.twimg.com/media/FhWu7YzX0AEJMfI.png</v>
      </c>
      <c r="Z42" s="91">
        <v>44877.42091435185</v>
      </c>
      <c r="AA42" s="100">
        <v>44877</v>
      </c>
      <c r="AB42" s="97" t="s">
        <v>480</v>
      </c>
      <c r="AC42" s="94" t="str">
        <f>HYPERLINK("https://twitter.com/transvisionmad1/status/1591371754617946112")</f>
        <v>https://twitter.com/transvisionmad1/status/1591371754617946112</v>
      </c>
      <c r="AD42" s="66"/>
      <c r="AE42" s="66"/>
      <c r="AF42" s="97" t="s">
        <v>613</v>
      </c>
      <c r="AG42" s="66"/>
      <c r="AH42" s="66" t="b">
        <v>0</v>
      </c>
      <c r="AI42" s="66">
        <v>3</v>
      </c>
      <c r="AJ42" s="97" t="s">
        <v>712</v>
      </c>
      <c r="AK42" s="66" t="b">
        <v>0</v>
      </c>
      <c r="AL42" s="66" t="s">
        <v>715</v>
      </c>
      <c r="AM42" s="66"/>
      <c r="AN42" s="97" t="s">
        <v>712</v>
      </c>
      <c r="AO42" s="66" t="b">
        <v>0</v>
      </c>
      <c r="AP42" s="66">
        <v>5</v>
      </c>
      <c r="AQ42" s="97" t="s">
        <v>712</v>
      </c>
      <c r="AR42" s="97" t="s">
        <v>717</v>
      </c>
      <c r="AS42" s="66" t="b">
        <v>0</v>
      </c>
      <c r="AT42" s="97" t="s">
        <v>613</v>
      </c>
      <c r="AU42" s="66" t="s">
        <v>241</v>
      </c>
      <c r="AV42" s="66">
        <v>0</v>
      </c>
      <c r="AW42" s="66">
        <v>0</v>
      </c>
      <c r="AX42" s="66"/>
      <c r="AY42" s="66"/>
      <c r="AZ42" s="66"/>
      <c r="BA42" s="66"/>
      <c r="BB42" s="66"/>
      <c r="BC42" s="66"/>
      <c r="BD42" s="66"/>
      <c r="BE42" s="66"/>
      <c r="BF42" s="45"/>
      <c r="BG42" s="46"/>
      <c r="BH42" s="45"/>
      <c r="BI42" s="46"/>
      <c r="BJ42" s="45"/>
      <c r="BK42" s="46"/>
      <c r="BL42" s="45"/>
      <c r="BM42" s="46"/>
      <c r="BN42" s="45"/>
    </row>
    <row r="43" spans="1:66" ht="15">
      <c r="A43" s="62" t="s">
        <v>302</v>
      </c>
      <c r="B43" s="62" t="s">
        <v>298</v>
      </c>
      <c r="C43" s="64"/>
      <c r="D43" s="67"/>
      <c r="E43" s="68"/>
      <c r="F43" s="69"/>
      <c r="G43" s="64"/>
      <c r="H43" s="70"/>
      <c r="I43" s="71"/>
      <c r="J43" s="71"/>
      <c r="K43" s="31" t="s">
        <v>66</v>
      </c>
      <c r="L43" s="79">
        <v>101</v>
      </c>
      <c r="M43" s="79"/>
      <c r="N43" s="73"/>
      <c r="O43" s="66">
        <v>1</v>
      </c>
      <c r="P43" s="63" t="str">
        <f>REPLACE(INDEX(GroupVertices[Group],MATCH(Edges25[[#This Row],[Vertex 1]],GroupVertices[Vertex],0)),1,1,"")</f>
        <v>1</v>
      </c>
      <c r="Q43" s="63" t="str">
        <f>REPLACE(INDEX(GroupVertices[Group],MATCH(Edges25[[#This Row],[Vertex 2]],GroupVertices[Vertex],0)),1,1,"")</f>
        <v>2</v>
      </c>
      <c r="R43" s="66" t="s">
        <v>317</v>
      </c>
      <c r="S43" s="91">
        <v>44876.452152777776</v>
      </c>
      <c r="T43" s="66" t="s">
        <v>338</v>
      </c>
      <c r="U43" s="94" t="str">
        <f>HYPERLINK("https://www.locomunicas.es/cumbre-internacional/")</f>
        <v>https://www.locomunicas.es/cumbre-internacional/</v>
      </c>
      <c r="V43" s="66" t="s">
        <v>410</v>
      </c>
      <c r="W43" s="97" t="s">
        <v>432</v>
      </c>
      <c r="X43" s="66"/>
      <c r="Y43" s="94" t="str">
        <f>HYPERLINK("https://pbs.twimg.com/profile_images/1054503139993440256/anuZLkr5_normal.jpg")</f>
        <v>https://pbs.twimg.com/profile_images/1054503139993440256/anuZLkr5_normal.jpg</v>
      </c>
      <c r="Z43" s="91">
        <v>44876.452152777776</v>
      </c>
      <c r="AA43" s="100">
        <v>44876</v>
      </c>
      <c r="AB43" s="97" t="s">
        <v>481</v>
      </c>
      <c r="AC43" s="94" t="str">
        <f>HYPERLINK("https://twitter.com/rosanaribera/status/1591020687967531010")</f>
        <v>https://twitter.com/rosanaribera/status/1591020687967531010</v>
      </c>
      <c r="AD43" s="66"/>
      <c r="AE43" s="66"/>
      <c r="AF43" s="97" t="s">
        <v>614</v>
      </c>
      <c r="AG43" s="66"/>
      <c r="AH43" s="66" t="b">
        <v>0</v>
      </c>
      <c r="AI43" s="66">
        <v>2</v>
      </c>
      <c r="AJ43" s="97" t="s">
        <v>712</v>
      </c>
      <c r="AK43" s="66" t="b">
        <v>0</v>
      </c>
      <c r="AL43" s="66" t="s">
        <v>715</v>
      </c>
      <c r="AM43" s="66"/>
      <c r="AN43" s="97" t="s">
        <v>712</v>
      </c>
      <c r="AO43" s="66" t="b">
        <v>0</v>
      </c>
      <c r="AP43" s="66">
        <v>2</v>
      </c>
      <c r="AQ43" s="97" t="s">
        <v>712</v>
      </c>
      <c r="AR43" s="97" t="s">
        <v>719</v>
      </c>
      <c r="AS43" s="66" t="b">
        <v>0</v>
      </c>
      <c r="AT43" s="97" t="s">
        <v>614</v>
      </c>
      <c r="AU43" s="66" t="s">
        <v>241</v>
      </c>
      <c r="AV43" s="66">
        <v>0</v>
      </c>
      <c r="AW43" s="66">
        <v>0</v>
      </c>
      <c r="AX43" s="66"/>
      <c r="AY43" s="66"/>
      <c r="AZ43" s="66"/>
      <c r="BA43" s="66"/>
      <c r="BB43" s="66"/>
      <c r="BC43" s="66"/>
      <c r="BD43" s="66"/>
      <c r="BE43" s="66"/>
      <c r="BF43" s="45">
        <v>0</v>
      </c>
      <c r="BG43" s="46">
        <v>0</v>
      </c>
      <c r="BH43" s="45">
        <v>0</v>
      </c>
      <c r="BI43" s="46">
        <v>0</v>
      </c>
      <c r="BJ43" s="45">
        <v>0</v>
      </c>
      <c r="BK43" s="46">
        <v>0</v>
      </c>
      <c r="BL43" s="45">
        <v>19</v>
      </c>
      <c r="BM43" s="46">
        <v>63.333333333333336</v>
      </c>
      <c r="BN43" s="45">
        <v>30</v>
      </c>
    </row>
    <row r="44" spans="1:66" ht="15">
      <c r="A44" s="62" t="s">
        <v>298</v>
      </c>
      <c r="B44" s="62" t="s">
        <v>302</v>
      </c>
      <c r="C44" s="64"/>
      <c r="D44" s="67"/>
      <c r="E44" s="68"/>
      <c r="F44" s="69"/>
      <c r="G44" s="64"/>
      <c r="H44" s="70"/>
      <c r="I44" s="71"/>
      <c r="J44" s="71"/>
      <c r="K44" s="31" t="s">
        <v>66</v>
      </c>
      <c r="L44" s="79">
        <v>104</v>
      </c>
      <c r="M44" s="79"/>
      <c r="N44" s="73"/>
      <c r="O44" s="66">
        <v>1</v>
      </c>
      <c r="P44" s="63" t="str">
        <f>REPLACE(INDEX(GroupVertices[Group],MATCH(Edges25[[#This Row],[Vertex 1]],GroupVertices[Vertex],0)),1,1,"")</f>
        <v>2</v>
      </c>
      <c r="Q44" s="63" t="str">
        <f>REPLACE(INDEX(GroupVertices[Group],MATCH(Edges25[[#This Row],[Vertex 2]],GroupVertices[Vertex],0)),1,1,"")</f>
        <v>1</v>
      </c>
      <c r="R44" s="66" t="s">
        <v>315</v>
      </c>
      <c r="S44" s="91">
        <v>44877.404756944445</v>
      </c>
      <c r="T44" s="66" t="s">
        <v>338</v>
      </c>
      <c r="U44" s="94" t="str">
        <f>HYPERLINK("https://www.locomunicas.es/cumbre-internacional/")</f>
        <v>https://www.locomunicas.es/cumbre-internacional/</v>
      </c>
      <c r="V44" s="66" t="s">
        <v>410</v>
      </c>
      <c r="W44" s="97" t="s">
        <v>432</v>
      </c>
      <c r="X44" s="66"/>
      <c r="Y44" s="94" t="str">
        <f>HYPERLINK("https://pbs.twimg.com/profile_images/1416462775400927235/DSrY8TK-_normal.jpg")</f>
        <v>https://pbs.twimg.com/profile_images/1416462775400927235/DSrY8TK-_normal.jpg</v>
      </c>
      <c r="Z44" s="91">
        <v>44877.404756944445</v>
      </c>
      <c r="AA44" s="100">
        <v>44877</v>
      </c>
      <c r="AB44" s="97" t="s">
        <v>482</v>
      </c>
      <c r="AC44" s="94" t="str">
        <f>HYPERLINK("https://twitter.com/transvisionmad1/status/1591365902465105920")</f>
        <v>https://twitter.com/transvisionmad1/status/1591365902465105920</v>
      </c>
      <c r="AD44" s="66"/>
      <c r="AE44" s="66"/>
      <c r="AF44" s="97" t="s">
        <v>615</v>
      </c>
      <c r="AG44" s="66"/>
      <c r="AH44" s="66" t="b">
        <v>0</v>
      </c>
      <c r="AI44" s="66">
        <v>0</v>
      </c>
      <c r="AJ44" s="97" t="s">
        <v>712</v>
      </c>
      <c r="AK44" s="66" t="b">
        <v>0</v>
      </c>
      <c r="AL44" s="66" t="s">
        <v>715</v>
      </c>
      <c r="AM44" s="66"/>
      <c r="AN44" s="97" t="s">
        <v>712</v>
      </c>
      <c r="AO44" s="66" t="b">
        <v>0</v>
      </c>
      <c r="AP44" s="66">
        <v>2</v>
      </c>
      <c r="AQ44" s="97" t="s">
        <v>614</v>
      </c>
      <c r="AR44" s="97" t="s">
        <v>717</v>
      </c>
      <c r="AS44" s="66" t="b">
        <v>0</v>
      </c>
      <c r="AT44" s="97" t="s">
        <v>614</v>
      </c>
      <c r="AU44" s="66" t="s">
        <v>241</v>
      </c>
      <c r="AV44" s="66">
        <v>0</v>
      </c>
      <c r="AW44" s="66">
        <v>0</v>
      </c>
      <c r="AX44" s="66"/>
      <c r="AY44" s="66"/>
      <c r="AZ44" s="66"/>
      <c r="BA44" s="66"/>
      <c r="BB44" s="66"/>
      <c r="BC44" s="66"/>
      <c r="BD44" s="66"/>
      <c r="BE44" s="66"/>
      <c r="BF44" s="45">
        <v>0</v>
      </c>
      <c r="BG44" s="46">
        <v>0</v>
      </c>
      <c r="BH44" s="45">
        <v>0</v>
      </c>
      <c r="BI44" s="46">
        <v>0</v>
      </c>
      <c r="BJ44" s="45">
        <v>0</v>
      </c>
      <c r="BK44" s="46">
        <v>0</v>
      </c>
      <c r="BL44" s="45">
        <v>19</v>
      </c>
      <c r="BM44" s="46">
        <v>63.333333333333336</v>
      </c>
      <c r="BN44" s="45">
        <v>30</v>
      </c>
    </row>
    <row r="45" spans="1:66" ht="15">
      <c r="A45" s="62" t="s">
        <v>296</v>
      </c>
      <c r="B45" s="62" t="s">
        <v>298</v>
      </c>
      <c r="C45" s="64"/>
      <c r="D45" s="67"/>
      <c r="E45" s="68"/>
      <c r="F45" s="69"/>
      <c r="G45" s="64"/>
      <c r="H45" s="70"/>
      <c r="I45" s="71"/>
      <c r="J45" s="71"/>
      <c r="K45" s="31" t="s">
        <v>66</v>
      </c>
      <c r="L45" s="79">
        <v>106</v>
      </c>
      <c r="M45" s="79"/>
      <c r="N45" s="73"/>
      <c r="O45" s="66">
        <v>3</v>
      </c>
      <c r="P45" s="63" t="str">
        <f>REPLACE(INDEX(GroupVertices[Group],MATCH(Edges25[[#This Row],[Vertex 1]],GroupVertices[Vertex],0)),1,1,"")</f>
        <v>3</v>
      </c>
      <c r="Q45" s="63" t="str">
        <f>REPLACE(INDEX(GroupVertices[Group],MATCH(Edges25[[#This Row],[Vertex 2]],GroupVertices[Vertex],0)),1,1,"")</f>
        <v>2</v>
      </c>
      <c r="R45" s="66" t="s">
        <v>315</v>
      </c>
      <c r="S45" s="91">
        <v>44877.46508101852</v>
      </c>
      <c r="T45" s="66" t="s">
        <v>339</v>
      </c>
      <c r="U45" s="94" t="str">
        <f>HYPERLINK("https://www.youtube.com/watch?v=xb0JCOgMsXc")</f>
        <v>https://www.youtube.com/watch?v=xb0JCOgMsXc</v>
      </c>
      <c r="V45" s="66" t="s">
        <v>403</v>
      </c>
      <c r="W45" s="97" t="s">
        <v>433</v>
      </c>
      <c r="X45" s="94" t="str">
        <f>HYPERLINK("https://pbs.twimg.com/media/FhW1XNFXgAACXVj.jpg")</f>
        <v>https://pbs.twimg.com/media/FhW1XNFXgAACXVj.jpg</v>
      </c>
      <c r="Y45" s="94" t="str">
        <f>HYPERLINK("https://pbs.twimg.com/media/FhW1XNFXgAACXVj.jpg")</f>
        <v>https://pbs.twimg.com/media/FhW1XNFXgAACXVj.jpg</v>
      </c>
      <c r="Z45" s="91">
        <v>44877.46508101852</v>
      </c>
      <c r="AA45" s="100">
        <v>44877</v>
      </c>
      <c r="AB45" s="97" t="s">
        <v>483</v>
      </c>
      <c r="AC45" s="94" t="str">
        <f>HYPERLINK("https://twitter.com/adsdulantoscott/status/1591387760287690754")</f>
        <v>https://twitter.com/adsdulantoscott/status/1591387760287690754</v>
      </c>
      <c r="AD45" s="66"/>
      <c r="AE45" s="66"/>
      <c r="AF45" s="97" t="s">
        <v>616</v>
      </c>
      <c r="AG45" s="66"/>
      <c r="AH45" s="66" t="b">
        <v>0</v>
      </c>
      <c r="AI45" s="66">
        <v>0</v>
      </c>
      <c r="AJ45" s="97" t="s">
        <v>712</v>
      </c>
      <c r="AK45" s="66" t="b">
        <v>0</v>
      </c>
      <c r="AL45" s="66" t="s">
        <v>715</v>
      </c>
      <c r="AM45" s="66"/>
      <c r="AN45" s="97" t="s">
        <v>712</v>
      </c>
      <c r="AO45" s="66" t="b">
        <v>0</v>
      </c>
      <c r="AP45" s="66">
        <v>2</v>
      </c>
      <c r="AQ45" s="97" t="s">
        <v>653</v>
      </c>
      <c r="AR45" s="97" t="s">
        <v>718</v>
      </c>
      <c r="AS45" s="66" t="b">
        <v>0</v>
      </c>
      <c r="AT45" s="97" t="s">
        <v>653</v>
      </c>
      <c r="AU45" s="66" t="s">
        <v>241</v>
      </c>
      <c r="AV45" s="66">
        <v>0</v>
      </c>
      <c r="AW45" s="66">
        <v>0</v>
      </c>
      <c r="AX45" s="66"/>
      <c r="AY45" s="66"/>
      <c r="AZ45" s="66"/>
      <c r="BA45" s="66"/>
      <c r="BB45" s="66"/>
      <c r="BC45" s="66"/>
      <c r="BD45" s="66"/>
      <c r="BE45" s="66"/>
      <c r="BF45" s="45">
        <v>0</v>
      </c>
      <c r="BG45" s="46">
        <v>0</v>
      </c>
      <c r="BH45" s="45">
        <v>0</v>
      </c>
      <c r="BI45" s="46">
        <v>0</v>
      </c>
      <c r="BJ45" s="45">
        <v>0</v>
      </c>
      <c r="BK45" s="46">
        <v>0</v>
      </c>
      <c r="BL45" s="45">
        <v>22</v>
      </c>
      <c r="BM45" s="46">
        <v>66.66666666666667</v>
      </c>
      <c r="BN45" s="45">
        <v>33</v>
      </c>
    </row>
    <row r="46" spans="1:66" ht="15">
      <c r="A46" s="62" t="s">
        <v>296</v>
      </c>
      <c r="B46" s="62" t="s">
        <v>298</v>
      </c>
      <c r="C46" s="64"/>
      <c r="D46" s="67"/>
      <c r="E46" s="68"/>
      <c r="F46" s="69"/>
      <c r="G46" s="64"/>
      <c r="H46" s="70"/>
      <c r="I46" s="71"/>
      <c r="J46" s="71"/>
      <c r="K46" s="31" t="s">
        <v>66</v>
      </c>
      <c r="L46" s="79">
        <v>120</v>
      </c>
      <c r="M46" s="79"/>
      <c r="N46" s="73"/>
      <c r="O46" s="66">
        <v>3</v>
      </c>
      <c r="P46" s="63" t="str">
        <f>REPLACE(INDEX(GroupVertices[Group],MATCH(Edges25[[#This Row],[Vertex 1]],GroupVertices[Vertex],0)),1,1,"")</f>
        <v>3</v>
      </c>
      <c r="Q46" s="63" t="str">
        <f>REPLACE(INDEX(GroupVertices[Group],MATCH(Edges25[[#This Row],[Vertex 2]],GroupVertices[Vertex],0)),1,1,"")</f>
        <v>2</v>
      </c>
      <c r="R46" s="66" t="s">
        <v>315</v>
      </c>
      <c r="S46" s="91">
        <v>44878.65078703704</v>
      </c>
      <c r="T46" s="66" t="s">
        <v>337</v>
      </c>
      <c r="U46" s="94" t="str">
        <f>HYPERLINK("https://www.youtube.com/c/AlianzaFuturista/streams")</f>
        <v>https://www.youtube.com/c/AlianzaFuturista/streams</v>
      </c>
      <c r="V46" s="66" t="s">
        <v>403</v>
      </c>
      <c r="W46" s="97" t="s">
        <v>429</v>
      </c>
      <c r="X46" s="94" t="str">
        <f>HYPERLINK("https://pbs.twimg.com/media/FhbRBMWWYAACddn.jpg")</f>
        <v>https://pbs.twimg.com/media/FhbRBMWWYAACddn.jpg</v>
      </c>
      <c r="Y46" s="94" t="str">
        <f>HYPERLINK("https://pbs.twimg.com/media/FhbRBMWWYAACddn.jpg")</f>
        <v>https://pbs.twimg.com/media/FhbRBMWWYAACddn.jpg</v>
      </c>
      <c r="Z46" s="91">
        <v>44878.65078703704</v>
      </c>
      <c r="AA46" s="100">
        <v>44878</v>
      </c>
      <c r="AB46" s="97" t="s">
        <v>484</v>
      </c>
      <c r="AC46" s="94" t="str">
        <f>HYPERLINK("https://twitter.com/adsdulantoscott/status/1591817446129897474")</f>
        <v>https://twitter.com/adsdulantoscott/status/1591817446129897474</v>
      </c>
      <c r="AD46" s="66"/>
      <c r="AE46" s="66"/>
      <c r="AF46" s="97" t="s">
        <v>617</v>
      </c>
      <c r="AG46" s="66"/>
      <c r="AH46" s="66" t="b">
        <v>0</v>
      </c>
      <c r="AI46" s="66">
        <v>0</v>
      </c>
      <c r="AJ46" s="97" t="s">
        <v>712</v>
      </c>
      <c r="AK46" s="66" t="b">
        <v>0</v>
      </c>
      <c r="AL46" s="66" t="s">
        <v>714</v>
      </c>
      <c r="AM46" s="66"/>
      <c r="AN46" s="97" t="s">
        <v>712</v>
      </c>
      <c r="AO46" s="66" t="b">
        <v>0</v>
      </c>
      <c r="AP46" s="66">
        <v>2</v>
      </c>
      <c r="AQ46" s="97" t="s">
        <v>661</v>
      </c>
      <c r="AR46" s="97" t="s">
        <v>718</v>
      </c>
      <c r="AS46" s="66" t="b">
        <v>0</v>
      </c>
      <c r="AT46" s="97" t="s">
        <v>661</v>
      </c>
      <c r="AU46" s="66" t="s">
        <v>241</v>
      </c>
      <c r="AV46" s="66">
        <v>0</v>
      </c>
      <c r="AW46" s="66">
        <v>0</v>
      </c>
      <c r="AX46" s="66"/>
      <c r="AY46" s="66"/>
      <c r="AZ46" s="66"/>
      <c r="BA46" s="66"/>
      <c r="BB46" s="66"/>
      <c r="BC46" s="66"/>
      <c r="BD46" s="66"/>
      <c r="BE46" s="66"/>
      <c r="BF46" s="45">
        <v>0</v>
      </c>
      <c r="BG46" s="46">
        <v>0</v>
      </c>
      <c r="BH46" s="45">
        <v>0</v>
      </c>
      <c r="BI46" s="46">
        <v>0</v>
      </c>
      <c r="BJ46" s="45">
        <v>0</v>
      </c>
      <c r="BK46" s="46">
        <v>0</v>
      </c>
      <c r="BL46" s="45">
        <v>19</v>
      </c>
      <c r="BM46" s="46">
        <v>59.375</v>
      </c>
      <c r="BN46" s="45">
        <v>32</v>
      </c>
    </row>
    <row r="47" spans="1:66" ht="15">
      <c r="A47" s="62" t="s">
        <v>303</v>
      </c>
      <c r="B47" s="62" t="s">
        <v>304</v>
      </c>
      <c r="C47" s="64"/>
      <c r="D47" s="67"/>
      <c r="E47" s="68"/>
      <c r="F47" s="69"/>
      <c r="G47" s="64"/>
      <c r="H47" s="70"/>
      <c r="I47" s="71"/>
      <c r="J47" s="71"/>
      <c r="K47" s="31" t="s">
        <v>65</v>
      </c>
      <c r="L47" s="79">
        <v>127</v>
      </c>
      <c r="M47" s="79"/>
      <c r="N47" s="73"/>
      <c r="O47" s="66">
        <v>1</v>
      </c>
      <c r="P47" s="63" t="str">
        <f>REPLACE(INDEX(GroupVertices[Group],MATCH(Edges25[[#This Row],[Vertex 1]],GroupVertices[Vertex],0)),1,1,"")</f>
        <v>5</v>
      </c>
      <c r="Q47" s="63" t="str">
        <f>REPLACE(INDEX(GroupVertices[Group],MATCH(Edges25[[#This Row],[Vertex 2]],GroupVertices[Vertex],0)),1,1,"")</f>
        <v>5</v>
      </c>
      <c r="R47" s="66" t="s">
        <v>315</v>
      </c>
      <c r="S47" s="91">
        <v>44877.45737268519</v>
      </c>
      <c r="T47" s="66" t="s">
        <v>318</v>
      </c>
      <c r="U47" s="66"/>
      <c r="V47" s="66"/>
      <c r="W47" s="97" t="s">
        <v>421</v>
      </c>
      <c r="X47" s="94" t="str">
        <f>HYPERLINK("https://pbs.twimg.com/media/FhWdWZuXwAAO13Y.jpg")</f>
        <v>https://pbs.twimg.com/media/FhWdWZuXwAAO13Y.jpg</v>
      </c>
      <c r="Y47" s="94" t="str">
        <f>HYPERLINK("https://pbs.twimg.com/media/FhWdWZuXwAAO13Y.jpg")</f>
        <v>https://pbs.twimg.com/media/FhWdWZuXwAAO13Y.jpg</v>
      </c>
      <c r="Z47" s="91">
        <v>44877.45737268519</v>
      </c>
      <c r="AA47" s="100">
        <v>44877</v>
      </c>
      <c r="AB47" s="97" t="s">
        <v>485</v>
      </c>
      <c r="AC47" s="94" t="str">
        <f>HYPERLINK("https://twitter.com/kgomotsegoram/status/1591384969460723712")</f>
        <v>https://twitter.com/kgomotsegoram/status/1591384969460723712</v>
      </c>
      <c r="AD47" s="66"/>
      <c r="AE47" s="66"/>
      <c r="AF47" s="97" t="s">
        <v>618</v>
      </c>
      <c r="AG47" s="66"/>
      <c r="AH47" s="66" t="b">
        <v>0</v>
      </c>
      <c r="AI47" s="66">
        <v>0</v>
      </c>
      <c r="AJ47" s="97" t="s">
        <v>712</v>
      </c>
      <c r="AK47" s="66" t="b">
        <v>0</v>
      </c>
      <c r="AL47" s="66" t="s">
        <v>714</v>
      </c>
      <c r="AM47" s="66"/>
      <c r="AN47" s="97" t="s">
        <v>712</v>
      </c>
      <c r="AO47" s="66" t="b">
        <v>0</v>
      </c>
      <c r="AP47" s="66">
        <v>6</v>
      </c>
      <c r="AQ47" s="97" t="s">
        <v>638</v>
      </c>
      <c r="AR47" s="97" t="s">
        <v>718</v>
      </c>
      <c r="AS47" s="66" t="b">
        <v>0</v>
      </c>
      <c r="AT47" s="97" t="s">
        <v>638</v>
      </c>
      <c r="AU47" s="66" t="s">
        <v>241</v>
      </c>
      <c r="AV47" s="66">
        <v>0</v>
      </c>
      <c r="AW47" s="66">
        <v>0</v>
      </c>
      <c r="AX47" s="66"/>
      <c r="AY47" s="66"/>
      <c r="AZ47" s="66"/>
      <c r="BA47" s="66"/>
      <c r="BB47" s="66"/>
      <c r="BC47" s="66"/>
      <c r="BD47" s="66"/>
      <c r="BE47" s="66"/>
      <c r="BF47" s="45">
        <v>0</v>
      </c>
      <c r="BG47" s="46">
        <v>0</v>
      </c>
      <c r="BH47" s="45">
        <v>0</v>
      </c>
      <c r="BI47" s="46">
        <v>0</v>
      </c>
      <c r="BJ47" s="45">
        <v>0</v>
      </c>
      <c r="BK47" s="46">
        <v>0</v>
      </c>
      <c r="BL47" s="45">
        <v>5</v>
      </c>
      <c r="BM47" s="46">
        <v>83.33333333333333</v>
      </c>
      <c r="BN47" s="45">
        <v>6</v>
      </c>
    </row>
    <row r="48" spans="1:66" ht="15">
      <c r="A48" s="62" t="s">
        <v>303</v>
      </c>
      <c r="B48" s="62" t="s">
        <v>297</v>
      </c>
      <c r="C48" s="64"/>
      <c r="D48" s="67"/>
      <c r="E48" s="68"/>
      <c r="F48" s="69"/>
      <c r="G48" s="64"/>
      <c r="H48" s="70"/>
      <c r="I48" s="71"/>
      <c r="J48" s="71"/>
      <c r="K48" s="31" t="s">
        <v>66</v>
      </c>
      <c r="L48" s="79">
        <v>128</v>
      </c>
      <c r="M48" s="79"/>
      <c r="N48" s="73"/>
      <c r="O48" s="66">
        <v>1</v>
      </c>
      <c r="P48" s="63" t="str">
        <f>REPLACE(INDEX(GroupVertices[Group],MATCH(Edges25[[#This Row],[Vertex 1]],GroupVertices[Vertex],0)),1,1,"")</f>
        <v>5</v>
      </c>
      <c r="Q48" s="63" t="str">
        <f>REPLACE(INDEX(GroupVertices[Group],MATCH(Edges25[[#This Row],[Vertex 2]],GroupVertices[Vertex],0)),1,1,"")</f>
        <v>1</v>
      </c>
      <c r="R48" s="66" t="s">
        <v>315</v>
      </c>
      <c r="S48" s="91">
        <v>44879.331921296296</v>
      </c>
      <c r="T48" s="66" t="s">
        <v>340</v>
      </c>
      <c r="U48" s="94" t="str">
        <f>HYPERLINK("https://twitter.com/kgomotsegoRam/status/1591376302753607680")</f>
        <v>https://twitter.com/kgomotsegoRam/status/1591376302753607680</v>
      </c>
      <c r="V48" s="66" t="s">
        <v>411</v>
      </c>
      <c r="W48" s="97" t="s">
        <v>421</v>
      </c>
      <c r="X48" s="94" t="str">
        <f>HYPERLINK("https://pbs.twimg.com/media/FhXmbl-XkAUqSzZ.jpg")</f>
        <v>https://pbs.twimg.com/media/FhXmbl-XkAUqSzZ.jpg</v>
      </c>
      <c r="Y48" s="94" t="str">
        <f>HYPERLINK("https://pbs.twimg.com/media/FhXmbl-XkAUqSzZ.jpg")</f>
        <v>https://pbs.twimg.com/media/FhXmbl-XkAUqSzZ.jpg</v>
      </c>
      <c r="Z48" s="91">
        <v>44879.331921296296</v>
      </c>
      <c r="AA48" s="100">
        <v>44879</v>
      </c>
      <c r="AB48" s="97" t="s">
        <v>486</v>
      </c>
      <c r="AC48" s="94" t="str">
        <f>HYPERLINK("https://twitter.com/kgomotsegoram/status/1592064281201332226")</f>
        <v>https://twitter.com/kgomotsegoram/status/1592064281201332226</v>
      </c>
      <c r="AD48" s="66"/>
      <c r="AE48" s="66"/>
      <c r="AF48" s="97" t="s">
        <v>619</v>
      </c>
      <c r="AG48" s="66"/>
      <c r="AH48" s="66" t="b">
        <v>0</v>
      </c>
      <c r="AI48" s="66">
        <v>0</v>
      </c>
      <c r="AJ48" s="97" t="s">
        <v>712</v>
      </c>
      <c r="AK48" s="66" t="b">
        <v>1</v>
      </c>
      <c r="AL48" s="66" t="s">
        <v>714</v>
      </c>
      <c r="AM48" s="66"/>
      <c r="AN48" s="97" t="s">
        <v>716</v>
      </c>
      <c r="AO48" s="66" t="b">
        <v>0</v>
      </c>
      <c r="AP48" s="66">
        <v>2</v>
      </c>
      <c r="AQ48" s="97" t="s">
        <v>620</v>
      </c>
      <c r="AR48" s="97" t="s">
        <v>719</v>
      </c>
      <c r="AS48" s="66" t="b">
        <v>0</v>
      </c>
      <c r="AT48" s="97" t="s">
        <v>620</v>
      </c>
      <c r="AU48" s="66" t="s">
        <v>241</v>
      </c>
      <c r="AV48" s="66">
        <v>0</v>
      </c>
      <c r="AW48" s="66">
        <v>0</v>
      </c>
      <c r="AX48" s="66"/>
      <c r="AY48" s="66"/>
      <c r="AZ48" s="66"/>
      <c r="BA48" s="66"/>
      <c r="BB48" s="66"/>
      <c r="BC48" s="66"/>
      <c r="BD48" s="66"/>
      <c r="BE48" s="66"/>
      <c r="BF48" s="45">
        <v>1</v>
      </c>
      <c r="BG48" s="46">
        <v>25</v>
      </c>
      <c r="BH48" s="45">
        <v>0</v>
      </c>
      <c r="BI48" s="46">
        <v>0</v>
      </c>
      <c r="BJ48" s="45">
        <v>0</v>
      </c>
      <c r="BK48" s="46">
        <v>0</v>
      </c>
      <c r="BL48" s="45">
        <v>2</v>
      </c>
      <c r="BM48" s="46">
        <v>50</v>
      </c>
      <c r="BN48" s="45">
        <v>4</v>
      </c>
    </row>
    <row r="49" spans="1:66" ht="15">
      <c r="A49" s="62" t="s">
        <v>297</v>
      </c>
      <c r="B49" s="62" t="s">
        <v>303</v>
      </c>
      <c r="C49" s="64"/>
      <c r="D49" s="67"/>
      <c r="E49" s="68"/>
      <c r="F49" s="69"/>
      <c r="G49" s="64"/>
      <c r="H49" s="70"/>
      <c r="I49" s="71"/>
      <c r="J49" s="71"/>
      <c r="K49" s="31" t="s">
        <v>66</v>
      </c>
      <c r="L49" s="79">
        <v>129</v>
      </c>
      <c r="M49" s="79"/>
      <c r="N49" s="73"/>
      <c r="O49" s="66">
        <v>1</v>
      </c>
      <c r="P49" s="63" t="str">
        <f>REPLACE(INDEX(GroupVertices[Group],MATCH(Edges25[[#This Row],[Vertex 1]],GroupVertices[Vertex],0)),1,1,"")</f>
        <v>1</v>
      </c>
      <c r="Q49" s="63" t="str">
        <f>REPLACE(INDEX(GroupVertices[Group],MATCH(Edges25[[#This Row],[Vertex 2]],GroupVertices[Vertex],0)),1,1,"")</f>
        <v>5</v>
      </c>
      <c r="R49" s="66" t="s">
        <v>317</v>
      </c>
      <c r="S49" s="91">
        <v>44877.58607638889</v>
      </c>
      <c r="T49" s="66" t="s">
        <v>340</v>
      </c>
      <c r="U49" s="94" t="str">
        <f>HYPERLINK("https://twitter.com/kgomotsegoRam/status/1591376302753607680")</f>
        <v>https://twitter.com/kgomotsegoRam/status/1591376302753607680</v>
      </c>
      <c r="V49" s="66" t="s">
        <v>411</v>
      </c>
      <c r="W49" s="97" t="s">
        <v>421</v>
      </c>
      <c r="X49" s="94" t="str">
        <f>HYPERLINK("https://pbs.twimg.com/media/FhXmbl-XkAUqSzZ.jpg")</f>
        <v>https://pbs.twimg.com/media/FhXmbl-XkAUqSzZ.jpg</v>
      </c>
      <c r="Y49" s="94" t="str">
        <f>HYPERLINK("https://pbs.twimg.com/media/FhXmbl-XkAUqSzZ.jpg")</f>
        <v>https://pbs.twimg.com/media/FhXmbl-XkAUqSzZ.jpg</v>
      </c>
      <c r="Z49" s="91">
        <v>44877.58607638889</v>
      </c>
      <c r="AA49" s="100">
        <v>44877</v>
      </c>
      <c r="AB49" s="97" t="s">
        <v>487</v>
      </c>
      <c r="AC49" s="94" t="str">
        <f>HYPERLINK("https://twitter.com/hashtagmarketi7/status/1591431609135550464")</f>
        <v>https://twitter.com/hashtagmarketi7/status/1591431609135550464</v>
      </c>
      <c r="AD49" s="66"/>
      <c r="AE49" s="66"/>
      <c r="AF49" s="97" t="s">
        <v>620</v>
      </c>
      <c r="AG49" s="66"/>
      <c r="AH49" s="66" t="b">
        <v>0</v>
      </c>
      <c r="AI49" s="66">
        <v>2</v>
      </c>
      <c r="AJ49" s="97" t="s">
        <v>712</v>
      </c>
      <c r="AK49" s="66" t="b">
        <v>1</v>
      </c>
      <c r="AL49" s="66" t="s">
        <v>714</v>
      </c>
      <c r="AM49" s="66"/>
      <c r="AN49" s="97" t="s">
        <v>716</v>
      </c>
      <c r="AO49" s="66" t="b">
        <v>0</v>
      </c>
      <c r="AP49" s="66">
        <v>2</v>
      </c>
      <c r="AQ49" s="97" t="s">
        <v>712</v>
      </c>
      <c r="AR49" s="97" t="s">
        <v>717</v>
      </c>
      <c r="AS49" s="66" t="b">
        <v>0</v>
      </c>
      <c r="AT49" s="97" t="s">
        <v>620</v>
      </c>
      <c r="AU49" s="66" t="s">
        <v>241</v>
      </c>
      <c r="AV49" s="66">
        <v>0</v>
      </c>
      <c r="AW49" s="66">
        <v>0</v>
      </c>
      <c r="AX49" s="66"/>
      <c r="AY49" s="66"/>
      <c r="AZ49" s="66"/>
      <c r="BA49" s="66"/>
      <c r="BB49" s="66"/>
      <c r="BC49" s="66"/>
      <c r="BD49" s="66"/>
      <c r="BE49" s="66"/>
      <c r="BF49" s="45">
        <v>1</v>
      </c>
      <c r="BG49" s="46">
        <v>25</v>
      </c>
      <c r="BH49" s="45">
        <v>0</v>
      </c>
      <c r="BI49" s="46">
        <v>0</v>
      </c>
      <c r="BJ49" s="45">
        <v>0</v>
      </c>
      <c r="BK49" s="46">
        <v>0</v>
      </c>
      <c r="BL49" s="45">
        <v>2</v>
      </c>
      <c r="BM49" s="46">
        <v>50</v>
      </c>
      <c r="BN49" s="45">
        <v>4</v>
      </c>
    </row>
    <row r="50" spans="1:66" ht="15">
      <c r="A50" s="62" t="s">
        <v>298</v>
      </c>
      <c r="B50" s="62" t="s">
        <v>303</v>
      </c>
      <c r="C50" s="64"/>
      <c r="D50" s="67"/>
      <c r="E50" s="68"/>
      <c r="F50" s="69"/>
      <c r="G50" s="64"/>
      <c r="H50" s="70"/>
      <c r="I50" s="71"/>
      <c r="J50" s="71"/>
      <c r="K50" s="31" t="s">
        <v>65</v>
      </c>
      <c r="L50" s="79">
        <v>130</v>
      </c>
      <c r="M50" s="79"/>
      <c r="N50" s="73"/>
      <c r="O50" s="66">
        <v>1</v>
      </c>
      <c r="P50" s="63" t="str">
        <f>REPLACE(INDEX(GroupVertices[Group],MATCH(Edges25[[#This Row],[Vertex 1]],GroupVertices[Vertex],0)),1,1,"")</f>
        <v>2</v>
      </c>
      <c r="Q50" s="63" t="str">
        <f>REPLACE(INDEX(GroupVertices[Group],MATCH(Edges25[[#This Row],[Vertex 2]],GroupVertices[Vertex],0)),1,1,"")</f>
        <v>5</v>
      </c>
      <c r="R50" s="66" t="s">
        <v>316</v>
      </c>
      <c r="S50" s="91">
        <v>44877.606203703705</v>
      </c>
      <c r="T50" s="66" t="s">
        <v>340</v>
      </c>
      <c r="U50" s="94" t="str">
        <f>HYPERLINK("https://twitter.com/kgomotsegoRam/status/1591376302753607680")</f>
        <v>https://twitter.com/kgomotsegoRam/status/1591376302753607680</v>
      </c>
      <c r="V50" s="66" t="s">
        <v>411</v>
      </c>
      <c r="W50" s="97" t="s">
        <v>421</v>
      </c>
      <c r="X50" s="94" t="str">
        <f>HYPERLINK("https://pbs.twimg.com/media/FhXmbl-XkAUqSzZ.jpg")</f>
        <v>https://pbs.twimg.com/media/FhXmbl-XkAUqSzZ.jpg</v>
      </c>
      <c r="Y50" s="94" t="str">
        <f>HYPERLINK("https://pbs.twimg.com/media/FhXmbl-XkAUqSzZ.jpg")</f>
        <v>https://pbs.twimg.com/media/FhXmbl-XkAUqSzZ.jpg</v>
      </c>
      <c r="Z50" s="91">
        <v>44877.606203703705</v>
      </c>
      <c r="AA50" s="100">
        <v>44877</v>
      </c>
      <c r="AB50" s="97" t="s">
        <v>488</v>
      </c>
      <c r="AC50" s="94" t="str">
        <f>HYPERLINK("https://twitter.com/transvisionmad1/status/1591438903516561414")</f>
        <v>https://twitter.com/transvisionmad1/status/1591438903516561414</v>
      </c>
      <c r="AD50" s="66"/>
      <c r="AE50" s="66"/>
      <c r="AF50" s="97" t="s">
        <v>621</v>
      </c>
      <c r="AG50" s="66"/>
      <c r="AH50" s="66" t="b">
        <v>0</v>
      </c>
      <c r="AI50" s="66">
        <v>0</v>
      </c>
      <c r="AJ50" s="97" t="s">
        <v>712</v>
      </c>
      <c r="AK50" s="66" t="b">
        <v>1</v>
      </c>
      <c r="AL50" s="66" t="s">
        <v>714</v>
      </c>
      <c r="AM50" s="66"/>
      <c r="AN50" s="97" t="s">
        <v>716</v>
      </c>
      <c r="AO50" s="66" t="b">
        <v>0</v>
      </c>
      <c r="AP50" s="66">
        <v>2</v>
      </c>
      <c r="AQ50" s="97" t="s">
        <v>620</v>
      </c>
      <c r="AR50" s="97" t="s">
        <v>717</v>
      </c>
      <c r="AS50" s="66" t="b">
        <v>0</v>
      </c>
      <c r="AT50" s="97" t="s">
        <v>620</v>
      </c>
      <c r="AU50" s="66" t="s">
        <v>241</v>
      </c>
      <c r="AV50" s="66">
        <v>0</v>
      </c>
      <c r="AW50" s="66">
        <v>0</v>
      </c>
      <c r="AX50" s="66"/>
      <c r="AY50" s="66"/>
      <c r="AZ50" s="66"/>
      <c r="BA50" s="66"/>
      <c r="BB50" s="66"/>
      <c r="BC50" s="66"/>
      <c r="BD50" s="66"/>
      <c r="BE50" s="66"/>
      <c r="BF50" s="45">
        <v>1</v>
      </c>
      <c r="BG50" s="46">
        <v>25</v>
      </c>
      <c r="BH50" s="45">
        <v>0</v>
      </c>
      <c r="BI50" s="46">
        <v>0</v>
      </c>
      <c r="BJ50" s="45">
        <v>0</v>
      </c>
      <c r="BK50" s="46">
        <v>0</v>
      </c>
      <c r="BL50" s="45">
        <v>2</v>
      </c>
      <c r="BM50" s="46">
        <v>50</v>
      </c>
      <c r="BN50" s="45">
        <v>4</v>
      </c>
    </row>
    <row r="51" spans="1:66" ht="15">
      <c r="A51" s="62" t="s">
        <v>297</v>
      </c>
      <c r="B51" s="62" t="s">
        <v>307</v>
      </c>
      <c r="C51" s="64"/>
      <c r="D51" s="67"/>
      <c r="E51" s="68"/>
      <c r="F51" s="69"/>
      <c r="G51" s="64"/>
      <c r="H51" s="70"/>
      <c r="I51" s="71"/>
      <c r="J51" s="71"/>
      <c r="K51" s="31" t="s">
        <v>65</v>
      </c>
      <c r="L51" s="79">
        <v>141</v>
      </c>
      <c r="M51" s="79"/>
      <c r="N51" s="73"/>
      <c r="O51" s="66">
        <v>2</v>
      </c>
      <c r="P51" s="63" t="str">
        <f>REPLACE(INDEX(GroupVertices[Group],MATCH(Edges25[[#This Row],[Vertex 1]],GroupVertices[Vertex],0)),1,1,"")</f>
        <v>1</v>
      </c>
      <c r="Q51" s="63" t="str">
        <f>REPLACE(INDEX(GroupVertices[Group],MATCH(Edges25[[#This Row],[Vertex 2]],GroupVertices[Vertex],0)),1,1,"")</f>
        <v>3</v>
      </c>
      <c r="R51" s="66" t="s">
        <v>316</v>
      </c>
      <c r="S51" s="91">
        <v>44877.52835648148</v>
      </c>
      <c r="T51" s="66" t="s">
        <v>341</v>
      </c>
      <c r="U51" s="94" t="str">
        <f>HYPERLINK("https://www.youtube.com/watch?v=xb0JCOgMsXc")</f>
        <v>https://www.youtube.com/watch?v=xb0JCOgMsXc</v>
      </c>
      <c r="V51" s="66" t="s">
        <v>403</v>
      </c>
      <c r="W51" s="97" t="s">
        <v>421</v>
      </c>
      <c r="X51" s="66"/>
      <c r="Y51" s="94" t="str">
        <f>HYPERLINK("https://pbs.twimg.com/profile_images/1487756429276684289/Kqq9xAOb_normal.png")</f>
        <v>https://pbs.twimg.com/profile_images/1487756429276684289/Kqq9xAOb_normal.png</v>
      </c>
      <c r="Z51" s="91">
        <v>44877.52835648148</v>
      </c>
      <c r="AA51" s="100">
        <v>44877</v>
      </c>
      <c r="AB51" s="97" t="s">
        <v>489</v>
      </c>
      <c r="AC51" s="94" t="str">
        <f>HYPERLINK("https://twitter.com/hashtagmarketi7/status/1591410690664931328")</f>
        <v>https://twitter.com/hashtagmarketi7/status/1591410690664931328</v>
      </c>
      <c r="AD51" s="66"/>
      <c r="AE51" s="66"/>
      <c r="AF51" s="97" t="s">
        <v>622</v>
      </c>
      <c r="AG51" s="66"/>
      <c r="AH51" s="66" t="b">
        <v>0</v>
      </c>
      <c r="AI51" s="66">
        <v>0</v>
      </c>
      <c r="AJ51" s="97" t="s">
        <v>712</v>
      </c>
      <c r="AK51" s="66" t="b">
        <v>0</v>
      </c>
      <c r="AL51" s="66" t="s">
        <v>715</v>
      </c>
      <c r="AM51" s="66"/>
      <c r="AN51" s="97" t="s">
        <v>712</v>
      </c>
      <c r="AO51" s="66" t="b">
        <v>0</v>
      </c>
      <c r="AP51" s="66">
        <v>1</v>
      </c>
      <c r="AQ51" s="97" t="s">
        <v>633</v>
      </c>
      <c r="AR51" s="97" t="s">
        <v>717</v>
      </c>
      <c r="AS51" s="66" t="b">
        <v>0</v>
      </c>
      <c r="AT51" s="97" t="s">
        <v>633</v>
      </c>
      <c r="AU51" s="66" t="s">
        <v>241</v>
      </c>
      <c r="AV51" s="66">
        <v>0</v>
      </c>
      <c r="AW51" s="66">
        <v>0</v>
      </c>
      <c r="AX51" s="66"/>
      <c r="AY51" s="66"/>
      <c r="AZ51" s="66"/>
      <c r="BA51" s="66"/>
      <c r="BB51" s="66"/>
      <c r="BC51" s="66"/>
      <c r="BD51" s="66"/>
      <c r="BE51" s="66"/>
      <c r="BF51" s="45"/>
      <c r="BG51" s="46"/>
      <c r="BH51" s="45"/>
      <c r="BI51" s="46"/>
      <c r="BJ51" s="45"/>
      <c r="BK51" s="46"/>
      <c r="BL51" s="45"/>
      <c r="BM51" s="46"/>
      <c r="BN51" s="45"/>
    </row>
    <row r="52" spans="1:66" ht="15">
      <c r="A52" s="62" t="s">
        <v>297</v>
      </c>
      <c r="B52" s="62" t="s">
        <v>298</v>
      </c>
      <c r="C52" s="64"/>
      <c r="D52" s="67"/>
      <c r="E52" s="68"/>
      <c r="F52" s="69"/>
      <c r="G52" s="64"/>
      <c r="H52" s="70"/>
      <c r="I52" s="71"/>
      <c r="J52" s="71"/>
      <c r="K52" s="31" t="s">
        <v>66</v>
      </c>
      <c r="L52" s="79">
        <v>144</v>
      </c>
      <c r="M52" s="79"/>
      <c r="N52" s="73"/>
      <c r="O52" s="66">
        <v>4</v>
      </c>
      <c r="P52" s="63" t="str">
        <f>REPLACE(INDEX(GroupVertices[Group],MATCH(Edges25[[#This Row],[Vertex 1]],GroupVertices[Vertex],0)),1,1,"")</f>
        <v>1</v>
      </c>
      <c r="Q52" s="63" t="str">
        <f>REPLACE(INDEX(GroupVertices[Group],MATCH(Edges25[[#This Row],[Vertex 2]],GroupVertices[Vertex],0)),1,1,"")</f>
        <v>2</v>
      </c>
      <c r="R52" s="66" t="s">
        <v>315</v>
      </c>
      <c r="S52" s="91">
        <v>44877.58372685185</v>
      </c>
      <c r="T52" s="66" t="s">
        <v>339</v>
      </c>
      <c r="U52" s="94" t="str">
        <f>HYPERLINK("https://www.youtube.com/watch?v=xb0JCOgMsXc")</f>
        <v>https://www.youtube.com/watch?v=xb0JCOgMsXc</v>
      </c>
      <c r="V52" s="66" t="s">
        <v>403</v>
      </c>
      <c r="W52" s="97" t="s">
        <v>433</v>
      </c>
      <c r="X52" s="94" t="str">
        <f>HYPERLINK("https://pbs.twimg.com/media/FhW1XNFXgAACXVj.jpg")</f>
        <v>https://pbs.twimg.com/media/FhW1XNFXgAACXVj.jpg</v>
      </c>
      <c r="Y52" s="94" t="str">
        <f>HYPERLINK("https://pbs.twimg.com/media/FhW1XNFXgAACXVj.jpg")</f>
        <v>https://pbs.twimg.com/media/FhW1XNFXgAACXVj.jpg</v>
      </c>
      <c r="Z52" s="91">
        <v>44877.58372685185</v>
      </c>
      <c r="AA52" s="100">
        <v>44877</v>
      </c>
      <c r="AB52" s="97" t="s">
        <v>490</v>
      </c>
      <c r="AC52" s="94" t="str">
        <f>HYPERLINK("https://twitter.com/hashtagmarketi7/status/1591430757985271812")</f>
        <v>https://twitter.com/hashtagmarketi7/status/1591430757985271812</v>
      </c>
      <c r="AD52" s="66"/>
      <c r="AE52" s="66"/>
      <c r="AF52" s="97" t="s">
        <v>623</v>
      </c>
      <c r="AG52" s="66"/>
      <c r="AH52" s="66" t="b">
        <v>0</v>
      </c>
      <c r="AI52" s="66">
        <v>0</v>
      </c>
      <c r="AJ52" s="97" t="s">
        <v>712</v>
      </c>
      <c r="AK52" s="66" t="b">
        <v>0</v>
      </c>
      <c r="AL52" s="66" t="s">
        <v>715</v>
      </c>
      <c r="AM52" s="66"/>
      <c r="AN52" s="97" t="s">
        <v>712</v>
      </c>
      <c r="AO52" s="66" t="b">
        <v>0</v>
      </c>
      <c r="AP52" s="66">
        <v>2</v>
      </c>
      <c r="AQ52" s="97" t="s">
        <v>653</v>
      </c>
      <c r="AR52" s="97" t="s">
        <v>717</v>
      </c>
      <c r="AS52" s="66" t="b">
        <v>0</v>
      </c>
      <c r="AT52" s="97" t="s">
        <v>653</v>
      </c>
      <c r="AU52" s="66" t="s">
        <v>241</v>
      </c>
      <c r="AV52" s="66">
        <v>0</v>
      </c>
      <c r="AW52" s="66">
        <v>0</v>
      </c>
      <c r="AX52" s="66"/>
      <c r="AY52" s="66"/>
      <c r="AZ52" s="66"/>
      <c r="BA52" s="66"/>
      <c r="BB52" s="66"/>
      <c r="BC52" s="66"/>
      <c r="BD52" s="66"/>
      <c r="BE52" s="66"/>
      <c r="BF52" s="45">
        <v>0</v>
      </c>
      <c r="BG52" s="46">
        <v>0</v>
      </c>
      <c r="BH52" s="45">
        <v>0</v>
      </c>
      <c r="BI52" s="46">
        <v>0</v>
      </c>
      <c r="BJ52" s="45">
        <v>0</v>
      </c>
      <c r="BK52" s="46">
        <v>0</v>
      </c>
      <c r="BL52" s="45">
        <v>22</v>
      </c>
      <c r="BM52" s="46">
        <v>66.66666666666667</v>
      </c>
      <c r="BN52" s="45">
        <v>33</v>
      </c>
    </row>
    <row r="53" spans="1:66" ht="15">
      <c r="A53" s="62" t="s">
        <v>297</v>
      </c>
      <c r="B53" s="62" t="s">
        <v>297</v>
      </c>
      <c r="C53" s="64"/>
      <c r="D53" s="67"/>
      <c r="E53" s="68"/>
      <c r="F53" s="69"/>
      <c r="G53" s="64"/>
      <c r="H53" s="70"/>
      <c r="I53" s="71"/>
      <c r="J53" s="71"/>
      <c r="K53" s="31" t="s">
        <v>65</v>
      </c>
      <c r="L53" s="79">
        <v>145</v>
      </c>
      <c r="M53" s="79"/>
      <c r="N53" s="73"/>
      <c r="O53" s="66">
        <v>2</v>
      </c>
      <c r="P53" s="63" t="str">
        <f>REPLACE(INDEX(GroupVertices[Group],MATCH(Edges25[[#This Row],[Vertex 1]],GroupVertices[Vertex],0)),1,1,"")</f>
        <v>1</v>
      </c>
      <c r="Q53" s="63" t="str">
        <f>REPLACE(INDEX(GroupVertices[Group],MATCH(Edges25[[#This Row],[Vertex 2]],GroupVertices[Vertex],0)),1,1,"")</f>
        <v>1</v>
      </c>
      <c r="R53" s="66" t="s">
        <v>241</v>
      </c>
      <c r="S53" s="91">
        <v>44877.58385416667</v>
      </c>
      <c r="T53" s="66" t="s">
        <v>324</v>
      </c>
      <c r="U53" s="94" t="str">
        <f>HYPERLINK("https://www.youtube.com/watch?v=erkbGlWtX3Q&amp;feature=youtu.be")</f>
        <v>https://www.youtube.com/watch?v=erkbGlWtX3Q&amp;feature=youtu.be</v>
      </c>
      <c r="V53" s="66" t="s">
        <v>403</v>
      </c>
      <c r="W53" s="97" t="s">
        <v>423</v>
      </c>
      <c r="X53" s="66"/>
      <c r="Y53" s="94" t="str">
        <f>HYPERLINK("https://pbs.twimg.com/profile_images/1487756429276684289/Kqq9xAOb_normal.png")</f>
        <v>https://pbs.twimg.com/profile_images/1487756429276684289/Kqq9xAOb_normal.png</v>
      </c>
      <c r="Z53" s="91">
        <v>44877.58385416667</v>
      </c>
      <c r="AA53" s="100">
        <v>44877</v>
      </c>
      <c r="AB53" s="97" t="s">
        <v>491</v>
      </c>
      <c r="AC53" s="94" t="str">
        <f>HYPERLINK("https://twitter.com/hashtagmarketi7/status/1591430803812421633")</f>
        <v>https://twitter.com/hashtagmarketi7/status/1591430803812421633</v>
      </c>
      <c r="AD53" s="66"/>
      <c r="AE53" s="66"/>
      <c r="AF53" s="97" t="s">
        <v>624</v>
      </c>
      <c r="AG53" s="66"/>
      <c r="AH53" s="66" t="b">
        <v>0</v>
      </c>
      <c r="AI53" s="66">
        <v>3</v>
      </c>
      <c r="AJ53" s="97" t="s">
        <v>712</v>
      </c>
      <c r="AK53" s="66" t="b">
        <v>0</v>
      </c>
      <c r="AL53" s="66" t="s">
        <v>715</v>
      </c>
      <c r="AM53" s="66"/>
      <c r="AN53" s="97" t="s">
        <v>712</v>
      </c>
      <c r="AO53" s="66" t="b">
        <v>0</v>
      </c>
      <c r="AP53" s="66">
        <v>1</v>
      </c>
      <c r="AQ53" s="97" t="s">
        <v>712</v>
      </c>
      <c r="AR53" s="97" t="s">
        <v>717</v>
      </c>
      <c r="AS53" s="66" t="b">
        <v>0</v>
      </c>
      <c r="AT53" s="97" t="s">
        <v>624</v>
      </c>
      <c r="AU53" s="66" t="s">
        <v>241</v>
      </c>
      <c r="AV53" s="66">
        <v>0</v>
      </c>
      <c r="AW53" s="66">
        <v>0</v>
      </c>
      <c r="AX53" s="66"/>
      <c r="AY53" s="66"/>
      <c r="AZ53" s="66"/>
      <c r="BA53" s="66"/>
      <c r="BB53" s="66"/>
      <c r="BC53" s="66"/>
      <c r="BD53" s="66"/>
      <c r="BE53" s="66"/>
      <c r="BF53" s="45">
        <v>0</v>
      </c>
      <c r="BG53" s="46">
        <v>0</v>
      </c>
      <c r="BH53" s="45">
        <v>0</v>
      </c>
      <c r="BI53" s="46">
        <v>0</v>
      </c>
      <c r="BJ53" s="45">
        <v>0</v>
      </c>
      <c r="BK53" s="46">
        <v>0</v>
      </c>
      <c r="BL53" s="45">
        <v>11</v>
      </c>
      <c r="BM53" s="46">
        <v>78.57142857142857</v>
      </c>
      <c r="BN53" s="45">
        <v>14</v>
      </c>
    </row>
    <row r="54" spans="1:66" ht="15">
      <c r="A54" s="62" t="s">
        <v>297</v>
      </c>
      <c r="B54" s="62" t="s">
        <v>300</v>
      </c>
      <c r="C54" s="64"/>
      <c r="D54" s="67"/>
      <c r="E54" s="68"/>
      <c r="F54" s="69"/>
      <c r="G54" s="64"/>
      <c r="H54" s="70"/>
      <c r="I54" s="71"/>
      <c r="J54" s="71"/>
      <c r="K54" s="31" t="s">
        <v>65</v>
      </c>
      <c r="L54" s="79">
        <v>146</v>
      </c>
      <c r="M54" s="79"/>
      <c r="N54" s="73"/>
      <c r="O54" s="66">
        <v>2</v>
      </c>
      <c r="P54" s="63" t="str">
        <f>REPLACE(INDEX(GroupVertices[Group],MATCH(Edges25[[#This Row],[Vertex 1]],GroupVertices[Vertex],0)),1,1,"")</f>
        <v>1</v>
      </c>
      <c r="Q54" s="63" t="str">
        <f>REPLACE(INDEX(GroupVertices[Group],MATCH(Edges25[[#This Row],[Vertex 2]],GroupVertices[Vertex],0)),1,1,"")</f>
        <v>3</v>
      </c>
      <c r="R54" s="66" t="s">
        <v>316</v>
      </c>
      <c r="S54" s="91">
        <v>44877.58427083334</v>
      </c>
      <c r="T54" s="66" t="s">
        <v>342</v>
      </c>
      <c r="U54" s="66" t="s">
        <v>395</v>
      </c>
      <c r="V54" s="66" t="s">
        <v>412</v>
      </c>
      <c r="W54" s="97" t="s">
        <v>423</v>
      </c>
      <c r="X54" s="66"/>
      <c r="Y54" s="94" t="str">
        <f>HYPERLINK("https://pbs.twimg.com/profile_images/1487756429276684289/Kqq9xAOb_normal.png")</f>
        <v>https://pbs.twimg.com/profile_images/1487756429276684289/Kqq9xAOb_normal.png</v>
      </c>
      <c r="Z54" s="91">
        <v>44877.58427083334</v>
      </c>
      <c r="AA54" s="100">
        <v>44877</v>
      </c>
      <c r="AB54" s="97" t="s">
        <v>492</v>
      </c>
      <c r="AC54" s="94" t="str">
        <f>HYPERLINK("https://twitter.com/hashtagmarketi7/status/1591430953813311490")</f>
        <v>https://twitter.com/hashtagmarketi7/status/1591430953813311490</v>
      </c>
      <c r="AD54" s="66"/>
      <c r="AE54" s="66"/>
      <c r="AF54" s="97" t="s">
        <v>625</v>
      </c>
      <c r="AG54" s="66"/>
      <c r="AH54" s="66" t="b">
        <v>0</v>
      </c>
      <c r="AI54" s="66">
        <v>0</v>
      </c>
      <c r="AJ54" s="97" t="s">
        <v>712</v>
      </c>
      <c r="AK54" s="66" t="b">
        <v>0</v>
      </c>
      <c r="AL54" s="66" t="s">
        <v>715</v>
      </c>
      <c r="AM54" s="66"/>
      <c r="AN54" s="97" t="s">
        <v>712</v>
      </c>
      <c r="AO54" s="66" t="b">
        <v>0</v>
      </c>
      <c r="AP54" s="66">
        <v>2</v>
      </c>
      <c r="AQ54" s="97" t="s">
        <v>674</v>
      </c>
      <c r="AR54" s="97" t="s">
        <v>717</v>
      </c>
      <c r="AS54" s="66" t="b">
        <v>0</v>
      </c>
      <c r="AT54" s="97" t="s">
        <v>674</v>
      </c>
      <c r="AU54" s="66" t="s">
        <v>241</v>
      </c>
      <c r="AV54" s="66">
        <v>0</v>
      </c>
      <c r="AW54" s="66">
        <v>0</v>
      </c>
      <c r="AX54" s="66"/>
      <c r="AY54" s="66"/>
      <c r="AZ54" s="66"/>
      <c r="BA54" s="66"/>
      <c r="BB54" s="66"/>
      <c r="BC54" s="66"/>
      <c r="BD54" s="66"/>
      <c r="BE54" s="66"/>
      <c r="BF54" s="45"/>
      <c r="BG54" s="46"/>
      <c r="BH54" s="45"/>
      <c r="BI54" s="46"/>
      <c r="BJ54" s="45"/>
      <c r="BK54" s="46"/>
      <c r="BL54" s="45"/>
      <c r="BM54" s="46"/>
      <c r="BN54" s="45"/>
    </row>
    <row r="55" spans="1:66" ht="15">
      <c r="A55" s="62" t="s">
        <v>297</v>
      </c>
      <c r="B55" s="62" t="s">
        <v>297</v>
      </c>
      <c r="C55" s="64"/>
      <c r="D55" s="67"/>
      <c r="E55" s="68"/>
      <c r="F55" s="69"/>
      <c r="G55" s="64"/>
      <c r="H55" s="70"/>
      <c r="I55" s="71"/>
      <c r="J55" s="71"/>
      <c r="K55" s="31" t="s">
        <v>65</v>
      </c>
      <c r="L55" s="79">
        <v>149</v>
      </c>
      <c r="M55" s="79"/>
      <c r="N55" s="73"/>
      <c r="O55" s="66">
        <v>2</v>
      </c>
      <c r="P55" s="63" t="str">
        <f>REPLACE(INDEX(GroupVertices[Group],MATCH(Edges25[[#This Row],[Vertex 1]],GroupVertices[Vertex],0)),1,1,"")</f>
        <v>1</v>
      </c>
      <c r="Q55" s="63" t="str">
        <f>REPLACE(INDEX(GroupVertices[Group],MATCH(Edges25[[#This Row],[Vertex 2]],GroupVertices[Vertex],0)),1,1,"")</f>
        <v>1</v>
      </c>
      <c r="R55" s="66" t="s">
        <v>241</v>
      </c>
      <c r="S55" s="91">
        <v>44877.60596064815</v>
      </c>
      <c r="T55" s="66" t="s">
        <v>325</v>
      </c>
      <c r="U55" s="66" t="s">
        <v>396</v>
      </c>
      <c r="V55" s="66" t="s">
        <v>412</v>
      </c>
      <c r="W55" s="97" t="s">
        <v>427</v>
      </c>
      <c r="X55" s="66"/>
      <c r="Y55" s="94" t="str">
        <f>HYPERLINK("https://pbs.twimg.com/profile_images/1487756429276684289/Kqq9xAOb_normal.png")</f>
        <v>https://pbs.twimg.com/profile_images/1487756429276684289/Kqq9xAOb_normal.png</v>
      </c>
      <c r="Z55" s="91">
        <v>44877.60596064815</v>
      </c>
      <c r="AA55" s="100">
        <v>44877</v>
      </c>
      <c r="AB55" s="97" t="s">
        <v>493</v>
      </c>
      <c r="AC55" s="94" t="str">
        <f>HYPERLINK("https://twitter.com/hashtagmarketi7/status/1591438815339900929")</f>
        <v>https://twitter.com/hashtagmarketi7/status/1591438815339900929</v>
      </c>
      <c r="AD55" s="66"/>
      <c r="AE55" s="66"/>
      <c r="AF55" s="97" t="s">
        <v>626</v>
      </c>
      <c r="AG55" s="66"/>
      <c r="AH55" s="66" t="b">
        <v>0</v>
      </c>
      <c r="AI55" s="66">
        <v>3</v>
      </c>
      <c r="AJ55" s="97" t="s">
        <v>712</v>
      </c>
      <c r="AK55" s="66" t="b">
        <v>0</v>
      </c>
      <c r="AL55" s="66" t="s">
        <v>714</v>
      </c>
      <c r="AM55" s="66"/>
      <c r="AN55" s="97" t="s">
        <v>712</v>
      </c>
      <c r="AO55" s="66" t="b">
        <v>0</v>
      </c>
      <c r="AP55" s="66">
        <v>3</v>
      </c>
      <c r="AQ55" s="97" t="s">
        <v>712</v>
      </c>
      <c r="AR55" s="97" t="s">
        <v>723</v>
      </c>
      <c r="AS55" s="66" t="b">
        <v>0</v>
      </c>
      <c r="AT55" s="97" t="s">
        <v>626</v>
      </c>
      <c r="AU55" s="66" t="s">
        <v>241</v>
      </c>
      <c r="AV55" s="66">
        <v>0</v>
      </c>
      <c r="AW55" s="66">
        <v>0</v>
      </c>
      <c r="AX55" s="66"/>
      <c r="AY55" s="66"/>
      <c r="AZ55" s="66"/>
      <c r="BA55" s="66"/>
      <c r="BB55" s="66"/>
      <c r="BC55" s="66"/>
      <c r="BD55" s="66"/>
      <c r="BE55" s="66"/>
      <c r="BF55" s="45">
        <v>0</v>
      </c>
      <c r="BG55" s="46">
        <v>0</v>
      </c>
      <c r="BH55" s="45">
        <v>0</v>
      </c>
      <c r="BI55" s="46">
        <v>0</v>
      </c>
      <c r="BJ55" s="45">
        <v>0</v>
      </c>
      <c r="BK55" s="46">
        <v>0</v>
      </c>
      <c r="BL55" s="45">
        <v>8</v>
      </c>
      <c r="BM55" s="46">
        <v>80</v>
      </c>
      <c r="BN55" s="45">
        <v>10</v>
      </c>
    </row>
    <row r="56" spans="1:66" ht="15">
      <c r="A56" s="62" t="s">
        <v>297</v>
      </c>
      <c r="B56" s="62" t="s">
        <v>298</v>
      </c>
      <c r="C56" s="64"/>
      <c r="D56" s="67"/>
      <c r="E56" s="68"/>
      <c r="F56" s="69"/>
      <c r="G56" s="64"/>
      <c r="H56" s="70"/>
      <c r="I56" s="71"/>
      <c r="J56" s="71"/>
      <c r="K56" s="31" t="s">
        <v>66</v>
      </c>
      <c r="L56" s="79">
        <v>150</v>
      </c>
      <c r="M56" s="79"/>
      <c r="N56" s="73"/>
      <c r="O56" s="66">
        <v>4</v>
      </c>
      <c r="P56" s="63" t="str">
        <f>REPLACE(INDEX(GroupVertices[Group],MATCH(Edges25[[#This Row],[Vertex 1]],GroupVertices[Vertex],0)),1,1,"")</f>
        <v>1</v>
      </c>
      <c r="Q56" s="63" t="str">
        <f>REPLACE(INDEX(GroupVertices[Group],MATCH(Edges25[[#This Row],[Vertex 2]],GroupVertices[Vertex],0)),1,1,"")</f>
        <v>2</v>
      </c>
      <c r="R56" s="66" t="s">
        <v>315</v>
      </c>
      <c r="S56" s="91">
        <v>44879.39225694445</v>
      </c>
      <c r="T56" s="66" t="s">
        <v>333</v>
      </c>
      <c r="U56" s="94" t="str">
        <f>HYPERLINK("https://www.youtube.com/watch?v=3JK84n-jsMU")</f>
        <v>https://www.youtube.com/watch?v=3JK84n-jsMU</v>
      </c>
      <c r="V56" s="66" t="s">
        <v>403</v>
      </c>
      <c r="W56" s="97" t="s">
        <v>430</v>
      </c>
      <c r="X56" s="94" t="str">
        <f>HYPERLINK("https://pbs.twimg.com/media/FhcHy7oXEAMenzQ.png")</f>
        <v>https://pbs.twimg.com/media/FhcHy7oXEAMenzQ.png</v>
      </c>
      <c r="Y56" s="94" t="str">
        <f>HYPERLINK("https://pbs.twimg.com/media/FhcHy7oXEAMenzQ.png")</f>
        <v>https://pbs.twimg.com/media/FhcHy7oXEAMenzQ.png</v>
      </c>
      <c r="Z56" s="91">
        <v>44879.39225694445</v>
      </c>
      <c r="AA56" s="100">
        <v>44879</v>
      </c>
      <c r="AB56" s="97" t="s">
        <v>494</v>
      </c>
      <c r="AC56" s="94" t="str">
        <f>HYPERLINK("https://twitter.com/hashtagmarketi7/status/1592086147353698306")</f>
        <v>https://twitter.com/hashtagmarketi7/status/1592086147353698306</v>
      </c>
      <c r="AD56" s="66"/>
      <c r="AE56" s="66"/>
      <c r="AF56" s="97" t="s">
        <v>627</v>
      </c>
      <c r="AG56" s="66"/>
      <c r="AH56" s="66" t="b">
        <v>0</v>
      </c>
      <c r="AI56" s="66">
        <v>0</v>
      </c>
      <c r="AJ56" s="97" t="s">
        <v>712</v>
      </c>
      <c r="AK56" s="66" t="b">
        <v>0</v>
      </c>
      <c r="AL56" s="66" t="s">
        <v>714</v>
      </c>
      <c r="AM56" s="66"/>
      <c r="AN56" s="97" t="s">
        <v>712</v>
      </c>
      <c r="AO56" s="66" t="b">
        <v>0</v>
      </c>
      <c r="AP56" s="66">
        <v>5</v>
      </c>
      <c r="AQ56" s="97" t="s">
        <v>665</v>
      </c>
      <c r="AR56" s="97" t="s">
        <v>717</v>
      </c>
      <c r="AS56" s="66" t="b">
        <v>0</v>
      </c>
      <c r="AT56" s="97" t="s">
        <v>665</v>
      </c>
      <c r="AU56" s="66" t="s">
        <v>241</v>
      </c>
      <c r="AV56" s="66">
        <v>0</v>
      </c>
      <c r="AW56" s="66">
        <v>0</v>
      </c>
      <c r="AX56" s="66"/>
      <c r="AY56" s="66"/>
      <c r="AZ56" s="66"/>
      <c r="BA56" s="66"/>
      <c r="BB56" s="66"/>
      <c r="BC56" s="66"/>
      <c r="BD56" s="66"/>
      <c r="BE56" s="66"/>
      <c r="BF56" s="45">
        <v>0</v>
      </c>
      <c r="BG56" s="46">
        <v>0</v>
      </c>
      <c r="BH56" s="45">
        <v>0</v>
      </c>
      <c r="BI56" s="46">
        <v>0</v>
      </c>
      <c r="BJ56" s="45">
        <v>0</v>
      </c>
      <c r="BK56" s="46">
        <v>0</v>
      </c>
      <c r="BL56" s="45">
        <v>5</v>
      </c>
      <c r="BM56" s="46">
        <v>62.5</v>
      </c>
      <c r="BN56" s="45">
        <v>8</v>
      </c>
    </row>
    <row r="57" spans="1:66" ht="15">
      <c r="A57" s="62" t="s">
        <v>297</v>
      </c>
      <c r="B57" s="62" t="s">
        <v>305</v>
      </c>
      <c r="C57" s="64"/>
      <c r="D57" s="67"/>
      <c r="E57" s="68"/>
      <c r="F57" s="69"/>
      <c r="G57" s="64"/>
      <c r="H57" s="70"/>
      <c r="I57" s="71"/>
      <c r="J57" s="71"/>
      <c r="K57" s="31" t="s">
        <v>65</v>
      </c>
      <c r="L57" s="79">
        <v>151</v>
      </c>
      <c r="M57" s="79"/>
      <c r="N57" s="73"/>
      <c r="O57" s="66">
        <v>3</v>
      </c>
      <c r="P57" s="63" t="str">
        <f>REPLACE(INDEX(GroupVertices[Group],MATCH(Edges25[[#This Row],[Vertex 1]],GroupVertices[Vertex],0)),1,1,"")</f>
        <v>1</v>
      </c>
      <c r="Q57" s="63" t="str">
        <f>REPLACE(INDEX(GroupVertices[Group],MATCH(Edges25[[#This Row],[Vertex 2]],GroupVertices[Vertex],0)),1,1,"")</f>
        <v>4</v>
      </c>
      <c r="R57" s="66" t="s">
        <v>315</v>
      </c>
      <c r="S57" s="91">
        <v>44879.39231481482</v>
      </c>
      <c r="T57" s="66" t="s">
        <v>329</v>
      </c>
      <c r="U57" s="66" t="s">
        <v>394</v>
      </c>
      <c r="V57" s="66" t="s">
        <v>408</v>
      </c>
      <c r="W57" s="97" t="s">
        <v>429</v>
      </c>
      <c r="X57" s="66"/>
      <c r="Y57" s="94" t="str">
        <f>HYPERLINK("https://pbs.twimg.com/profile_images/1487756429276684289/Kqq9xAOb_normal.png")</f>
        <v>https://pbs.twimg.com/profile_images/1487756429276684289/Kqq9xAOb_normal.png</v>
      </c>
      <c r="Z57" s="91">
        <v>44879.39231481482</v>
      </c>
      <c r="AA57" s="100">
        <v>44879</v>
      </c>
      <c r="AB57" s="97" t="s">
        <v>495</v>
      </c>
      <c r="AC57" s="94" t="str">
        <f>HYPERLINK("https://twitter.com/hashtagmarketi7/status/1592086165540474880")</f>
        <v>https://twitter.com/hashtagmarketi7/status/1592086165540474880</v>
      </c>
      <c r="AD57" s="66"/>
      <c r="AE57" s="66"/>
      <c r="AF57" s="97" t="s">
        <v>628</v>
      </c>
      <c r="AG57" s="66"/>
      <c r="AH57" s="66" t="b">
        <v>0</v>
      </c>
      <c r="AI57" s="66">
        <v>0</v>
      </c>
      <c r="AJ57" s="97" t="s">
        <v>712</v>
      </c>
      <c r="AK57" s="66" t="b">
        <v>0</v>
      </c>
      <c r="AL57" s="66" t="s">
        <v>714</v>
      </c>
      <c r="AM57" s="66"/>
      <c r="AN57" s="97" t="s">
        <v>712</v>
      </c>
      <c r="AO57" s="66" t="b">
        <v>0</v>
      </c>
      <c r="AP57" s="66">
        <v>5</v>
      </c>
      <c r="AQ57" s="97" t="s">
        <v>699</v>
      </c>
      <c r="AR57" s="97" t="s">
        <v>717</v>
      </c>
      <c r="AS57" s="66" t="b">
        <v>0</v>
      </c>
      <c r="AT57" s="97" t="s">
        <v>699</v>
      </c>
      <c r="AU57" s="66" t="s">
        <v>241</v>
      </c>
      <c r="AV57" s="66">
        <v>0</v>
      </c>
      <c r="AW57" s="66">
        <v>0</v>
      </c>
      <c r="AX57" s="66"/>
      <c r="AY57" s="66"/>
      <c r="AZ57" s="66"/>
      <c r="BA57" s="66"/>
      <c r="BB57" s="66"/>
      <c r="BC57" s="66"/>
      <c r="BD57" s="66"/>
      <c r="BE57" s="66"/>
      <c r="BF57" s="45">
        <v>0</v>
      </c>
      <c r="BG57" s="46">
        <v>0</v>
      </c>
      <c r="BH57" s="45">
        <v>0</v>
      </c>
      <c r="BI57" s="46">
        <v>0</v>
      </c>
      <c r="BJ57" s="45">
        <v>0</v>
      </c>
      <c r="BK57" s="46">
        <v>0</v>
      </c>
      <c r="BL57" s="45">
        <v>16</v>
      </c>
      <c r="BM57" s="46">
        <v>51.61290322580645</v>
      </c>
      <c r="BN57" s="45">
        <v>31</v>
      </c>
    </row>
    <row r="58" spans="1:66" ht="15">
      <c r="A58" s="62" t="s">
        <v>297</v>
      </c>
      <c r="B58" s="62" t="s">
        <v>304</v>
      </c>
      <c r="C58" s="64"/>
      <c r="D58" s="67"/>
      <c r="E58" s="68"/>
      <c r="F58" s="69"/>
      <c r="G58" s="64"/>
      <c r="H58" s="70"/>
      <c r="I58" s="71"/>
      <c r="J58" s="71"/>
      <c r="K58" s="31" t="s">
        <v>65</v>
      </c>
      <c r="L58" s="79">
        <v>152</v>
      </c>
      <c r="M58" s="79"/>
      <c r="N58" s="73"/>
      <c r="O58" s="66">
        <v>2</v>
      </c>
      <c r="P58" s="63" t="str">
        <f>REPLACE(INDEX(GroupVertices[Group],MATCH(Edges25[[#This Row],[Vertex 1]],GroupVertices[Vertex],0)),1,1,"")</f>
        <v>1</v>
      </c>
      <c r="Q58" s="63" t="str">
        <f>REPLACE(INDEX(GroupVertices[Group],MATCH(Edges25[[#This Row],[Vertex 2]],GroupVertices[Vertex],0)),1,1,"")</f>
        <v>5</v>
      </c>
      <c r="R58" s="66" t="s">
        <v>315</v>
      </c>
      <c r="S58" s="91">
        <v>44879.39241898148</v>
      </c>
      <c r="T58" s="66" t="s">
        <v>336</v>
      </c>
      <c r="U58" s="66"/>
      <c r="V58" s="66"/>
      <c r="W58" s="97" t="s">
        <v>421</v>
      </c>
      <c r="X58" s="94" t="str">
        <f>HYPERLINK("https://pbs.twimg.com/media/FhX_xegXoAIf7pk.jpg")</f>
        <v>https://pbs.twimg.com/media/FhX_xegXoAIf7pk.jpg</v>
      </c>
      <c r="Y58" s="94" t="str">
        <f>HYPERLINK("https://pbs.twimg.com/media/FhX_xegXoAIf7pk.jpg")</f>
        <v>https://pbs.twimg.com/media/FhX_xegXoAIf7pk.jpg</v>
      </c>
      <c r="Z58" s="91">
        <v>44879.39241898148</v>
      </c>
      <c r="AA58" s="100">
        <v>44879</v>
      </c>
      <c r="AB58" s="97" t="s">
        <v>496</v>
      </c>
      <c r="AC58" s="94" t="str">
        <f>HYPERLINK("https://twitter.com/hashtagmarketi7/status/1592086203792523264")</f>
        <v>https://twitter.com/hashtagmarketi7/status/1592086203792523264</v>
      </c>
      <c r="AD58" s="66"/>
      <c r="AE58" s="66"/>
      <c r="AF58" s="97" t="s">
        <v>629</v>
      </c>
      <c r="AG58" s="66"/>
      <c r="AH58" s="66" t="b">
        <v>0</v>
      </c>
      <c r="AI58" s="66">
        <v>0</v>
      </c>
      <c r="AJ58" s="97" t="s">
        <v>712</v>
      </c>
      <c r="AK58" s="66" t="b">
        <v>0</v>
      </c>
      <c r="AL58" s="66" t="s">
        <v>714</v>
      </c>
      <c r="AM58" s="66"/>
      <c r="AN58" s="97" t="s">
        <v>712</v>
      </c>
      <c r="AO58" s="66" t="b">
        <v>0</v>
      </c>
      <c r="AP58" s="66">
        <v>4</v>
      </c>
      <c r="AQ58" s="97" t="s">
        <v>639</v>
      </c>
      <c r="AR58" s="97" t="s">
        <v>717</v>
      </c>
      <c r="AS58" s="66" t="b">
        <v>0</v>
      </c>
      <c r="AT58" s="97" t="s">
        <v>639</v>
      </c>
      <c r="AU58" s="66" t="s">
        <v>241</v>
      </c>
      <c r="AV58" s="66">
        <v>0</v>
      </c>
      <c r="AW58" s="66">
        <v>0</v>
      </c>
      <c r="AX58" s="66"/>
      <c r="AY58" s="66"/>
      <c r="AZ58" s="66"/>
      <c r="BA58" s="66"/>
      <c r="BB58" s="66"/>
      <c r="BC58" s="66"/>
      <c r="BD58" s="66"/>
      <c r="BE58" s="66"/>
      <c r="BF58" s="45">
        <v>1</v>
      </c>
      <c r="BG58" s="46">
        <v>7.6923076923076925</v>
      </c>
      <c r="BH58" s="45">
        <v>0</v>
      </c>
      <c r="BI58" s="46">
        <v>0</v>
      </c>
      <c r="BJ58" s="45">
        <v>0</v>
      </c>
      <c r="BK58" s="46">
        <v>0</v>
      </c>
      <c r="BL58" s="45">
        <v>7</v>
      </c>
      <c r="BM58" s="46">
        <v>53.84615384615385</v>
      </c>
      <c r="BN58" s="45">
        <v>13</v>
      </c>
    </row>
    <row r="59" spans="1:66" ht="15">
      <c r="A59" s="62" t="s">
        <v>297</v>
      </c>
      <c r="B59" s="62" t="s">
        <v>304</v>
      </c>
      <c r="C59" s="64"/>
      <c r="D59" s="67"/>
      <c r="E59" s="68"/>
      <c r="F59" s="69"/>
      <c r="G59" s="64"/>
      <c r="H59" s="70"/>
      <c r="I59" s="71"/>
      <c r="J59" s="71"/>
      <c r="K59" s="31" t="s">
        <v>65</v>
      </c>
      <c r="L59" s="79">
        <v>153</v>
      </c>
      <c r="M59" s="79"/>
      <c r="N59" s="73"/>
      <c r="O59" s="66">
        <v>2</v>
      </c>
      <c r="P59" s="63" t="str">
        <f>REPLACE(INDEX(GroupVertices[Group],MATCH(Edges25[[#This Row],[Vertex 1]],GroupVertices[Vertex],0)),1,1,"")</f>
        <v>1</v>
      </c>
      <c r="Q59" s="63" t="str">
        <f>REPLACE(INDEX(GroupVertices[Group],MATCH(Edges25[[#This Row],[Vertex 2]],GroupVertices[Vertex],0)),1,1,"")</f>
        <v>5</v>
      </c>
      <c r="R59" s="66" t="s">
        <v>315</v>
      </c>
      <c r="S59" s="91">
        <v>44879.39246527778</v>
      </c>
      <c r="T59" s="66" t="s">
        <v>318</v>
      </c>
      <c r="U59" s="66"/>
      <c r="V59" s="66"/>
      <c r="W59" s="97" t="s">
        <v>421</v>
      </c>
      <c r="X59" s="94" t="str">
        <f>HYPERLINK("https://pbs.twimg.com/media/FhWdWZuXwAAO13Y.jpg")</f>
        <v>https://pbs.twimg.com/media/FhWdWZuXwAAO13Y.jpg</v>
      </c>
      <c r="Y59" s="94" t="str">
        <f>HYPERLINK("https://pbs.twimg.com/media/FhWdWZuXwAAO13Y.jpg")</f>
        <v>https://pbs.twimg.com/media/FhWdWZuXwAAO13Y.jpg</v>
      </c>
      <c r="Z59" s="91">
        <v>44879.39246527778</v>
      </c>
      <c r="AA59" s="100">
        <v>44879</v>
      </c>
      <c r="AB59" s="97" t="s">
        <v>497</v>
      </c>
      <c r="AC59" s="94" t="str">
        <f>HYPERLINK("https://twitter.com/hashtagmarketi7/status/1592086220389376000")</f>
        <v>https://twitter.com/hashtagmarketi7/status/1592086220389376000</v>
      </c>
      <c r="AD59" s="66"/>
      <c r="AE59" s="66"/>
      <c r="AF59" s="97" t="s">
        <v>630</v>
      </c>
      <c r="AG59" s="66"/>
      <c r="AH59" s="66" t="b">
        <v>0</v>
      </c>
      <c r="AI59" s="66">
        <v>0</v>
      </c>
      <c r="AJ59" s="97" t="s">
        <v>712</v>
      </c>
      <c r="AK59" s="66" t="b">
        <v>0</v>
      </c>
      <c r="AL59" s="66" t="s">
        <v>714</v>
      </c>
      <c r="AM59" s="66"/>
      <c r="AN59" s="97" t="s">
        <v>712</v>
      </c>
      <c r="AO59" s="66" t="b">
        <v>0</v>
      </c>
      <c r="AP59" s="66">
        <v>6</v>
      </c>
      <c r="AQ59" s="97" t="s">
        <v>638</v>
      </c>
      <c r="AR59" s="97" t="s">
        <v>717</v>
      </c>
      <c r="AS59" s="66" t="b">
        <v>0</v>
      </c>
      <c r="AT59" s="97" t="s">
        <v>638</v>
      </c>
      <c r="AU59" s="66" t="s">
        <v>241</v>
      </c>
      <c r="AV59" s="66">
        <v>0</v>
      </c>
      <c r="AW59" s="66">
        <v>0</v>
      </c>
      <c r="AX59" s="66"/>
      <c r="AY59" s="66"/>
      <c r="AZ59" s="66"/>
      <c r="BA59" s="66"/>
      <c r="BB59" s="66"/>
      <c r="BC59" s="66"/>
      <c r="BD59" s="66"/>
      <c r="BE59" s="66"/>
      <c r="BF59" s="45">
        <v>0</v>
      </c>
      <c r="BG59" s="46">
        <v>0</v>
      </c>
      <c r="BH59" s="45">
        <v>0</v>
      </c>
      <c r="BI59" s="46">
        <v>0</v>
      </c>
      <c r="BJ59" s="45">
        <v>0</v>
      </c>
      <c r="BK59" s="46">
        <v>0</v>
      </c>
      <c r="BL59" s="45">
        <v>5</v>
      </c>
      <c r="BM59" s="46">
        <v>83.33333333333333</v>
      </c>
      <c r="BN59" s="45">
        <v>6</v>
      </c>
    </row>
    <row r="60" spans="1:66" ht="15">
      <c r="A60" s="62" t="s">
        <v>297</v>
      </c>
      <c r="B60" s="62" t="s">
        <v>305</v>
      </c>
      <c r="C60" s="64"/>
      <c r="D60" s="67"/>
      <c r="E60" s="68"/>
      <c r="F60" s="69"/>
      <c r="G60" s="64"/>
      <c r="H60" s="70"/>
      <c r="I60" s="71"/>
      <c r="J60" s="71"/>
      <c r="K60" s="31" t="s">
        <v>65</v>
      </c>
      <c r="L60" s="79">
        <v>154</v>
      </c>
      <c r="M60" s="79"/>
      <c r="N60" s="73"/>
      <c r="O60" s="66">
        <v>3</v>
      </c>
      <c r="P60" s="63" t="str">
        <f>REPLACE(INDEX(GroupVertices[Group],MATCH(Edges25[[#This Row],[Vertex 1]],GroupVertices[Vertex],0)),1,1,"")</f>
        <v>1</v>
      </c>
      <c r="Q60" s="63" t="str">
        <f>REPLACE(INDEX(GroupVertices[Group],MATCH(Edges25[[#This Row],[Vertex 2]],GroupVertices[Vertex],0)),1,1,"")</f>
        <v>4</v>
      </c>
      <c r="R60" s="66" t="s">
        <v>315</v>
      </c>
      <c r="S60" s="91">
        <v>44879.52197916667</v>
      </c>
      <c r="T60" s="66" t="s">
        <v>343</v>
      </c>
      <c r="U60" s="94" t="str">
        <f>HYPERLINK("https://youtu.be/erkbGlWtX3Q")</f>
        <v>https://youtu.be/erkbGlWtX3Q</v>
      </c>
      <c r="V60" s="66" t="s">
        <v>406</v>
      </c>
      <c r="W60" s="97" t="s">
        <v>427</v>
      </c>
      <c r="X60" s="66"/>
      <c r="Y60" s="94" t="str">
        <f>HYPERLINK("https://pbs.twimg.com/profile_images/1487756429276684289/Kqq9xAOb_normal.png")</f>
        <v>https://pbs.twimg.com/profile_images/1487756429276684289/Kqq9xAOb_normal.png</v>
      </c>
      <c r="Z60" s="91">
        <v>44879.52197916667</v>
      </c>
      <c r="AA60" s="100">
        <v>44879</v>
      </c>
      <c r="AB60" s="97" t="s">
        <v>498</v>
      </c>
      <c r="AC60" s="94" t="str">
        <f>HYPERLINK("https://twitter.com/hashtagmarketi7/status/1592133155351592960")</f>
        <v>https://twitter.com/hashtagmarketi7/status/1592133155351592960</v>
      </c>
      <c r="AD60" s="66"/>
      <c r="AE60" s="66"/>
      <c r="AF60" s="97" t="s">
        <v>631</v>
      </c>
      <c r="AG60" s="66"/>
      <c r="AH60" s="66" t="b">
        <v>0</v>
      </c>
      <c r="AI60" s="66">
        <v>0</v>
      </c>
      <c r="AJ60" s="97" t="s">
        <v>712</v>
      </c>
      <c r="AK60" s="66" t="b">
        <v>0</v>
      </c>
      <c r="AL60" s="66" t="s">
        <v>714</v>
      </c>
      <c r="AM60" s="66"/>
      <c r="AN60" s="97" t="s">
        <v>712</v>
      </c>
      <c r="AO60" s="66" t="b">
        <v>0</v>
      </c>
      <c r="AP60" s="66">
        <v>1</v>
      </c>
      <c r="AQ60" s="97" t="s">
        <v>693</v>
      </c>
      <c r="AR60" s="97" t="s">
        <v>719</v>
      </c>
      <c r="AS60" s="66" t="b">
        <v>0</v>
      </c>
      <c r="AT60" s="97" t="s">
        <v>693</v>
      </c>
      <c r="AU60" s="66" t="s">
        <v>241</v>
      </c>
      <c r="AV60" s="66">
        <v>0</v>
      </c>
      <c r="AW60" s="66">
        <v>0</v>
      </c>
      <c r="AX60" s="66"/>
      <c r="AY60" s="66"/>
      <c r="AZ60" s="66"/>
      <c r="BA60" s="66"/>
      <c r="BB60" s="66"/>
      <c r="BC60" s="66"/>
      <c r="BD60" s="66"/>
      <c r="BE60" s="66"/>
      <c r="BF60" s="45">
        <v>0</v>
      </c>
      <c r="BG60" s="46">
        <v>0</v>
      </c>
      <c r="BH60" s="45">
        <v>0</v>
      </c>
      <c r="BI60" s="46">
        <v>0</v>
      </c>
      <c r="BJ60" s="45">
        <v>0</v>
      </c>
      <c r="BK60" s="46">
        <v>0</v>
      </c>
      <c r="BL60" s="45">
        <v>8</v>
      </c>
      <c r="BM60" s="46">
        <v>80</v>
      </c>
      <c r="BN60" s="45">
        <v>10</v>
      </c>
    </row>
    <row r="61" spans="1:66" ht="15">
      <c r="A61" s="62" t="s">
        <v>298</v>
      </c>
      <c r="B61" s="62" t="s">
        <v>297</v>
      </c>
      <c r="C61" s="64"/>
      <c r="D61" s="67"/>
      <c r="E61" s="68"/>
      <c r="F61" s="69"/>
      <c r="G61" s="64"/>
      <c r="H61" s="70"/>
      <c r="I61" s="71"/>
      <c r="J61" s="71"/>
      <c r="K61" s="31" t="s">
        <v>66</v>
      </c>
      <c r="L61" s="79">
        <v>156</v>
      </c>
      <c r="M61" s="79"/>
      <c r="N61" s="73"/>
      <c r="O61" s="66">
        <v>3</v>
      </c>
      <c r="P61" s="63" t="str">
        <f>REPLACE(INDEX(GroupVertices[Group],MATCH(Edges25[[#This Row],[Vertex 1]],GroupVertices[Vertex],0)),1,1,"")</f>
        <v>2</v>
      </c>
      <c r="Q61" s="63" t="str">
        <f>REPLACE(INDEX(GroupVertices[Group],MATCH(Edges25[[#This Row],[Vertex 2]],GroupVertices[Vertex],0)),1,1,"")</f>
        <v>1</v>
      </c>
      <c r="R61" s="66" t="s">
        <v>315</v>
      </c>
      <c r="S61" s="91">
        <v>44877.60612268518</v>
      </c>
      <c r="T61" s="66" t="s">
        <v>325</v>
      </c>
      <c r="U61" s="94" t="str">
        <f>HYPERLINK("https://youtu.be/erkbGlWtX3Q")</f>
        <v>https://youtu.be/erkbGlWtX3Q</v>
      </c>
      <c r="V61" s="66" t="s">
        <v>406</v>
      </c>
      <c r="W61" s="97" t="s">
        <v>427</v>
      </c>
      <c r="X61" s="66"/>
      <c r="Y61" s="94" t="str">
        <f>HYPERLINK("https://pbs.twimg.com/profile_images/1416462775400927235/DSrY8TK-_normal.jpg")</f>
        <v>https://pbs.twimg.com/profile_images/1416462775400927235/DSrY8TK-_normal.jpg</v>
      </c>
      <c r="Z61" s="91">
        <v>44877.60612268518</v>
      </c>
      <c r="AA61" s="100">
        <v>44877</v>
      </c>
      <c r="AB61" s="97" t="s">
        <v>499</v>
      </c>
      <c r="AC61" s="94" t="str">
        <f>HYPERLINK("https://twitter.com/transvisionmad1/status/1591438873585917952")</f>
        <v>https://twitter.com/transvisionmad1/status/1591438873585917952</v>
      </c>
      <c r="AD61" s="66"/>
      <c r="AE61" s="66"/>
      <c r="AF61" s="97" t="s">
        <v>632</v>
      </c>
      <c r="AG61" s="66"/>
      <c r="AH61" s="66" t="b">
        <v>0</v>
      </c>
      <c r="AI61" s="66">
        <v>0</v>
      </c>
      <c r="AJ61" s="97" t="s">
        <v>712</v>
      </c>
      <c r="AK61" s="66" t="b">
        <v>0</v>
      </c>
      <c r="AL61" s="66" t="s">
        <v>714</v>
      </c>
      <c r="AM61" s="66"/>
      <c r="AN61" s="97" t="s">
        <v>712</v>
      </c>
      <c r="AO61" s="66" t="b">
        <v>0</v>
      </c>
      <c r="AP61" s="66">
        <v>3</v>
      </c>
      <c r="AQ61" s="97" t="s">
        <v>626</v>
      </c>
      <c r="AR61" s="97" t="s">
        <v>717</v>
      </c>
      <c r="AS61" s="66" t="b">
        <v>0</v>
      </c>
      <c r="AT61" s="97" t="s">
        <v>626</v>
      </c>
      <c r="AU61" s="66" t="s">
        <v>241</v>
      </c>
      <c r="AV61" s="66">
        <v>0</v>
      </c>
      <c r="AW61" s="66">
        <v>0</v>
      </c>
      <c r="AX61" s="66"/>
      <c r="AY61" s="66"/>
      <c r="AZ61" s="66"/>
      <c r="BA61" s="66"/>
      <c r="BB61" s="66"/>
      <c r="BC61" s="66"/>
      <c r="BD61" s="66"/>
      <c r="BE61" s="66"/>
      <c r="BF61" s="45">
        <v>0</v>
      </c>
      <c r="BG61" s="46">
        <v>0</v>
      </c>
      <c r="BH61" s="45">
        <v>0</v>
      </c>
      <c r="BI61" s="46">
        <v>0</v>
      </c>
      <c r="BJ61" s="45">
        <v>0</v>
      </c>
      <c r="BK61" s="46">
        <v>0</v>
      </c>
      <c r="BL61" s="45">
        <v>8</v>
      </c>
      <c r="BM61" s="46">
        <v>80</v>
      </c>
      <c r="BN61" s="45">
        <v>10</v>
      </c>
    </row>
    <row r="62" spans="1:66" ht="15">
      <c r="A62" s="62" t="s">
        <v>298</v>
      </c>
      <c r="B62" s="62" t="s">
        <v>307</v>
      </c>
      <c r="C62" s="64"/>
      <c r="D62" s="67"/>
      <c r="E62" s="68"/>
      <c r="F62" s="69"/>
      <c r="G62" s="64"/>
      <c r="H62" s="70"/>
      <c r="I62" s="71"/>
      <c r="J62" s="71"/>
      <c r="K62" s="31" t="s">
        <v>65</v>
      </c>
      <c r="L62" s="79">
        <v>159</v>
      </c>
      <c r="M62" s="79"/>
      <c r="N62" s="73"/>
      <c r="O62" s="66">
        <v>4</v>
      </c>
      <c r="P62" s="63" t="str">
        <f>REPLACE(INDEX(GroupVertices[Group],MATCH(Edges25[[#This Row],[Vertex 1]],GroupVertices[Vertex],0)),1,1,"")</f>
        <v>2</v>
      </c>
      <c r="Q62" s="63" t="str">
        <f>REPLACE(INDEX(GroupVertices[Group],MATCH(Edges25[[#This Row],[Vertex 2]],GroupVertices[Vertex],0)),1,1,"")</f>
        <v>3</v>
      </c>
      <c r="R62" s="66" t="s">
        <v>317</v>
      </c>
      <c r="S62" s="91">
        <v>44877.40723379629</v>
      </c>
      <c r="T62" s="66" t="s">
        <v>341</v>
      </c>
      <c r="U62" s="94" t="str">
        <f>HYPERLINK("https://www.youtube.com/watch?v=xb0JCOgMsXc")</f>
        <v>https://www.youtube.com/watch?v=xb0JCOgMsXc</v>
      </c>
      <c r="V62" s="66" t="s">
        <v>403</v>
      </c>
      <c r="W62" s="97" t="s">
        <v>421</v>
      </c>
      <c r="X62" s="66"/>
      <c r="Y62" s="94" t="str">
        <f>HYPERLINK("https://pbs.twimg.com/profile_images/1416462775400927235/DSrY8TK-_normal.jpg")</f>
        <v>https://pbs.twimg.com/profile_images/1416462775400927235/DSrY8TK-_normal.jpg</v>
      </c>
      <c r="Z62" s="91">
        <v>44877.40723379629</v>
      </c>
      <c r="AA62" s="100">
        <v>44877</v>
      </c>
      <c r="AB62" s="97" t="s">
        <v>500</v>
      </c>
      <c r="AC62" s="94" t="str">
        <f>HYPERLINK("https://twitter.com/transvisionmad1/status/1591366796648808449")</f>
        <v>https://twitter.com/transvisionmad1/status/1591366796648808449</v>
      </c>
      <c r="AD62" s="66"/>
      <c r="AE62" s="66"/>
      <c r="AF62" s="97" t="s">
        <v>633</v>
      </c>
      <c r="AG62" s="66"/>
      <c r="AH62" s="66" t="b">
        <v>0</v>
      </c>
      <c r="AI62" s="66">
        <v>3</v>
      </c>
      <c r="AJ62" s="97" t="s">
        <v>712</v>
      </c>
      <c r="AK62" s="66" t="b">
        <v>0</v>
      </c>
      <c r="AL62" s="66" t="s">
        <v>715</v>
      </c>
      <c r="AM62" s="66"/>
      <c r="AN62" s="97" t="s">
        <v>712</v>
      </c>
      <c r="AO62" s="66" t="b">
        <v>0</v>
      </c>
      <c r="AP62" s="66">
        <v>1</v>
      </c>
      <c r="AQ62" s="97" t="s">
        <v>712</v>
      </c>
      <c r="AR62" s="97" t="s">
        <v>717</v>
      </c>
      <c r="AS62" s="66" t="b">
        <v>0</v>
      </c>
      <c r="AT62" s="97" t="s">
        <v>633</v>
      </c>
      <c r="AU62" s="66" t="s">
        <v>241</v>
      </c>
      <c r="AV62" s="66">
        <v>0</v>
      </c>
      <c r="AW62" s="66">
        <v>0</v>
      </c>
      <c r="AX62" s="66"/>
      <c r="AY62" s="66"/>
      <c r="AZ62" s="66"/>
      <c r="BA62" s="66"/>
      <c r="BB62" s="66"/>
      <c r="BC62" s="66"/>
      <c r="BD62" s="66"/>
      <c r="BE62" s="66"/>
      <c r="BF62" s="45"/>
      <c r="BG62" s="46"/>
      <c r="BH62" s="45"/>
      <c r="BI62" s="46"/>
      <c r="BJ62" s="45"/>
      <c r="BK62" s="46"/>
      <c r="BL62" s="45"/>
      <c r="BM62" s="46"/>
      <c r="BN62" s="45"/>
    </row>
    <row r="63" spans="1:66" ht="15">
      <c r="A63" s="62" t="s">
        <v>298</v>
      </c>
      <c r="B63" s="62" t="s">
        <v>307</v>
      </c>
      <c r="C63" s="64"/>
      <c r="D63" s="67"/>
      <c r="E63" s="68"/>
      <c r="F63" s="69"/>
      <c r="G63" s="64"/>
      <c r="H63" s="70"/>
      <c r="I63" s="71"/>
      <c r="J63" s="71"/>
      <c r="K63" s="31" t="s">
        <v>65</v>
      </c>
      <c r="L63" s="79">
        <v>160</v>
      </c>
      <c r="M63" s="79"/>
      <c r="N63" s="73"/>
      <c r="O63" s="66">
        <v>4</v>
      </c>
      <c r="P63" s="63" t="str">
        <f>REPLACE(INDEX(GroupVertices[Group],MATCH(Edges25[[#This Row],[Vertex 1]],GroupVertices[Vertex],0)),1,1,"")</f>
        <v>2</v>
      </c>
      <c r="Q63" s="63" t="str">
        <f>REPLACE(INDEX(GroupVertices[Group],MATCH(Edges25[[#This Row],[Vertex 2]],GroupVertices[Vertex],0)),1,1,"")</f>
        <v>3</v>
      </c>
      <c r="R63" s="66" t="s">
        <v>317</v>
      </c>
      <c r="S63" s="91">
        <v>44877.409004629626</v>
      </c>
      <c r="T63" s="66" t="s">
        <v>344</v>
      </c>
      <c r="U63" s="94" t="str">
        <f>HYPERLINK("https://www.youtube.com/watch?v=xb0JCOgMsXc")</f>
        <v>https://www.youtube.com/watch?v=xb0JCOgMsXc</v>
      </c>
      <c r="V63" s="66" t="s">
        <v>403</v>
      </c>
      <c r="W63" s="97" t="s">
        <v>421</v>
      </c>
      <c r="X63" s="94" t="str">
        <f>HYPERLINK("https://pbs.twimg.com/media/FhWsCzBXwAA-d9k.jpg")</f>
        <v>https://pbs.twimg.com/media/FhWsCzBXwAA-d9k.jpg</v>
      </c>
      <c r="Y63" s="94" t="str">
        <f>HYPERLINK("https://pbs.twimg.com/media/FhWsCzBXwAA-d9k.jpg")</f>
        <v>https://pbs.twimg.com/media/FhWsCzBXwAA-d9k.jpg</v>
      </c>
      <c r="Z63" s="91">
        <v>44877.409004629626</v>
      </c>
      <c r="AA63" s="100">
        <v>44877</v>
      </c>
      <c r="AB63" s="97" t="s">
        <v>501</v>
      </c>
      <c r="AC63" s="94" t="str">
        <f>HYPERLINK("https://twitter.com/transvisionmad1/status/1591367441027776513")</f>
        <v>https://twitter.com/transvisionmad1/status/1591367441027776513</v>
      </c>
      <c r="AD63" s="66"/>
      <c r="AE63" s="66"/>
      <c r="AF63" s="97" t="s">
        <v>634</v>
      </c>
      <c r="AG63" s="97" t="s">
        <v>633</v>
      </c>
      <c r="AH63" s="66" t="b">
        <v>0</v>
      </c>
      <c r="AI63" s="66">
        <v>0</v>
      </c>
      <c r="AJ63" s="97" t="s">
        <v>713</v>
      </c>
      <c r="AK63" s="66" t="b">
        <v>0</v>
      </c>
      <c r="AL63" s="66" t="s">
        <v>715</v>
      </c>
      <c r="AM63" s="66"/>
      <c r="AN63" s="97" t="s">
        <v>712</v>
      </c>
      <c r="AO63" s="66" t="b">
        <v>0</v>
      </c>
      <c r="AP63" s="66">
        <v>0</v>
      </c>
      <c r="AQ63" s="97" t="s">
        <v>712</v>
      </c>
      <c r="AR63" s="97" t="s">
        <v>717</v>
      </c>
      <c r="AS63" s="66" t="b">
        <v>0</v>
      </c>
      <c r="AT63" s="97" t="s">
        <v>633</v>
      </c>
      <c r="AU63" s="66" t="s">
        <v>241</v>
      </c>
      <c r="AV63" s="66">
        <v>0</v>
      </c>
      <c r="AW63" s="66">
        <v>0</v>
      </c>
      <c r="AX63" s="66"/>
      <c r="AY63" s="66"/>
      <c r="AZ63" s="66"/>
      <c r="BA63" s="66"/>
      <c r="BB63" s="66"/>
      <c r="BC63" s="66"/>
      <c r="BD63" s="66"/>
      <c r="BE63" s="66"/>
      <c r="BF63" s="45"/>
      <c r="BG63" s="46"/>
      <c r="BH63" s="45"/>
      <c r="BI63" s="46"/>
      <c r="BJ63" s="45"/>
      <c r="BK63" s="46"/>
      <c r="BL63" s="45"/>
      <c r="BM63" s="46"/>
      <c r="BN63" s="45"/>
    </row>
    <row r="64" spans="1:66" ht="15">
      <c r="A64" s="62" t="s">
        <v>298</v>
      </c>
      <c r="B64" s="62" t="s">
        <v>307</v>
      </c>
      <c r="C64" s="64"/>
      <c r="D64" s="67"/>
      <c r="E64" s="68"/>
      <c r="F64" s="69"/>
      <c r="G64" s="64"/>
      <c r="H64" s="70"/>
      <c r="I64" s="71"/>
      <c r="J64" s="71"/>
      <c r="K64" s="31" t="s">
        <v>65</v>
      </c>
      <c r="L64" s="79">
        <v>163</v>
      </c>
      <c r="M64" s="79"/>
      <c r="N64" s="73"/>
      <c r="O64" s="66">
        <v>4</v>
      </c>
      <c r="P64" s="63" t="str">
        <f>REPLACE(INDEX(GroupVertices[Group],MATCH(Edges25[[#This Row],[Vertex 1]],GroupVertices[Vertex],0)),1,1,"")</f>
        <v>2</v>
      </c>
      <c r="Q64" s="63" t="str">
        <f>REPLACE(INDEX(GroupVertices[Group],MATCH(Edges25[[#This Row],[Vertex 2]],GroupVertices[Vertex],0)),1,1,"")</f>
        <v>3</v>
      </c>
      <c r="R64" s="66" t="s">
        <v>317</v>
      </c>
      <c r="S64" s="91">
        <v>44877.618472222224</v>
      </c>
      <c r="T64" s="66" t="s">
        <v>345</v>
      </c>
      <c r="U64" s="94" t="str">
        <f>HYPERLINK("https://www.youtube.com/watch?v=erkbGlWtX3Q")</f>
        <v>https://www.youtube.com/watch?v=erkbGlWtX3Q</v>
      </c>
      <c r="V64" s="66" t="s">
        <v>403</v>
      </c>
      <c r="W64" s="97" t="s">
        <v>427</v>
      </c>
      <c r="X64" s="94" t="str">
        <f>HYPERLINK("https://pbs.twimg.com/media/FhXwv6AXwAAqKwx.jpg")</f>
        <v>https://pbs.twimg.com/media/FhXwv6AXwAAqKwx.jpg</v>
      </c>
      <c r="Y64" s="94" t="str">
        <f>HYPERLINK("https://pbs.twimg.com/media/FhXwv6AXwAAqKwx.jpg")</f>
        <v>https://pbs.twimg.com/media/FhXwv6AXwAAqKwx.jpg</v>
      </c>
      <c r="Z64" s="91">
        <v>44877.618472222224</v>
      </c>
      <c r="AA64" s="100">
        <v>44877</v>
      </c>
      <c r="AB64" s="97" t="s">
        <v>502</v>
      </c>
      <c r="AC64" s="94" t="str">
        <f>HYPERLINK("https://twitter.com/transvisionmad1/status/1591443347704799233")</f>
        <v>https://twitter.com/transvisionmad1/status/1591443347704799233</v>
      </c>
      <c r="AD64" s="66"/>
      <c r="AE64" s="66"/>
      <c r="AF64" s="97" t="s">
        <v>635</v>
      </c>
      <c r="AG64" s="66"/>
      <c r="AH64" s="66" t="b">
        <v>0</v>
      </c>
      <c r="AI64" s="66">
        <v>0</v>
      </c>
      <c r="AJ64" s="97" t="s">
        <v>712</v>
      </c>
      <c r="AK64" s="66" t="b">
        <v>0</v>
      </c>
      <c r="AL64" s="66" t="s">
        <v>714</v>
      </c>
      <c r="AM64" s="66"/>
      <c r="AN64" s="97" t="s">
        <v>712</v>
      </c>
      <c r="AO64" s="66" t="b">
        <v>0</v>
      </c>
      <c r="AP64" s="66">
        <v>0</v>
      </c>
      <c r="AQ64" s="97" t="s">
        <v>712</v>
      </c>
      <c r="AR64" s="97" t="s">
        <v>717</v>
      </c>
      <c r="AS64" s="66" t="b">
        <v>0</v>
      </c>
      <c r="AT64" s="97" t="s">
        <v>635</v>
      </c>
      <c r="AU64" s="66" t="s">
        <v>241</v>
      </c>
      <c r="AV64" s="66">
        <v>0</v>
      </c>
      <c r="AW64" s="66">
        <v>0</v>
      </c>
      <c r="AX64" s="66"/>
      <c r="AY64" s="66"/>
      <c r="AZ64" s="66"/>
      <c r="BA64" s="66"/>
      <c r="BB64" s="66"/>
      <c r="BC64" s="66"/>
      <c r="BD64" s="66"/>
      <c r="BE64" s="66"/>
      <c r="BF64" s="45">
        <v>1</v>
      </c>
      <c r="BG64" s="46">
        <v>6.25</v>
      </c>
      <c r="BH64" s="45">
        <v>0</v>
      </c>
      <c r="BI64" s="46">
        <v>0</v>
      </c>
      <c r="BJ64" s="45">
        <v>0</v>
      </c>
      <c r="BK64" s="46">
        <v>0</v>
      </c>
      <c r="BL64" s="45">
        <v>12</v>
      </c>
      <c r="BM64" s="46">
        <v>75</v>
      </c>
      <c r="BN64" s="45">
        <v>16</v>
      </c>
    </row>
    <row r="65" spans="1:66" ht="15">
      <c r="A65" s="62" t="s">
        <v>298</v>
      </c>
      <c r="B65" s="62" t="s">
        <v>314</v>
      </c>
      <c r="C65" s="64"/>
      <c r="D65" s="67"/>
      <c r="E65" s="68"/>
      <c r="F65" s="69"/>
      <c r="G65" s="64"/>
      <c r="H65" s="70"/>
      <c r="I65" s="71"/>
      <c r="J65" s="71"/>
      <c r="K65" s="31" t="s">
        <v>65</v>
      </c>
      <c r="L65" s="79">
        <v>164</v>
      </c>
      <c r="M65" s="79"/>
      <c r="N65" s="73"/>
      <c r="O65" s="66">
        <v>1</v>
      </c>
      <c r="P65" s="63" t="str">
        <f>REPLACE(INDEX(GroupVertices[Group],MATCH(Edges25[[#This Row],[Vertex 1]],GroupVertices[Vertex],0)),1,1,"")</f>
        <v>2</v>
      </c>
      <c r="Q65" s="63" t="str">
        <f>REPLACE(INDEX(GroupVertices[Group],MATCH(Edges25[[#This Row],[Vertex 2]],GroupVertices[Vertex],0)),1,1,"")</f>
        <v>2</v>
      </c>
      <c r="R65" s="66" t="s">
        <v>317</v>
      </c>
      <c r="S65" s="91">
        <v>44878.32173611111</v>
      </c>
      <c r="T65" s="66" t="s">
        <v>346</v>
      </c>
      <c r="U65" s="94" t="str">
        <f>HYPERLINK("https://www.niusdiario.es/ciencia-y-tecnologia/ciencia/20221111/precio-criogenizarse-5000-euros-20-anos_18_07953883.html")</f>
        <v>https://www.niusdiario.es/ciencia-y-tecnologia/ciencia/20221111/precio-criogenizarse-5000-euros-20-anos_18_07953883.html</v>
      </c>
      <c r="V65" s="66" t="s">
        <v>413</v>
      </c>
      <c r="W65" s="97" t="s">
        <v>434</v>
      </c>
      <c r="X65" s="66"/>
      <c r="Y65" s="94" t="str">
        <f>HYPERLINK("https://pbs.twimg.com/profile_images/1416462775400927235/DSrY8TK-_normal.jpg")</f>
        <v>https://pbs.twimg.com/profile_images/1416462775400927235/DSrY8TK-_normal.jpg</v>
      </c>
      <c r="Z65" s="91">
        <v>44878.32173611111</v>
      </c>
      <c r="AA65" s="100">
        <v>44878</v>
      </c>
      <c r="AB65" s="97" t="s">
        <v>503</v>
      </c>
      <c r="AC65" s="94" t="str">
        <f>HYPERLINK("https://twitter.com/transvisionmad1/status/1591698204193849349")</f>
        <v>https://twitter.com/transvisionmad1/status/1591698204193849349</v>
      </c>
      <c r="AD65" s="66"/>
      <c r="AE65" s="66"/>
      <c r="AF65" s="97" t="s">
        <v>636</v>
      </c>
      <c r="AG65" s="66"/>
      <c r="AH65" s="66" t="b">
        <v>0</v>
      </c>
      <c r="AI65" s="66">
        <v>0</v>
      </c>
      <c r="AJ65" s="97" t="s">
        <v>712</v>
      </c>
      <c r="AK65" s="66" t="b">
        <v>0</v>
      </c>
      <c r="AL65" s="66" t="s">
        <v>715</v>
      </c>
      <c r="AM65" s="66"/>
      <c r="AN65" s="97" t="s">
        <v>712</v>
      </c>
      <c r="AO65" s="66" t="b">
        <v>0</v>
      </c>
      <c r="AP65" s="66">
        <v>0</v>
      </c>
      <c r="AQ65" s="97" t="s">
        <v>712</v>
      </c>
      <c r="AR65" s="97" t="s">
        <v>717</v>
      </c>
      <c r="AS65" s="66" t="b">
        <v>0</v>
      </c>
      <c r="AT65" s="97" t="s">
        <v>636</v>
      </c>
      <c r="AU65" s="66" t="s">
        <v>241</v>
      </c>
      <c r="AV65" s="66">
        <v>0</v>
      </c>
      <c r="AW65" s="66">
        <v>0</v>
      </c>
      <c r="AX65" s="66"/>
      <c r="AY65" s="66"/>
      <c r="AZ65" s="66"/>
      <c r="BA65" s="66"/>
      <c r="BB65" s="66"/>
      <c r="BC65" s="66"/>
      <c r="BD65" s="66"/>
      <c r="BE65" s="66"/>
      <c r="BF65" s="45">
        <v>0</v>
      </c>
      <c r="BG65" s="46">
        <v>0</v>
      </c>
      <c r="BH65" s="45">
        <v>0</v>
      </c>
      <c r="BI65" s="46">
        <v>0</v>
      </c>
      <c r="BJ65" s="45">
        <v>0</v>
      </c>
      <c r="BK65" s="46">
        <v>0</v>
      </c>
      <c r="BL65" s="45">
        <v>12</v>
      </c>
      <c r="BM65" s="46">
        <v>66.66666666666667</v>
      </c>
      <c r="BN65" s="45">
        <v>18</v>
      </c>
    </row>
    <row r="66" spans="1:66" ht="15">
      <c r="A66" s="62" t="s">
        <v>304</v>
      </c>
      <c r="B66" s="62" t="s">
        <v>304</v>
      </c>
      <c r="C66" s="64"/>
      <c r="D66" s="67"/>
      <c r="E66" s="68"/>
      <c r="F66" s="69"/>
      <c r="G66" s="64"/>
      <c r="H66" s="70"/>
      <c r="I66" s="71"/>
      <c r="J66" s="71"/>
      <c r="K66" s="31" t="s">
        <v>65</v>
      </c>
      <c r="L66" s="79">
        <v>165</v>
      </c>
      <c r="M66" s="79"/>
      <c r="N66" s="73"/>
      <c r="O66" s="66">
        <v>3</v>
      </c>
      <c r="P66" s="63" t="str">
        <f>REPLACE(INDEX(GroupVertices[Group],MATCH(Edges25[[#This Row],[Vertex 1]],GroupVertices[Vertex],0)),1,1,"")</f>
        <v>5</v>
      </c>
      <c r="Q66" s="63" t="str">
        <f>REPLACE(INDEX(GroupVertices[Group],MATCH(Edges25[[#This Row],[Vertex 2]],GroupVertices[Vertex],0)),1,1,"")</f>
        <v>5</v>
      </c>
      <c r="R66" s="66" t="s">
        <v>241</v>
      </c>
      <c r="S66" s="91">
        <v>44875.694756944446</v>
      </c>
      <c r="T66" s="66" t="s">
        <v>328</v>
      </c>
      <c r="U66" s="94" t="str">
        <f>HYPERLINK("https://www.transvisionmadrid.com/en/2022.html")</f>
        <v>https://www.transvisionmadrid.com/en/2022.html</v>
      </c>
      <c r="V66" s="66" t="s">
        <v>407</v>
      </c>
      <c r="W66" s="97" t="s">
        <v>421</v>
      </c>
      <c r="X66" s="94" t="str">
        <f>HYPERLINK("https://pbs.twimg.com/media/FhN2si8XwAIi1Du.jpg")</f>
        <v>https://pbs.twimg.com/media/FhN2si8XwAIi1Du.jpg</v>
      </c>
      <c r="Y66" s="94" t="str">
        <f>HYPERLINK("https://pbs.twimg.com/media/FhN2si8XwAIi1Du.jpg")</f>
        <v>https://pbs.twimg.com/media/FhN2si8XwAIi1Du.jpg</v>
      </c>
      <c r="Z66" s="91">
        <v>44875.694756944446</v>
      </c>
      <c r="AA66" s="100">
        <v>44875</v>
      </c>
      <c r="AB66" s="97" t="s">
        <v>504</v>
      </c>
      <c r="AC66" s="94" t="str">
        <f>HYPERLINK("https://twitter.com/dw2/status/1590746215284473866")</f>
        <v>https://twitter.com/dw2/status/1590746215284473866</v>
      </c>
      <c r="AD66" s="66"/>
      <c r="AE66" s="66"/>
      <c r="AF66" s="97" t="s">
        <v>637</v>
      </c>
      <c r="AG66" s="66"/>
      <c r="AH66" s="66" t="b">
        <v>0</v>
      </c>
      <c r="AI66" s="66">
        <v>10</v>
      </c>
      <c r="AJ66" s="97" t="s">
        <v>712</v>
      </c>
      <c r="AK66" s="66" t="b">
        <v>0</v>
      </c>
      <c r="AL66" s="66" t="s">
        <v>714</v>
      </c>
      <c r="AM66" s="66"/>
      <c r="AN66" s="97" t="s">
        <v>712</v>
      </c>
      <c r="AO66" s="66" t="b">
        <v>0</v>
      </c>
      <c r="AP66" s="66">
        <v>2</v>
      </c>
      <c r="AQ66" s="97" t="s">
        <v>712</v>
      </c>
      <c r="AR66" s="97" t="s">
        <v>717</v>
      </c>
      <c r="AS66" s="66" t="b">
        <v>0</v>
      </c>
      <c r="AT66" s="97" t="s">
        <v>637</v>
      </c>
      <c r="AU66" s="66" t="s">
        <v>241</v>
      </c>
      <c r="AV66" s="66">
        <v>0</v>
      </c>
      <c r="AW66" s="66">
        <v>0</v>
      </c>
      <c r="AX66" s="66"/>
      <c r="AY66" s="66"/>
      <c r="AZ66" s="66"/>
      <c r="BA66" s="66"/>
      <c r="BB66" s="66"/>
      <c r="BC66" s="66"/>
      <c r="BD66" s="66"/>
      <c r="BE66" s="66"/>
      <c r="BF66" s="45">
        <v>0</v>
      </c>
      <c r="BG66" s="46">
        <v>0</v>
      </c>
      <c r="BH66" s="45">
        <v>0</v>
      </c>
      <c r="BI66" s="46">
        <v>0</v>
      </c>
      <c r="BJ66" s="45">
        <v>0</v>
      </c>
      <c r="BK66" s="46">
        <v>0</v>
      </c>
      <c r="BL66" s="45">
        <v>17</v>
      </c>
      <c r="BM66" s="46">
        <v>62.96296296296296</v>
      </c>
      <c r="BN66" s="45">
        <v>27</v>
      </c>
    </row>
    <row r="67" spans="1:66" ht="15">
      <c r="A67" s="62" t="s">
        <v>304</v>
      </c>
      <c r="B67" s="62" t="s">
        <v>304</v>
      </c>
      <c r="C67" s="64"/>
      <c r="D67" s="67"/>
      <c r="E67" s="68"/>
      <c r="F67" s="69"/>
      <c r="G67" s="64"/>
      <c r="H67" s="70"/>
      <c r="I67" s="71"/>
      <c r="J67" s="71"/>
      <c r="K67" s="31" t="s">
        <v>65</v>
      </c>
      <c r="L67" s="79">
        <v>166</v>
      </c>
      <c r="M67" s="79"/>
      <c r="N67" s="73"/>
      <c r="O67" s="66">
        <v>3</v>
      </c>
      <c r="P67" s="63" t="str">
        <f>REPLACE(INDEX(GroupVertices[Group],MATCH(Edges25[[#This Row],[Vertex 1]],GroupVertices[Vertex],0)),1,1,"")</f>
        <v>5</v>
      </c>
      <c r="Q67" s="63" t="str">
        <f>REPLACE(INDEX(GroupVertices[Group],MATCH(Edges25[[#This Row],[Vertex 2]],GroupVertices[Vertex],0)),1,1,"")</f>
        <v>5</v>
      </c>
      <c r="R67" s="66" t="s">
        <v>241</v>
      </c>
      <c r="S67" s="91">
        <v>44877.36381944444</v>
      </c>
      <c r="T67" s="66" t="s">
        <v>318</v>
      </c>
      <c r="U67" s="66"/>
      <c r="V67" s="66"/>
      <c r="W67" s="97" t="s">
        <v>421</v>
      </c>
      <c r="X67" s="94" t="str">
        <f>HYPERLINK("https://pbs.twimg.com/media/FhWdWZuXwAAO13Y.jpg")</f>
        <v>https://pbs.twimg.com/media/FhWdWZuXwAAO13Y.jpg</v>
      </c>
      <c r="Y67" s="94" t="str">
        <f>HYPERLINK("https://pbs.twimg.com/media/FhWdWZuXwAAO13Y.jpg")</f>
        <v>https://pbs.twimg.com/media/FhWdWZuXwAAO13Y.jpg</v>
      </c>
      <c r="Z67" s="91">
        <v>44877.36381944444</v>
      </c>
      <c r="AA67" s="100">
        <v>44877</v>
      </c>
      <c r="AB67" s="97" t="s">
        <v>505</v>
      </c>
      <c r="AC67" s="94" t="str">
        <f>HYPERLINK("https://twitter.com/dw2/status/1591351063663480833")</f>
        <v>https://twitter.com/dw2/status/1591351063663480833</v>
      </c>
      <c r="AD67" s="66"/>
      <c r="AE67" s="66"/>
      <c r="AF67" s="97" t="s">
        <v>638</v>
      </c>
      <c r="AG67" s="66"/>
      <c r="AH67" s="66" t="b">
        <v>0</v>
      </c>
      <c r="AI67" s="66">
        <v>20</v>
      </c>
      <c r="AJ67" s="97" t="s">
        <v>712</v>
      </c>
      <c r="AK67" s="66" t="b">
        <v>0</v>
      </c>
      <c r="AL67" s="66" t="s">
        <v>714</v>
      </c>
      <c r="AM67" s="66"/>
      <c r="AN67" s="97" t="s">
        <v>712</v>
      </c>
      <c r="AO67" s="66" t="b">
        <v>0</v>
      </c>
      <c r="AP67" s="66">
        <v>6</v>
      </c>
      <c r="AQ67" s="97" t="s">
        <v>712</v>
      </c>
      <c r="AR67" s="97" t="s">
        <v>719</v>
      </c>
      <c r="AS67" s="66" t="b">
        <v>0</v>
      </c>
      <c r="AT67" s="97" t="s">
        <v>638</v>
      </c>
      <c r="AU67" s="66" t="s">
        <v>241</v>
      </c>
      <c r="AV67" s="66">
        <v>0</v>
      </c>
      <c r="AW67" s="66">
        <v>0</v>
      </c>
      <c r="AX67" s="66"/>
      <c r="AY67" s="66"/>
      <c r="AZ67" s="66"/>
      <c r="BA67" s="66"/>
      <c r="BB67" s="66"/>
      <c r="BC67" s="66"/>
      <c r="BD67" s="66"/>
      <c r="BE67" s="66"/>
      <c r="BF67" s="45">
        <v>0</v>
      </c>
      <c r="BG67" s="46">
        <v>0</v>
      </c>
      <c r="BH67" s="45">
        <v>0</v>
      </c>
      <c r="BI67" s="46">
        <v>0</v>
      </c>
      <c r="BJ67" s="45">
        <v>0</v>
      </c>
      <c r="BK67" s="46">
        <v>0</v>
      </c>
      <c r="BL67" s="45">
        <v>5</v>
      </c>
      <c r="BM67" s="46">
        <v>83.33333333333333</v>
      </c>
      <c r="BN67" s="45">
        <v>6</v>
      </c>
    </row>
    <row r="68" spans="1:66" ht="15">
      <c r="A68" s="62" t="s">
        <v>304</v>
      </c>
      <c r="B68" s="62" t="s">
        <v>304</v>
      </c>
      <c r="C68" s="64"/>
      <c r="D68" s="67"/>
      <c r="E68" s="68"/>
      <c r="F68" s="69"/>
      <c r="G68" s="64"/>
      <c r="H68" s="70"/>
      <c r="I68" s="71"/>
      <c r="J68" s="71"/>
      <c r="K68" s="31" t="s">
        <v>65</v>
      </c>
      <c r="L68" s="79">
        <v>167</v>
      </c>
      <c r="M68" s="79"/>
      <c r="N68" s="73"/>
      <c r="O68" s="66">
        <v>3</v>
      </c>
      <c r="P68" s="63" t="str">
        <f>REPLACE(INDEX(GroupVertices[Group],MATCH(Edges25[[#This Row],[Vertex 1]],GroupVertices[Vertex],0)),1,1,"")</f>
        <v>5</v>
      </c>
      <c r="Q68" s="63" t="str">
        <f>REPLACE(INDEX(GroupVertices[Group],MATCH(Edges25[[#This Row],[Vertex 2]],GroupVertices[Vertex],0)),1,1,"")</f>
        <v>5</v>
      </c>
      <c r="R68" s="66" t="s">
        <v>241</v>
      </c>
      <c r="S68" s="91">
        <v>44877.662824074076</v>
      </c>
      <c r="T68" s="66" t="s">
        <v>336</v>
      </c>
      <c r="U68" s="66"/>
      <c r="V68" s="66"/>
      <c r="W68" s="97" t="s">
        <v>421</v>
      </c>
      <c r="X68" s="94" t="str">
        <f>HYPERLINK("https://pbs.twimg.com/media/FhX_xegXoAIf7pk.jpg")</f>
        <v>https://pbs.twimg.com/media/FhX_xegXoAIf7pk.jpg</v>
      </c>
      <c r="Y68" s="94" t="str">
        <f>HYPERLINK("https://pbs.twimg.com/media/FhX_xegXoAIf7pk.jpg")</f>
        <v>https://pbs.twimg.com/media/FhX_xegXoAIf7pk.jpg</v>
      </c>
      <c r="Z68" s="91">
        <v>44877.662824074076</v>
      </c>
      <c r="AA68" s="100">
        <v>44877</v>
      </c>
      <c r="AB68" s="97" t="s">
        <v>506</v>
      </c>
      <c r="AC68" s="94" t="str">
        <f>HYPERLINK("https://twitter.com/dw2/status/1591459422395846658")</f>
        <v>https://twitter.com/dw2/status/1591459422395846658</v>
      </c>
      <c r="AD68" s="66"/>
      <c r="AE68" s="66"/>
      <c r="AF68" s="97" t="s">
        <v>639</v>
      </c>
      <c r="AG68" s="66"/>
      <c r="AH68" s="66" t="b">
        <v>0</v>
      </c>
      <c r="AI68" s="66">
        <v>8</v>
      </c>
      <c r="AJ68" s="97" t="s">
        <v>712</v>
      </c>
      <c r="AK68" s="66" t="b">
        <v>0</v>
      </c>
      <c r="AL68" s="66" t="s">
        <v>714</v>
      </c>
      <c r="AM68" s="66"/>
      <c r="AN68" s="97" t="s">
        <v>712</v>
      </c>
      <c r="AO68" s="66" t="b">
        <v>0</v>
      </c>
      <c r="AP68" s="66">
        <v>4</v>
      </c>
      <c r="AQ68" s="97" t="s">
        <v>712</v>
      </c>
      <c r="AR68" s="97" t="s">
        <v>719</v>
      </c>
      <c r="AS68" s="66" t="b">
        <v>0</v>
      </c>
      <c r="AT68" s="97" t="s">
        <v>639</v>
      </c>
      <c r="AU68" s="66" t="s">
        <v>241</v>
      </c>
      <c r="AV68" s="66">
        <v>0</v>
      </c>
      <c r="AW68" s="66">
        <v>0</v>
      </c>
      <c r="AX68" s="66"/>
      <c r="AY68" s="66"/>
      <c r="AZ68" s="66"/>
      <c r="BA68" s="66"/>
      <c r="BB68" s="66"/>
      <c r="BC68" s="66"/>
      <c r="BD68" s="66"/>
      <c r="BE68" s="66"/>
      <c r="BF68" s="45">
        <v>1</v>
      </c>
      <c r="BG68" s="46">
        <v>7.6923076923076925</v>
      </c>
      <c r="BH68" s="45">
        <v>0</v>
      </c>
      <c r="BI68" s="46">
        <v>0</v>
      </c>
      <c r="BJ68" s="45">
        <v>0</v>
      </c>
      <c r="BK68" s="46">
        <v>0</v>
      </c>
      <c r="BL68" s="45">
        <v>7</v>
      </c>
      <c r="BM68" s="46">
        <v>53.84615384615385</v>
      </c>
      <c r="BN68" s="45">
        <v>13</v>
      </c>
    </row>
    <row r="69" spans="1:66" ht="15">
      <c r="A69" s="62" t="s">
        <v>298</v>
      </c>
      <c r="B69" s="62" t="s">
        <v>304</v>
      </c>
      <c r="C69" s="64"/>
      <c r="D69" s="67"/>
      <c r="E69" s="68"/>
      <c r="F69" s="69"/>
      <c r="G69" s="64"/>
      <c r="H69" s="70"/>
      <c r="I69" s="71"/>
      <c r="J69" s="71"/>
      <c r="K69" s="31" t="s">
        <v>65</v>
      </c>
      <c r="L69" s="79">
        <v>168</v>
      </c>
      <c r="M69" s="79"/>
      <c r="N69" s="73"/>
      <c r="O69" s="66">
        <v>3</v>
      </c>
      <c r="P69" s="63" t="str">
        <f>REPLACE(INDEX(GroupVertices[Group],MATCH(Edges25[[#This Row],[Vertex 1]],GroupVertices[Vertex],0)),1,1,"")</f>
        <v>2</v>
      </c>
      <c r="Q69" s="63" t="str">
        <f>REPLACE(INDEX(GroupVertices[Group],MATCH(Edges25[[#This Row],[Vertex 2]],GroupVertices[Vertex],0)),1,1,"")</f>
        <v>5</v>
      </c>
      <c r="R69" s="66" t="s">
        <v>315</v>
      </c>
      <c r="S69" s="91">
        <v>44877.418541666666</v>
      </c>
      <c r="T69" s="66" t="s">
        <v>318</v>
      </c>
      <c r="U69" s="66"/>
      <c r="V69" s="66"/>
      <c r="W69" s="97" t="s">
        <v>421</v>
      </c>
      <c r="X69" s="94" t="str">
        <f>HYPERLINK("https://pbs.twimg.com/media/FhWdWZuXwAAO13Y.jpg")</f>
        <v>https://pbs.twimg.com/media/FhWdWZuXwAAO13Y.jpg</v>
      </c>
      <c r="Y69" s="94" t="str">
        <f>HYPERLINK("https://pbs.twimg.com/media/FhWdWZuXwAAO13Y.jpg")</f>
        <v>https://pbs.twimg.com/media/FhWdWZuXwAAO13Y.jpg</v>
      </c>
      <c r="Z69" s="91">
        <v>44877.418541666666</v>
      </c>
      <c r="AA69" s="100">
        <v>44877</v>
      </c>
      <c r="AB69" s="97" t="s">
        <v>507</v>
      </c>
      <c r="AC69" s="94" t="str">
        <f>HYPERLINK("https://twitter.com/transvisionmad1/status/1591370896316727296")</f>
        <v>https://twitter.com/transvisionmad1/status/1591370896316727296</v>
      </c>
      <c r="AD69" s="66"/>
      <c r="AE69" s="66"/>
      <c r="AF69" s="97" t="s">
        <v>640</v>
      </c>
      <c r="AG69" s="66"/>
      <c r="AH69" s="66" t="b">
        <v>0</v>
      </c>
      <c r="AI69" s="66">
        <v>0</v>
      </c>
      <c r="AJ69" s="97" t="s">
        <v>712</v>
      </c>
      <c r="AK69" s="66" t="b">
        <v>0</v>
      </c>
      <c r="AL69" s="66" t="s">
        <v>714</v>
      </c>
      <c r="AM69" s="66"/>
      <c r="AN69" s="97" t="s">
        <v>712</v>
      </c>
      <c r="AO69" s="66" t="b">
        <v>0</v>
      </c>
      <c r="AP69" s="66">
        <v>6</v>
      </c>
      <c r="AQ69" s="97" t="s">
        <v>638</v>
      </c>
      <c r="AR69" s="97" t="s">
        <v>717</v>
      </c>
      <c r="AS69" s="66" t="b">
        <v>0</v>
      </c>
      <c r="AT69" s="97" t="s">
        <v>638</v>
      </c>
      <c r="AU69" s="66" t="s">
        <v>241</v>
      </c>
      <c r="AV69" s="66">
        <v>0</v>
      </c>
      <c r="AW69" s="66">
        <v>0</v>
      </c>
      <c r="AX69" s="66"/>
      <c r="AY69" s="66"/>
      <c r="AZ69" s="66"/>
      <c r="BA69" s="66"/>
      <c r="BB69" s="66"/>
      <c r="BC69" s="66"/>
      <c r="BD69" s="66"/>
      <c r="BE69" s="66"/>
      <c r="BF69" s="45">
        <v>0</v>
      </c>
      <c r="BG69" s="46">
        <v>0</v>
      </c>
      <c r="BH69" s="45">
        <v>0</v>
      </c>
      <c r="BI69" s="46">
        <v>0</v>
      </c>
      <c r="BJ69" s="45">
        <v>0</v>
      </c>
      <c r="BK69" s="46">
        <v>0</v>
      </c>
      <c r="BL69" s="45">
        <v>5</v>
      </c>
      <c r="BM69" s="46">
        <v>83.33333333333333</v>
      </c>
      <c r="BN69" s="45">
        <v>6</v>
      </c>
    </row>
    <row r="70" spans="1:66" ht="15">
      <c r="A70" s="62" t="s">
        <v>298</v>
      </c>
      <c r="B70" s="62" t="s">
        <v>304</v>
      </c>
      <c r="C70" s="64"/>
      <c r="D70" s="67"/>
      <c r="E70" s="68"/>
      <c r="F70" s="69"/>
      <c r="G70" s="64"/>
      <c r="H70" s="70"/>
      <c r="I70" s="71"/>
      <c r="J70" s="71"/>
      <c r="K70" s="31" t="s">
        <v>65</v>
      </c>
      <c r="L70" s="79">
        <v>169</v>
      </c>
      <c r="M70" s="79"/>
      <c r="N70" s="73"/>
      <c r="O70" s="66">
        <v>3</v>
      </c>
      <c r="P70" s="63" t="str">
        <f>REPLACE(INDEX(GroupVertices[Group],MATCH(Edges25[[#This Row],[Vertex 1]],GroupVertices[Vertex],0)),1,1,"")</f>
        <v>2</v>
      </c>
      <c r="Q70" s="63" t="str">
        <f>REPLACE(INDEX(GroupVertices[Group],MATCH(Edges25[[#This Row],[Vertex 2]],GroupVertices[Vertex],0)),1,1,"")</f>
        <v>5</v>
      </c>
      <c r="R70" s="66" t="s">
        <v>315</v>
      </c>
      <c r="S70" s="91">
        <v>44877.41878472222</v>
      </c>
      <c r="T70" s="66" t="s">
        <v>328</v>
      </c>
      <c r="U70" s="94" t="str">
        <f>HYPERLINK("https://www.transvisionmadrid.com/en/2022.html")</f>
        <v>https://www.transvisionmadrid.com/en/2022.html</v>
      </c>
      <c r="V70" s="66" t="s">
        <v>407</v>
      </c>
      <c r="W70" s="97" t="s">
        <v>421</v>
      </c>
      <c r="X70" s="94" t="str">
        <f>HYPERLINK("https://pbs.twimg.com/media/FhN2si8XwAIi1Du.jpg")</f>
        <v>https://pbs.twimg.com/media/FhN2si8XwAIi1Du.jpg</v>
      </c>
      <c r="Y70" s="94" t="str">
        <f>HYPERLINK("https://pbs.twimg.com/media/FhN2si8XwAIi1Du.jpg")</f>
        <v>https://pbs.twimg.com/media/FhN2si8XwAIi1Du.jpg</v>
      </c>
      <c r="Z70" s="91">
        <v>44877.41878472222</v>
      </c>
      <c r="AA70" s="100">
        <v>44877</v>
      </c>
      <c r="AB70" s="97" t="s">
        <v>508</v>
      </c>
      <c r="AC70" s="94" t="str">
        <f>HYPERLINK("https://twitter.com/transvisionmad1/status/1591370983591809025")</f>
        <v>https://twitter.com/transvisionmad1/status/1591370983591809025</v>
      </c>
      <c r="AD70" s="66"/>
      <c r="AE70" s="66"/>
      <c r="AF70" s="97" t="s">
        <v>641</v>
      </c>
      <c r="AG70" s="66"/>
      <c r="AH70" s="66" t="b">
        <v>0</v>
      </c>
      <c r="AI70" s="66">
        <v>0</v>
      </c>
      <c r="AJ70" s="97" t="s">
        <v>712</v>
      </c>
      <c r="AK70" s="66" t="b">
        <v>0</v>
      </c>
      <c r="AL70" s="66" t="s">
        <v>714</v>
      </c>
      <c r="AM70" s="66"/>
      <c r="AN70" s="97" t="s">
        <v>712</v>
      </c>
      <c r="AO70" s="66" t="b">
        <v>0</v>
      </c>
      <c r="AP70" s="66">
        <v>2</v>
      </c>
      <c r="AQ70" s="97" t="s">
        <v>637</v>
      </c>
      <c r="AR70" s="97" t="s">
        <v>717</v>
      </c>
      <c r="AS70" s="66" t="b">
        <v>0</v>
      </c>
      <c r="AT70" s="97" t="s">
        <v>637</v>
      </c>
      <c r="AU70" s="66" t="s">
        <v>241</v>
      </c>
      <c r="AV70" s="66">
        <v>0</v>
      </c>
      <c r="AW70" s="66">
        <v>0</v>
      </c>
      <c r="AX70" s="66"/>
      <c r="AY70" s="66"/>
      <c r="AZ70" s="66"/>
      <c r="BA70" s="66"/>
      <c r="BB70" s="66"/>
      <c r="BC70" s="66"/>
      <c r="BD70" s="66"/>
      <c r="BE70" s="66"/>
      <c r="BF70" s="45">
        <v>0</v>
      </c>
      <c r="BG70" s="46">
        <v>0</v>
      </c>
      <c r="BH70" s="45">
        <v>0</v>
      </c>
      <c r="BI70" s="46">
        <v>0</v>
      </c>
      <c r="BJ70" s="45">
        <v>0</v>
      </c>
      <c r="BK70" s="46">
        <v>0</v>
      </c>
      <c r="BL70" s="45">
        <v>17</v>
      </c>
      <c r="BM70" s="46">
        <v>62.96296296296296</v>
      </c>
      <c r="BN70" s="45">
        <v>27</v>
      </c>
    </row>
    <row r="71" spans="1:66" ht="15">
      <c r="A71" s="62" t="s">
        <v>298</v>
      </c>
      <c r="B71" s="62" t="s">
        <v>304</v>
      </c>
      <c r="C71" s="64"/>
      <c r="D71" s="67"/>
      <c r="E71" s="68"/>
      <c r="F71" s="69"/>
      <c r="G71" s="64"/>
      <c r="H71" s="70"/>
      <c r="I71" s="71"/>
      <c r="J71" s="71"/>
      <c r="K71" s="31" t="s">
        <v>65</v>
      </c>
      <c r="L71" s="79">
        <v>171</v>
      </c>
      <c r="M71" s="79"/>
      <c r="N71" s="73"/>
      <c r="O71" s="66">
        <v>1</v>
      </c>
      <c r="P71" s="63" t="str">
        <f>REPLACE(INDEX(GroupVertices[Group],MATCH(Edges25[[#This Row],[Vertex 1]],GroupVertices[Vertex],0)),1,1,"")</f>
        <v>2</v>
      </c>
      <c r="Q71" s="63" t="str">
        <f>REPLACE(INDEX(GroupVertices[Group],MATCH(Edges25[[#This Row],[Vertex 2]],GroupVertices[Vertex],0)),1,1,"")</f>
        <v>5</v>
      </c>
      <c r="R71" s="66" t="s">
        <v>317</v>
      </c>
      <c r="S71" s="91">
        <v>44877.61263888889</v>
      </c>
      <c r="T71" s="66" t="s">
        <v>347</v>
      </c>
      <c r="U71" s="94" t="str">
        <f>HYPERLINK("https://www.youtube.com/watch?v=erkbGlWtX3Q")</f>
        <v>https://www.youtube.com/watch?v=erkbGlWtX3Q</v>
      </c>
      <c r="V71" s="66" t="s">
        <v>403</v>
      </c>
      <c r="W71" s="97" t="s">
        <v>427</v>
      </c>
      <c r="X71" s="94" t="str">
        <f>HYPERLINK("https://pbs.twimg.com/media/FhXtuIwXoAIQHKd.jpg")</f>
        <v>https://pbs.twimg.com/media/FhXtuIwXoAIQHKd.jpg</v>
      </c>
      <c r="Y71" s="94" t="str">
        <f>HYPERLINK("https://pbs.twimg.com/media/FhXtuIwXoAIQHKd.jpg")</f>
        <v>https://pbs.twimg.com/media/FhXtuIwXoAIQHKd.jpg</v>
      </c>
      <c r="Z71" s="91">
        <v>44877.61263888889</v>
      </c>
      <c r="AA71" s="100">
        <v>44877</v>
      </c>
      <c r="AB71" s="97" t="s">
        <v>509</v>
      </c>
      <c r="AC71" s="94" t="str">
        <f>HYPERLINK("https://twitter.com/transvisionmad1/status/1591441233578172418")</f>
        <v>https://twitter.com/transvisionmad1/status/1591441233578172418</v>
      </c>
      <c r="AD71" s="66"/>
      <c r="AE71" s="66"/>
      <c r="AF71" s="97" t="s">
        <v>642</v>
      </c>
      <c r="AG71" s="66"/>
      <c r="AH71" s="66" t="b">
        <v>0</v>
      </c>
      <c r="AI71" s="66">
        <v>0</v>
      </c>
      <c r="AJ71" s="97" t="s">
        <v>712</v>
      </c>
      <c r="AK71" s="66" t="b">
        <v>0</v>
      </c>
      <c r="AL71" s="66" t="s">
        <v>714</v>
      </c>
      <c r="AM71" s="66"/>
      <c r="AN71" s="97" t="s">
        <v>712</v>
      </c>
      <c r="AO71" s="66" t="b">
        <v>0</v>
      </c>
      <c r="AP71" s="66">
        <v>0</v>
      </c>
      <c r="AQ71" s="97" t="s">
        <v>712</v>
      </c>
      <c r="AR71" s="97" t="s">
        <v>717</v>
      </c>
      <c r="AS71" s="66" t="b">
        <v>0</v>
      </c>
      <c r="AT71" s="97" t="s">
        <v>642</v>
      </c>
      <c r="AU71" s="66" t="s">
        <v>241</v>
      </c>
      <c r="AV71" s="66">
        <v>0</v>
      </c>
      <c r="AW71" s="66">
        <v>0</v>
      </c>
      <c r="AX71" s="66"/>
      <c r="AY71" s="66"/>
      <c r="AZ71" s="66"/>
      <c r="BA71" s="66"/>
      <c r="BB71" s="66"/>
      <c r="BC71" s="66"/>
      <c r="BD71" s="66"/>
      <c r="BE71" s="66"/>
      <c r="BF71" s="45">
        <v>1</v>
      </c>
      <c r="BG71" s="46">
        <v>6.666666666666667</v>
      </c>
      <c r="BH71" s="45">
        <v>0</v>
      </c>
      <c r="BI71" s="46">
        <v>0</v>
      </c>
      <c r="BJ71" s="45">
        <v>0</v>
      </c>
      <c r="BK71" s="46">
        <v>0</v>
      </c>
      <c r="BL71" s="45">
        <v>11</v>
      </c>
      <c r="BM71" s="46">
        <v>73.33333333333333</v>
      </c>
      <c r="BN71" s="45">
        <v>15</v>
      </c>
    </row>
    <row r="72" spans="1:66" ht="15">
      <c r="A72" s="62" t="s">
        <v>298</v>
      </c>
      <c r="B72" s="62" t="s">
        <v>304</v>
      </c>
      <c r="C72" s="64"/>
      <c r="D72" s="67"/>
      <c r="E72" s="68"/>
      <c r="F72" s="69"/>
      <c r="G72" s="64"/>
      <c r="H72" s="70"/>
      <c r="I72" s="71"/>
      <c r="J72" s="71"/>
      <c r="K72" s="31" t="s">
        <v>65</v>
      </c>
      <c r="L72" s="79">
        <v>172</v>
      </c>
      <c r="M72" s="79"/>
      <c r="N72" s="73"/>
      <c r="O72" s="66">
        <v>3</v>
      </c>
      <c r="P72" s="63" t="str">
        <f>REPLACE(INDEX(GroupVertices[Group],MATCH(Edges25[[#This Row],[Vertex 1]],GroupVertices[Vertex],0)),1,1,"")</f>
        <v>2</v>
      </c>
      <c r="Q72" s="63" t="str">
        <f>REPLACE(INDEX(GroupVertices[Group],MATCH(Edges25[[#This Row],[Vertex 2]],GroupVertices[Vertex],0)),1,1,"")</f>
        <v>5</v>
      </c>
      <c r="R72" s="66" t="s">
        <v>315</v>
      </c>
      <c r="S72" s="91">
        <v>44878.36201388889</v>
      </c>
      <c r="T72" s="66" t="s">
        <v>336</v>
      </c>
      <c r="U72" s="66"/>
      <c r="V72" s="66"/>
      <c r="W72" s="97" t="s">
        <v>421</v>
      </c>
      <c r="X72" s="94" t="str">
        <f>HYPERLINK("https://pbs.twimg.com/media/FhX_xegXoAIf7pk.jpg")</f>
        <v>https://pbs.twimg.com/media/FhX_xegXoAIf7pk.jpg</v>
      </c>
      <c r="Y72" s="94" t="str">
        <f>HYPERLINK("https://pbs.twimg.com/media/FhX_xegXoAIf7pk.jpg")</f>
        <v>https://pbs.twimg.com/media/FhX_xegXoAIf7pk.jpg</v>
      </c>
      <c r="Z72" s="91">
        <v>44878.36201388889</v>
      </c>
      <c r="AA72" s="100">
        <v>44878</v>
      </c>
      <c r="AB72" s="97" t="s">
        <v>510</v>
      </c>
      <c r="AC72" s="94" t="str">
        <f>HYPERLINK("https://twitter.com/transvisionmad1/status/1591712799193198592")</f>
        <v>https://twitter.com/transvisionmad1/status/1591712799193198592</v>
      </c>
      <c r="AD72" s="66"/>
      <c r="AE72" s="66"/>
      <c r="AF72" s="97" t="s">
        <v>643</v>
      </c>
      <c r="AG72" s="66"/>
      <c r="AH72" s="66" t="b">
        <v>0</v>
      </c>
      <c r="AI72" s="66">
        <v>0</v>
      </c>
      <c r="AJ72" s="97" t="s">
        <v>712</v>
      </c>
      <c r="AK72" s="66" t="b">
        <v>0</v>
      </c>
      <c r="AL72" s="66" t="s">
        <v>714</v>
      </c>
      <c r="AM72" s="66"/>
      <c r="AN72" s="97" t="s">
        <v>712</v>
      </c>
      <c r="AO72" s="66" t="b">
        <v>0</v>
      </c>
      <c r="AP72" s="66">
        <v>4</v>
      </c>
      <c r="AQ72" s="97" t="s">
        <v>639</v>
      </c>
      <c r="AR72" s="97" t="s">
        <v>717</v>
      </c>
      <c r="AS72" s="66" t="b">
        <v>0</v>
      </c>
      <c r="AT72" s="97" t="s">
        <v>639</v>
      </c>
      <c r="AU72" s="66" t="s">
        <v>241</v>
      </c>
      <c r="AV72" s="66">
        <v>0</v>
      </c>
      <c r="AW72" s="66">
        <v>0</v>
      </c>
      <c r="AX72" s="66"/>
      <c r="AY72" s="66"/>
      <c r="AZ72" s="66"/>
      <c r="BA72" s="66"/>
      <c r="BB72" s="66"/>
      <c r="BC72" s="66"/>
      <c r="BD72" s="66"/>
      <c r="BE72" s="66"/>
      <c r="BF72" s="45">
        <v>1</v>
      </c>
      <c r="BG72" s="46">
        <v>7.6923076923076925</v>
      </c>
      <c r="BH72" s="45">
        <v>0</v>
      </c>
      <c r="BI72" s="46">
        <v>0</v>
      </c>
      <c r="BJ72" s="45">
        <v>0</v>
      </c>
      <c r="BK72" s="46">
        <v>0</v>
      </c>
      <c r="BL72" s="45">
        <v>7</v>
      </c>
      <c r="BM72" s="46">
        <v>53.84615384615385</v>
      </c>
      <c r="BN72" s="45">
        <v>13</v>
      </c>
    </row>
    <row r="73" spans="1:66" ht="15">
      <c r="A73" s="62" t="s">
        <v>298</v>
      </c>
      <c r="B73" s="62" t="s">
        <v>298</v>
      </c>
      <c r="C73" s="64"/>
      <c r="D73" s="67"/>
      <c r="E73" s="68"/>
      <c r="F73" s="69"/>
      <c r="G73" s="64"/>
      <c r="H73" s="70"/>
      <c r="I73" s="71"/>
      <c r="J73" s="71"/>
      <c r="K73" s="31" t="s">
        <v>65</v>
      </c>
      <c r="L73" s="79">
        <v>174</v>
      </c>
      <c r="M73" s="79"/>
      <c r="N73" s="73"/>
      <c r="O73" s="66">
        <v>22</v>
      </c>
      <c r="P73" s="63" t="str">
        <f>REPLACE(INDEX(GroupVertices[Group],MATCH(Edges25[[#This Row],[Vertex 1]],GroupVertices[Vertex],0)),1,1,"")</f>
        <v>2</v>
      </c>
      <c r="Q73" s="63" t="str">
        <f>REPLACE(INDEX(GroupVertices[Group],MATCH(Edges25[[#This Row],[Vertex 2]],GroupVertices[Vertex],0)),1,1,"")</f>
        <v>2</v>
      </c>
      <c r="R73" s="66" t="s">
        <v>241</v>
      </c>
      <c r="S73" s="91">
        <v>44875.414131944446</v>
      </c>
      <c r="T73" s="66" t="s">
        <v>348</v>
      </c>
      <c r="U73" s="94" t="str">
        <f>HYPERLINK("http://transvisionmadrid.com")</f>
        <v>http://transvisionmadrid.com</v>
      </c>
      <c r="V73" s="66" t="s">
        <v>407</v>
      </c>
      <c r="W73" s="97" t="s">
        <v>428</v>
      </c>
      <c r="X73" s="94" t="str">
        <f>HYPERLINK("https://pbs.twimg.com/media/FhMawqBXwAAYDEv.jpg")</f>
        <v>https://pbs.twimg.com/media/FhMawqBXwAAYDEv.jpg</v>
      </c>
      <c r="Y73" s="94" t="str">
        <f>HYPERLINK("https://pbs.twimg.com/media/FhMawqBXwAAYDEv.jpg")</f>
        <v>https://pbs.twimg.com/media/FhMawqBXwAAYDEv.jpg</v>
      </c>
      <c r="Z73" s="91">
        <v>44875.414131944446</v>
      </c>
      <c r="AA73" s="100">
        <v>44875</v>
      </c>
      <c r="AB73" s="97" t="s">
        <v>511</v>
      </c>
      <c r="AC73" s="94" t="str">
        <f>HYPERLINK("https://twitter.com/transvisionmad1/status/1590644520517091328")</f>
        <v>https://twitter.com/transvisionmad1/status/1590644520517091328</v>
      </c>
      <c r="AD73" s="66"/>
      <c r="AE73" s="66"/>
      <c r="AF73" s="97" t="s">
        <v>644</v>
      </c>
      <c r="AG73" s="66"/>
      <c r="AH73" s="66" t="b">
        <v>0</v>
      </c>
      <c r="AI73" s="66">
        <v>0</v>
      </c>
      <c r="AJ73" s="97" t="s">
        <v>712</v>
      </c>
      <c r="AK73" s="66" t="b">
        <v>0</v>
      </c>
      <c r="AL73" s="66" t="s">
        <v>714</v>
      </c>
      <c r="AM73" s="66"/>
      <c r="AN73" s="97" t="s">
        <v>712</v>
      </c>
      <c r="AO73" s="66" t="b">
        <v>0</v>
      </c>
      <c r="AP73" s="66">
        <v>0</v>
      </c>
      <c r="AQ73" s="97" t="s">
        <v>712</v>
      </c>
      <c r="AR73" s="97" t="s">
        <v>724</v>
      </c>
      <c r="AS73" s="66" t="b">
        <v>0</v>
      </c>
      <c r="AT73" s="97" t="s">
        <v>644</v>
      </c>
      <c r="AU73" s="66" t="s">
        <v>241</v>
      </c>
      <c r="AV73" s="66">
        <v>0</v>
      </c>
      <c r="AW73" s="66">
        <v>0</v>
      </c>
      <c r="AX73" s="66"/>
      <c r="AY73" s="66"/>
      <c r="AZ73" s="66"/>
      <c r="BA73" s="66"/>
      <c r="BB73" s="66"/>
      <c r="BC73" s="66"/>
      <c r="BD73" s="66"/>
      <c r="BE73" s="66"/>
      <c r="BF73" s="45">
        <v>0</v>
      </c>
      <c r="BG73" s="46">
        <v>0</v>
      </c>
      <c r="BH73" s="45">
        <v>0</v>
      </c>
      <c r="BI73" s="46">
        <v>0</v>
      </c>
      <c r="BJ73" s="45">
        <v>0</v>
      </c>
      <c r="BK73" s="46">
        <v>0</v>
      </c>
      <c r="BL73" s="45">
        <v>16</v>
      </c>
      <c r="BM73" s="46">
        <v>84.21052631578948</v>
      </c>
      <c r="BN73" s="45">
        <v>19</v>
      </c>
    </row>
    <row r="74" spans="1:66" ht="15">
      <c r="A74" s="62" t="s">
        <v>298</v>
      </c>
      <c r="B74" s="62" t="s">
        <v>298</v>
      </c>
      <c r="C74" s="64"/>
      <c r="D74" s="67"/>
      <c r="E74" s="68"/>
      <c r="F74" s="69"/>
      <c r="G74" s="64"/>
      <c r="H74" s="70"/>
      <c r="I74" s="71"/>
      <c r="J74" s="71"/>
      <c r="K74" s="31" t="s">
        <v>65</v>
      </c>
      <c r="L74" s="79">
        <v>175</v>
      </c>
      <c r="M74" s="79"/>
      <c r="N74" s="73"/>
      <c r="O74" s="66">
        <v>22</v>
      </c>
      <c r="P74" s="63" t="str">
        <f>REPLACE(INDEX(GroupVertices[Group],MATCH(Edges25[[#This Row],[Vertex 1]],GroupVertices[Vertex],0)),1,1,"")</f>
        <v>2</v>
      </c>
      <c r="Q74" s="63" t="str">
        <f>REPLACE(INDEX(GroupVertices[Group],MATCH(Edges25[[#This Row],[Vertex 2]],GroupVertices[Vertex],0)),1,1,"")</f>
        <v>2</v>
      </c>
      <c r="R74" s="66" t="s">
        <v>241</v>
      </c>
      <c r="S74" s="91">
        <v>44875.636354166665</v>
      </c>
      <c r="T74" s="66" t="s">
        <v>349</v>
      </c>
      <c r="U74" s="94" t="str">
        <f>HYPERLINK("http://transvisionmadrid.com")</f>
        <v>http://transvisionmadrid.com</v>
      </c>
      <c r="V74" s="66" t="s">
        <v>407</v>
      </c>
      <c r="W74" s="97" t="s">
        <v>428</v>
      </c>
      <c r="X74" s="94" t="str">
        <f>HYPERLINK("https://pbs.twimg.com/media/FhNkAJLXoAEWJrT.jpg")</f>
        <v>https://pbs.twimg.com/media/FhNkAJLXoAEWJrT.jpg</v>
      </c>
      <c r="Y74" s="94" t="str">
        <f>HYPERLINK("https://pbs.twimg.com/media/FhNkAJLXoAEWJrT.jpg")</f>
        <v>https://pbs.twimg.com/media/FhNkAJLXoAEWJrT.jpg</v>
      </c>
      <c r="Z74" s="91">
        <v>44875.636354166665</v>
      </c>
      <c r="AA74" s="100">
        <v>44875</v>
      </c>
      <c r="AB74" s="97" t="s">
        <v>512</v>
      </c>
      <c r="AC74" s="94" t="str">
        <f>HYPERLINK("https://twitter.com/transvisionmad1/status/1590725051489329152")</f>
        <v>https://twitter.com/transvisionmad1/status/1590725051489329152</v>
      </c>
      <c r="AD74" s="66"/>
      <c r="AE74" s="66"/>
      <c r="AF74" s="97" t="s">
        <v>645</v>
      </c>
      <c r="AG74" s="66"/>
      <c r="AH74" s="66" t="b">
        <v>0</v>
      </c>
      <c r="AI74" s="66">
        <v>0</v>
      </c>
      <c r="AJ74" s="97" t="s">
        <v>712</v>
      </c>
      <c r="AK74" s="66" t="b">
        <v>0</v>
      </c>
      <c r="AL74" s="66" t="s">
        <v>714</v>
      </c>
      <c r="AM74" s="66"/>
      <c r="AN74" s="97" t="s">
        <v>712</v>
      </c>
      <c r="AO74" s="66" t="b">
        <v>0</v>
      </c>
      <c r="AP74" s="66">
        <v>0</v>
      </c>
      <c r="AQ74" s="97" t="s">
        <v>712</v>
      </c>
      <c r="AR74" s="97" t="s">
        <v>724</v>
      </c>
      <c r="AS74" s="66" t="b">
        <v>0</v>
      </c>
      <c r="AT74" s="97" t="s">
        <v>645</v>
      </c>
      <c r="AU74" s="66" t="s">
        <v>241</v>
      </c>
      <c r="AV74" s="66">
        <v>0</v>
      </c>
      <c r="AW74" s="66">
        <v>0</v>
      </c>
      <c r="AX74" s="66"/>
      <c r="AY74" s="66"/>
      <c r="AZ74" s="66"/>
      <c r="BA74" s="66"/>
      <c r="BB74" s="66"/>
      <c r="BC74" s="66"/>
      <c r="BD74" s="66"/>
      <c r="BE74" s="66"/>
      <c r="BF74" s="45">
        <v>0</v>
      </c>
      <c r="BG74" s="46">
        <v>0</v>
      </c>
      <c r="BH74" s="45">
        <v>0</v>
      </c>
      <c r="BI74" s="46">
        <v>0</v>
      </c>
      <c r="BJ74" s="45">
        <v>0</v>
      </c>
      <c r="BK74" s="46">
        <v>0</v>
      </c>
      <c r="BL74" s="45">
        <v>16</v>
      </c>
      <c r="BM74" s="46">
        <v>84.21052631578948</v>
      </c>
      <c r="BN74" s="45">
        <v>19</v>
      </c>
    </row>
    <row r="75" spans="1:66" ht="15">
      <c r="A75" s="62" t="s">
        <v>298</v>
      </c>
      <c r="B75" s="62" t="s">
        <v>298</v>
      </c>
      <c r="C75" s="64"/>
      <c r="D75" s="67"/>
      <c r="E75" s="68"/>
      <c r="F75" s="69"/>
      <c r="G75" s="64"/>
      <c r="H75" s="70"/>
      <c r="I75" s="71"/>
      <c r="J75" s="71"/>
      <c r="K75" s="31" t="s">
        <v>65</v>
      </c>
      <c r="L75" s="79">
        <v>176</v>
      </c>
      <c r="M75" s="79"/>
      <c r="N75" s="73"/>
      <c r="O75" s="66">
        <v>22</v>
      </c>
      <c r="P75" s="63" t="str">
        <f>REPLACE(INDEX(GroupVertices[Group],MATCH(Edges25[[#This Row],[Vertex 1]],GroupVertices[Vertex],0)),1,1,"")</f>
        <v>2</v>
      </c>
      <c r="Q75" s="63" t="str">
        <f>REPLACE(INDEX(GroupVertices[Group],MATCH(Edges25[[#This Row],[Vertex 2]],GroupVertices[Vertex],0)),1,1,"")</f>
        <v>2</v>
      </c>
      <c r="R75" s="66" t="s">
        <v>241</v>
      </c>
      <c r="S75" s="91">
        <v>44876.414131944446</v>
      </c>
      <c r="T75" s="66" t="s">
        <v>350</v>
      </c>
      <c r="U75" s="94" t="str">
        <f>HYPERLINK("http://transvisionmadrid.com")</f>
        <v>http://transvisionmadrid.com</v>
      </c>
      <c r="V75" s="66" t="s">
        <v>407</v>
      </c>
      <c r="W75" s="97" t="s">
        <v>428</v>
      </c>
      <c r="X75" s="94" t="str">
        <f>HYPERLINK("https://pbs.twimg.com/media/FhRkWd4XEAEO7ZX.jpg")</f>
        <v>https://pbs.twimg.com/media/FhRkWd4XEAEO7ZX.jpg</v>
      </c>
      <c r="Y75" s="94" t="str">
        <f>HYPERLINK("https://pbs.twimg.com/media/FhRkWd4XEAEO7ZX.jpg")</f>
        <v>https://pbs.twimg.com/media/FhRkWd4XEAEO7ZX.jpg</v>
      </c>
      <c r="Z75" s="91">
        <v>44876.414131944446</v>
      </c>
      <c r="AA75" s="100">
        <v>44876</v>
      </c>
      <c r="AB75" s="97" t="s">
        <v>511</v>
      </c>
      <c r="AC75" s="94" t="str">
        <f>HYPERLINK("https://twitter.com/transvisionmad1/status/1591006910886694912")</f>
        <v>https://twitter.com/transvisionmad1/status/1591006910886694912</v>
      </c>
      <c r="AD75" s="66"/>
      <c r="AE75" s="66"/>
      <c r="AF75" s="97" t="s">
        <v>646</v>
      </c>
      <c r="AG75" s="66"/>
      <c r="AH75" s="66" t="b">
        <v>0</v>
      </c>
      <c r="AI75" s="66">
        <v>1</v>
      </c>
      <c r="AJ75" s="97" t="s">
        <v>712</v>
      </c>
      <c r="AK75" s="66" t="b">
        <v>0</v>
      </c>
      <c r="AL75" s="66" t="s">
        <v>714</v>
      </c>
      <c r="AM75" s="66"/>
      <c r="AN75" s="97" t="s">
        <v>712</v>
      </c>
      <c r="AO75" s="66" t="b">
        <v>0</v>
      </c>
      <c r="AP75" s="66">
        <v>0</v>
      </c>
      <c r="AQ75" s="97" t="s">
        <v>712</v>
      </c>
      <c r="AR75" s="97" t="s">
        <v>724</v>
      </c>
      <c r="AS75" s="66" t="b">
        <v>0</v>
      </c>
      <c r="AT75" s="97" t="s">
        <v>646</v>
      </c>
      <c r="AU75" s="66" t="s">
        <v>241</v>
      </c>
      <c r="AV75" s="66">
        <v>0</v>
      </c>
      <c r="AW75" s="66">
        <v>0</v>
      </c>
      <c r="AX75" s="66"/>
      <c r="AY75" s="66"/>
      <c r="AZ75" s="66"/>
      <c r="BA75" s="66"/>
      <c r="BB75" s="66"/>
      <c r="BC75" s="66"/>
      <c r="BD75" s="66"/>
      <c r="BE75" s="66"/>
      <c r="BF75" s="45">
        <v>0</v>
      </c>
      <c r="BG75" s="46">
        <v>0</v>
      </c>
      <c r="BH75" s="45">
        <v>0</v>
      </c>
      <c r="BI75" s="46">
        <v>0</v>
      </c>
      <c r="BJ75" s="45">
        <v>0</v>
      </c>
      <c r="BK75" s="46">
        <v>0</v>
      </c>
      <c r="BL75" s="45">
        <v>17</v>
      </c>
      <c r="BM75" s="46">
        <v>85</v>
      </c>
      <c r="BN75" s="45">
        <v>20</v>
      </c>
    </row>
    <row r="76" spans="1:66" ht="15">
      <c r="A76" s="62" t="s">
        <v>298</v>
      </c>
      <c r="B76" s="62" t="s">
        <v>298</v>
      </c>
      <c r="C76" s="64"/>
      <c r="D76" s="67"/>
      <c r="E76" s="68"/>
      <c r="F76" s="69"/>
      <c r="G76" s="64"/>
      <c r="H76" s="70"/>
      <c r="I76" s="71"/>
      <c r="J76" s="71"/>
      <c r="K76" s="31" t="s">
        <v>65</v>
      </c>
      <c r="L76" s="79">
        <v>177</v>
      </c>
      <c r="M76" s="79"/>
      <c r="N76" s="73"/>
      <c r="O76" s="66">
        <v>22</v>
      </c>
      <c r="P76" s="63" t="str">
        <f>REPLACE(INDEX(GroupVertices[Group],MATCH(Edges25[[#This Row],[Vertex 1]],GroupVertices[Vertex],0)),1,1,"")</f>
        <v>2</v>
      </c>
      <c r="Q76" s="63" t="str">
        <f>REPLACE(INDEX(GroupVertices[Group],MATCH(Edges25[[#This Row],[Vertex 2]],GroupVertices[Vertex],0)),1,1,"")</f>
        <v>2</v>
      </c>
      <c r="R76" s="66" t="s">
        <v>241</v>
      </c>
      <c r="S76" s="91">
        <v>44876.636875</v>
      </c>
      <c r="T76" s="66" t="s">
        <v>351</v>
      </c>
      <c r="U76" s="94" t="str">
        <f>HYPERLINK("http://transvisionmadrid.com")</f>
        <v>http://transvisionmadrid.com</v>
      </c>
      <c r="V76" s="66" t="s">
        <v>407</v>
      </c>
      <c r="W76" s="97" t="s">
        <v>428</v>
      </c>
      <c r="X76" s="94" t="str">
        <f>HYPERLINK("https://pbs.twimg.com/media/FhStw5bWYAIB-Rt.jpg")</f>
        <v>https://pbs.twimg.com/media/FhStw5bWYAIB-Rt.jpg</v>
      </c>
      <c r="Y76" s="94" t="str">
        <f>HYPERLINK("https://pbs.twimg.com/media/FhStw5bWYAIB-Rt.jpg")</f>
        <v>https://pbs.twimg.com/media/FhStw5bWYAIB-Rt.jpg</v>
      </c>
      <c r="Z76" s="91">
        <v>44876.636875</v>
      </c>
      <c r="AA76" s="100">
        <v>44876</v>
      </c>
      <c r="AB76" s="97" t="s">
        <v>513</v>
      </c>
      <c r="AC76" s="94" t="str">
        <f>HYPERLINK("https://twitter.com/transvisionmad1/status/1591087629482729473")</f>
        <v>https://twitter.com/transvisionmad1/status/1591087629482729473</v>
      </c>
      <c r="AD76" s="66"/>
      <c r="AE76" s="66"/>
      <c r="AF76" s="97" t="s">
        <v>647</v>
      </c>
      <c r="AG76" s="66"/>
      <c r="AH76" s="66" t="b">
        <v>0</v>
      </c>
      <c r="AI76" s="66">
        <v>0</v>
      </c>
      <c r="AJ76" s="97" t="s">
        <v>712</v>
      </c>
      <c r="AK76" s="66" t="b">
        <v>0</v>
      </c>
      <c r="AL76" s="66" t="s">
        <v>714</v>
      </c>
      <c r="AM76" s="66"/>
      <c r="AN76" s="97" t="s">
        <v>712</v>
      </c>
      <c r="AO76" s="66" t="b">
        <v>0</v>
      </c>
      <c r="AP76" s="66">
        <v>0</v>
      </c>
      <c r="AQ76" s="97" t="s">
        <v>712</v>
      </c>
      <c r="AR76" s="97" t="s">
        <v>724</v>
      </c>
      <c r="AS76" s="66" t="b">
        <v>0</v>
      </c>
      <c r="AT76" s="97" t="s">
        <v>647</v>
      </c>
      <c r="AU76" s="66" t="s">
        <v>241</v>
      </c>
      <c r="AV76" s="66">
        <v>0</v>
      </c>
      <c r="AW76" s="66">
        <v>0</v>
      </c>
      <c r="AX76" s="66"/>
      <c r="AY76" s="66"/>
      <c r="AZ76" s="66"/>
      <c r="BA76" s="66"/>
      <c r="BB76" s="66"/>
      <c r="BC76" s="66"/>
      <c r="BD76" s="66"/>
      <c r="BE76" s="66"/>
      <c r="BF76" s="45">
        <v>0</v>
      </c>
      <c r="BG76" s="46">
        <v>0</v>
      </c>
      <c r="BH76" s="45">
        <v>0</v>
      </c>
      <c r="BI76" s="46">
        <v>0</v>
      </c>
      <c r="BJ76" s="45">
        <v>0</v>
      </c>
      <c r="BK76" s="46">
        <v>0</v>
      </c>
      <c r="BL76" s="45">
        <v>17</v>
      </c>
      <c r="BM76" s="46">
        <v>85</v>
      </c>
      <c r="BN76" s="45">
        <v>20</v>
      </c>
    </row>
    <row r="77" spans="1:66" ht="15">
      <c r="A77" s="62" t="s">
        <v>298</v>
      </c>
      <c r="B77" s="62" t="s">
        <v>298</v>
      </c>
      <c r="C77" s="64"/>
      <c r="D77" s="67"/>
      <c r="E77" s="68"/>
      <c r="F77" s="69"/>
      <c r="G77" s="64"/>
      <c r="H77" s="70"/>
      <c r="I77" s="71"/>
      <c r="J77" s="71"/>
      <c r="K77" s="31" t="s">
        <v>65</v>
      </c>
      <c r="L77" s="79">
        <v>178</v>
      </c>
      <c r="M77" s="79"/>
      <c r="N77" s="73"/>
      <c r="O77" s="66">
        <v>22</v>
      </c>
      <c r="P77" s="63" t="str">
        <f>REPLACE(INDEX(GroupVertices[Group],MATCH(Edges25[[#This Row],[Vertex 1]],GroupVertices[Vertex],0)),1,1,"")</f>
        <v>2</v>
      </c>
      <c r="Q77" s="63" t="str">
        <f>REPLACE(INDEX(GroupVertices[Group],MATCH(Edges25[[#This Row],[Vertex 2]],GroupVertices[Vertex],0)),1,1,"")</f>
        <v>2</v>
      </c>
      <c r="R77" s="66" t="s">
        <v>241</v>
      </c>
      <c r="S77" s="91">
        <v>44876.836331018516</v>
      </c>
      <c r="T77" s="66" t="s">
        <v>327</v>
      </c>
      <c r="U77" s="94" t="str">
        <f>HYPERLINK("http://transvisionmadrid.com")</f>
        <v>http://transvisionmadrid.com</v>
      </c>
      <c r="V77" s="66" t="s">
        <v>407</v>
      </c>
      <c r="W77" s="97" t="s">
        <v>428</v>
      </c>
      <c r="X77" s="94" t="str">
        <f>HYPERLINK("https://pbs.twimg.com/media/FhTvgAiXgBAb2MX.jpg")</f>
        <v>https://pbs.twimg.com/media/FhTvgAiXgBAb2MX.jpg</v>
      </c>
      <c r="Y77" s="94" t="str">
        <f>HYPERLINK("https://pbs.twimg.com/media/FhTvgAiXgBAb2MX.jpg")</f>
        <v>https://pbs.twimg.com/media/FhTvgAiXgBAb2MX.jpg</v>
      </c>
      <c r="Z77" s="91">
        <v>44876.836331018516</v>
      </c>
      <c r="AA77" s="100">
        <v>44876</v>
      </c>
      <c r="AB77" s="97" t="s">
        <v>514</v>
      </c>
      <c r="AC77" s="94" t="str">
        <f>HYPERLINK("https://twitter.com/transvisionmad1/status/1591159908736667648")</f>
        <v>https://twitter.com/transvisionmad1/status/1591159908736667648</v>
      </c>
      <c r="AD77" s="66"/>
      <c r="AE77" s="66"/>
      <c r="AF77" s="97" t="s">
        <v>648</v>
      </c>
      <c r="AG77" s="66"/>
      <c r="AH77" s="66" t="b">
        <v>0</v>
      </c>
      <c r="AI77" s="66">
        <v>3</v>
      </c>
      <c r="AJ77" s="97" t="s">
        <v>712</v>
      </c>
      <c r="AK77" s="66" t="b">
        <v>0</v>
      </c>
      <c r="AL77" s="66" t="s">
        <v>714</v>
      </c>
      <c r="AM77" s="66"/>
      <c r="AN77" s="97" t="s">
        <v>712</v>
      </c>
      <c r="AO77" s="66" t="b">
        <v>0</v>
      </c>
      <c r="AP77" s="66">
        <v>1</v>
      </c>
      <c r="AQ77" s="97" t="s">
        <v>712</v>
      </c>
      <c r="AR77" s="97" t="s">
        <v>724</v>
      </c>
      <c r="AS77" s="66" t="b">
        <v>0</v>
      </c>
      <c r="AT77" s="97" t="s">
        <v>648</v>
      </c>
      <c r="AU77" s="66" t="s">
        <v>241</v>
      </c>
      <c r="AV77" s="66">
        <v>0</v>
      </c>
      <c r="AW77" s="66">
        <v>0</v>
      </c>
      <c r="AX77" s="66"/>
      <c r="AY77" s="66"/>
      <c r="AZ77" s="66"/>
      <c r="BA77" s="66"/>
      <c r="BB77" s="66"/>
      <c r="BC77" s="66"/>
      <c r="BD77" s="66"/>
      <c r="BE77" s="66"/>
      <c r="BF77" s="45">
        <v>0</v>
      </c>
      <c r="BG77" s="46">
        <v>0</v>
      </c>
      <c r="BH77" s="45">
        <v>0</v>
      </c>
      <c r="BI77" s="46">
        <v>0</v>
      </c>
      <c r="BJ77" s="45">
        <v>0</v>
      </c>
      <c r="BK77" s="46">
        <v>0</v>
      </c>
      <c r="BL77" s="45">
        <v>16</v>
      </c>
      <c r="BM77" s="46">
        <v>84.21052631578948</v>
      </c>
      <c r="BN77" s="45">
        <v>19</v>
      </c>
    </row>
    <row r="78" spans="1:66" ht="15">
      <c r="A78" s="62" t="s">
        <v>298</v>
      </c>
      <c r="B78" s="62" t="s">
        <v>305</v>
      </c>
      <c r="C78" s="64"/>
      <c r="D78" s="67"/>
      <c r="E78" s="68"/>
      <c r="F78" s="69"/>
      <c r="G78" s="64"/>
      <c r="H78" s="70"/>
      <c r="I78" s="71"/>
      <c r="J78" s="71"/>
      <c r="K78" s="31" t="s">
        <v>65</v>
      </c>
      <c r="L78" s="79">
        <v>179</v>
      </c>
      <c r="M78" s="79"/>
      <c r="N78" s="73"/>
      <c r="O78" s="66">
        <v>5</v>
      </c>
      <c r="P78" s="63" t="str">
        <f>REPLACE(INDEX(GroupVertices[Group],MATCH(Edges25[[#This Row],[Vertex 1]],GroupVertices[Vertex],0)),1,1,"")</f>
        <v>2</v>
      </c>
      <c r="Q78" s="63" t="str">
        <f>REPLACE(INDEX(GroupVertices[Group],MATCH(Edges25[[#This Row],[Vertex 2]],GroupVertices[Vertex],0)),1,1,"")</f>
        <v>4</v>
      </c>
      <c r="R78" s="66" t="s">
        <v>315</v>
      </c>
      <c r="S78" s="91">
        <v>44877.405023148145</v>
      </c>
      <c r="T78" s="66" t="s">
        <v>319</v>
      </c>
      <c r="U78" s="94" t="str">
        <f>HYPERLINK("https://www.abc.es/sociedad/cuatro-espanoles-reposan-congelados-espera-resucitados-20221109220843-nt.html")</f>
        <v>https://www.abc.es/sociedad/cuatro-espanoles-reposan-congelados-espera-resucitados-20221109220843-nt.html</v>
      </c>
      <c r="V78" s="66" t="s">
        <v>402</v>
      </c>
      <c r="W78" s="97" t="s">
        <v>422</v>
      </c>
      <c r="X78" s="66"/>
      <c r="Y78" s="94" t="str">
        <f>HYPERLINK("https://pbs.twimg.com/profile_images/1416462775400927235/DSrY8TK-_normal.jpg")</f>
        <v>https://pbs.twimg.com/profile_images/1416462775400927235/DSrY8TK-_normal.jpg</v>
      </c>
      <c r="Z78" s="91">
        <v>44877.405023148145</v>
      </c>
      <c r="AA78" s="100">
        <v>44877</v>
      </c>
      <c r="AB78" s="97" t="s">
        <v>515</v>
      </c>
      <c r="AC78" s="94" t="str">
        <f>HYPERLINK("https://twitter.com/transvisionmad1/status/1591365995439874049")</f>
        <v>https://twitter.com/transvisionmad1/status/1591365995439874049</v>
      </c>
      <c r="AD78" s="66"/>
      <c r="AE78" s="66"/>
      <c r="AF78" s="97" t="s">
        <v>649</v>
      </c>
      <c r="AG78" s="66"/>
      <c r="AH78" s="66" t="b">
        <v>0</v>
      </c>
      <c r="AI78" s="66">
        <v>0</v>
      </c>
      <c r="AJ78" s="97" t="s">
        <v>712</v>
      </c>
      <c r="AK78" s="66" t="b">
        <v>0</v>
      </c>
      <c r="AL78" s="66" t="s">
        <v>715</v>
      </c>
      <c r="AM78" s="66"/>
      <c r="AN78" s="97" t="s">
        <v>712</v>
      </c>
      <c r="AO78" s="66" t="b">
        <v>0</v>
      </c>
      <c r="AP78" s="66">
        <v>2</v>
      </c>
      <c r="AQ78" s="97" t="s">
        <v>687</v>
      </c>
      <c r="AR78" s="97" t="s">
        <v>717</v>
      </c>
      <c r="AS78" s="66" t="b">
        <v>0</v>
      </c>
      <c r="AT78" s="97" t="s">
        <v>687</v>
      </c>
      <c r="AU78" s="66" t="s">
        <v>241</v>
      </c>
      <c r="AV78" s="66">
        <v>0</v>
      </c>
      <c r="AW78" s="66">
        <v>0</v>
      </c>
      <c r="AX78" s="66"/>
      <c r="AY78" s="66"/>
      <c r="AZ78" s="66"/>
      <c r="BA78" s="66"/>
      <c r="BB78" s="66"/>
      <c r="BC78" s="66"/>
      <c r="BD78" s="66"/>
      <c r="BE78" s="66"/>
      <c r="BF78" s="45">
        <v>0</v>
      </c>
      <c r="BG78" s="46">
        <v>0</v>
      </c>
      <c r="BH78" s="45">
        <v>0</v>
      </c>
      <c r="BI78" s="46">
        <v>0</v>
      </c>
      <c r="BJ78" s="45">
        <v>0</v>
      </c>
      <c r="BK78" s="46">
        <v>0</v>
      </c>
      <c r="BL78" s="45">
        <v>23</v>
      </c>
      <c r="BM78" s="46">
        <v>67.6470588235294</v>
      </c>
      <c r="BN78" s="45">
        <v>34</v>
      </c>
    </row>
    <row r="79" spans="1:66" ht="15">
      <c r="A79" s="62" t="s">
        <v>298</v>
      </c>
      <c r="B79" s="62" t="s">
        <v>298</v>
      </c>
      <c r="C79" s="64"/>
      <c r="D79" s="67"/>
      <c r="E79" s="68"/>
      <c r="F79" s="69"/>
      <c r="G79" s="64"/>
      <c r="H79" s="70"/>
      <c r="I79" s="71"/>
      <c r="J79" s="71"/>
      <c r="K79" s="31" t="s">
        <v>65</v>
      </c>
      <c r="L79" s="79">
        <v>182</v>
      </c>
      <c r="M79" s="79"/>
      <c r="N79" s="73"/>
      <c r="O79" s="66">
        <v>22</v>
      </c>
      <c r="P79" s="63" t="str">
        <f>REPLACE(INDEX(GroupVertices[Group],MATCH(Edges25[[#This Row],[Vertex 1]],GroupVertices[Vertex],0)),1,1,"")</f>
        <v>2</v>
      </c>
      <c r="Q79" s="63" t="str">
        <f>REPLACE(INDEX(GroupVertices[Group],MATCH(Edges25[[#This Row],[Vertex 2]],GroupVertices[Vertex],0)),1,1,"")</f>
        <v>2</v>
      </c>
      <c r="R79" s="66" t="s">
        <v>241</v>
      </c>
      <c r="S79" s="91">
        <v>44877.41412037037</v>
      </c>
      <c r="T79" s="66" t="s">
        <v>352</v>
      </c>
      <c r="U79" s="94" t="str">
        <f>HYPERLINK("http://transvisionmadrid.com")</f>
        <v>http://transvisionmadrid.com</v>
      </c>
      <c r="V79" s="66" t="s">
        <v>407</v>
      </c>
      <c r="W79" s="97" t="s">
        <v>428</v>
      </c>
      <c r="X79" s="94" t="str">
        <f>HYPERLINK("https://pbs.twimg.com/media/FhWt75pXwAAE9yY.jpg")</f>
        <v>https://pbs.twimg.com/media/FhWt75pXwAAE9yY.jpg</v>
      </c>
      <c r="Y79" s="94" t="str">
        <f>HYPERLINK("https://pbs.twimg.com/media/FhWt75pXwAAE9yY.jpg")</f>
        <v>https://pbs.twimg.com/media/FhWt75pXwAAE9yY.jpg</v>
      </c>
      <c r="Z79" s="91">
        <v>44877.41412037037</v>
      </c>
      <c r="AA79" s="100">
        <v>44877</v>
      </c>
      <c r="AB79" s="97" t="s">
        <v>516</v>
      </c>
      <c r="AC79" s="94" t="str">
        <f>HYPERLINK("https://twitter.com/transvisionmad1/status/1591369292125200384")</f>
        <v>https://twitter.com/transvisionmad1/status/1591369292125200384</v>
      </c>
      <c r="AD79" s="66"/>
      <c r="AE79" s="66"/>
      <c r="AF79" s="97" t="s">
        <v>650</v>
      </c>
      <c r="AG79" s="66"/>
      <c r="AH79" s="66" t="b">
        <v>0</v>
      </c>
      <c r="AI79" s="66">
        <v>1</v>
      </c>
      <c r="AJ79" s="97" t="s">
        <v>712</v>
      </c>
      <c r="AK79" s="66" t="b">
        <v>0</v>
      </c>
      <c r="AL79" s="66" t="s">
        <v>714</v>
      </c>
      <c r="AM79" s="66"/>
      <c r="AN79" s="97" t="s">
        <v>712</v>
      </c>
      <c r="AO79" s="66" t="b">
        <v>0</v>
      </c>
      <c r="AP79" s="66">
        <v>0</v>
      </c>
      <c r="AQ79" s="97" t="s">
        <v>712</v>
      </c>
      <c r="AR79" s="97" t="s">
        <v>724</v>
      </c>
      <c r="AS79" s="66" t="b">
        <v>0</v>
      </c>
      <c r="AT79" s="97" t="s">
        <v>650</v>
      </c>
      <c r="AU79" s="66" t="s">
        <v>241</v>
      </c>
      <c r="AV79" s="66">
        <v>0</v>
      </c>
      <c r="AW79" s="66">
        <v>0</v>
      </c>
      <c r="AX79" s="66"/>
      <c r="AY79" s="66"/>
      <c r="AZ79" s="66"/>
      <c r="BA79" s="66"/>
      <c r="BB79" s="66"/>
      <c r="BC79" s="66"/>
      <c r="BD79" s="66"/>
      <c r="BE79" s="66"/>
      <c r="BF79" s="45">
        <v>0</v>
      </c>
      <c r="BG79" s="46">
        <v>0</v>
      </c>
      <c r="BH79" s="45">
        <v>0</v>
      </c>
      <c r="BI79" s="46">
        <v>0</v>
      </c>
      <c r="BJ79" s="45">
        <v>0</v>
      </c>
      <c r="BK79" s="46">
        <v>0</v>
      </c>
      <c r="BL79" s="45">
        <v>16</v>
      </c>
      <c r="BM79" s="46">
        <v>76.19047619047619</v>
      </c>
      <c r="BN79" s="45">
        <v>21</v>
      </c>
    </row>
    <row r="80" spans="1:66" ht="15">
      <c r="A80" s="62" t="s">
        <v>298</v>
      </c>
      <c r="B80" s="62" t="s">
        <v>305</v>
      </c>
      <c r="C80" s="64"/>
      <c r="D80" s="67"/>
      <c r="E80" s="68"/>
      <c r="F80" s="69"/>
      <c r="G80" s="64"/>
      <c r="H80" s="70"/>
      <c r="I80" s="71"/>
      <c r="J80" s="71"/>
      <c r="K80" s="31" t="s">
        <v>65</v>
      </c>
      <c r="L80" s="79">
        <v>186</v>
      </c>
      <c r="M80" s="79"/>
      <c r="N80" s="73"/>
      <c r="O80" s="66">
        <v>5</v>
      </c>
      <c r="P80" s="63" t="str">
        <f>REPLACE(INDEX(GroupVertices[Group],MATCH(Edges25[[#This Row],[Vertex 1]],GroupVertices[Vertex],0)),1,1,"")</f>
        <v>2</v>
      </c>
      <c r="Q80" s="63" t="str">
        <f>REPLACE(INDEX(GroupVertices[Group],MATCH(Edges25[[#This Row],[Vertex 2]],GroupVertices[Vertex],0)),1,1,"")</f>
        <v>4</v>
      </c>
      <c r="R80" s="66" t="s">
        <v>315</v>
      </c>
      <c r="S80" s="91">
        <v>44877.435740740744</v>
      </c>
      <c r="T80" s="66" t="s">
        <v>353</v>
      </c>
      <c r="U80" s="94" t="str">
        <f>HYPERLINK("https://www.levante-emv.com/tendencias21/2022/11/12/cumbre-cientifica-inmortalidad-madrid-78418464.html")</f>
        <v>https://www.levante-emv.com/tendencias21/2022/11/12/cumbre-cientifica-inmortalidad-madrid-78418464.html</v>
      </c>
      <c r="V80" s="66" t="s">
        <v>409</v>
      </c>
      <c r="W80" s="97" t="s">
        <v>426</v>
      </c>
      <c r="X80" s="66"/>
      <c r="Y80" s="94" t="str">
        <f>HYPERLINK("https://pbs.twimg.com/profile_images/1416462775400927235/DSrY8TK-_normal.jpg")</f>
        <v>https://pbs.twimg.com/profile_images/1416462775400927235/DSrY8TK-_normal.jpg</v>
      </c>
      <c r="Z80" s="91">
        <v>44877.435740740744</v>
      </c>
      <c r="AA80" s="100">
        <v>44877</v>
      </c>
      <c r="AB80" s="97" t="s">
        <v>517</v>
      </c>
      <c r="AC80" s="94" t="str">
        <f>HYPERLINK("https://twitter.com/transvisionmad1/status/1591377128204951552")</f>
        <v>https://twitter.com/transvisionmad1/status/1591377128204951552</v>
      </c>
      <c r="AD80" s="66"/>
      <c r="AE80" s="66"/>
      <c r="AF80" s="97" t="s">
        <v>651</v>
      </c>
      <c r="AG80" s="66"/>
      <c r="AH80" s="66" t="b">
        <v>0</v>
      </c>
      <c r="AI80" s="66">
        <v>0</v>
      </c>
      <c r="AJ80" s="97" t="s">
        <v>712</v>
      </c>
      <c r="AK80" s="66" t="b">
        <v>0</v>
      </c>
      <c r="AL80" s="66" t="s">
        <v>715</v>
      </c>
      <c r="AM80" s="66"/>
      <c r="AN80" s="97" t="s">
        <v>712</v>
      </c>
      <c r="AO80" s="66" t="b">
        <v>0</v>
      </c>
      <c r="AP80" s="66">
        <v>1</v>
      </c>
      <c r="AQ80" s="97" t="s">
        <v>689</v>
      </c>
      <c r="AR80" s="97" t="s">
        <v>717</v>
      </c>
      <c r="AS80" s="66" t="b">
        <v>0</v>
      </c>
      <c r="AT80" s="97" t="s">
        <v>689</v>
      </c>
      <c r="AU80" s="66" t="s">
        <v>241</v>
      </c>
      <c r="AV80" s="66">
        <v>0</v>
      </c>
      <c r="AW80" s="66">
        <v>0</v>
      </c>
      <c r="AX80" s="66"/>
      <c r="AY80" s="66"/>
      <c r="AZ80" s="66"/>
      <c r="BA80" s="66"/>
      <c r="BB80" s="66"/>
      <c r="BC80" s="66"/>
      <c r="BD80" s="66"/>
      <c r="BE80" s="66"/>
      <c r="BF80" s="45">
        <v>0</v>
      </c>
      <c r="BG80" s="46">
        <v>0</v>
      </c>
      <c r="BH80" s="45">
        <v>0</v>
      </c>
      <c r="BI80" s="46">
        <v>0</v>
      </c>
      <c r="BJ80" s="45">
        <v>0</v>
      </c>
      <c r="BK80" s="46">
        <v>0</v>
      </c>
      <c r="BL80" s="45">
        <v>22</v>
      </c>
      <c r="BM80" s="46">
        <v>66.66666666666667</v>
      </c>
      <c r="BN80" s="45">
        <v>33</v>
      </c>
    </row>
    <row r="81" spans="1:66" ht="15">
      <c r="A81" s="62" t="s">
        <v>298</v>
      </c>
      <c r="B81" s="62" t="s">
        <v>300</v>
      </c>
      <c r="C81" s="64"/>
      <c r="D81" s="67"/>
      <c r="E81" s="68"/>
      <c r="F81" s="69"/>
      <c r="G81" s="64"/>
      <c r="H81" s="70"/>
      <c r="I81" s="71"/>
      <c r="J81" s="71"/>
      <c r="K81" s="31" t="s">
        <v>66</v>
      </c>
      <c r="L81" s="79">
        <v>187</v>
      </c>
      <c r="M81" s="79"/>
      <c r="N81" s="73"/>
      <c r="O81" s="66">
        <v>1</v>
      </c>
      <c r="P81" s="63" t="str">
        <f>REPLACE(INDEX(GroupVertices[Group],MATCH(Edges25[[#This Row],[Vertex 1]],GroupVertices[Vertex],0)),1,1,"")</f>
        <v>2</v>
      </c>
      <c r="Q81" s="63" t="str">
        <f>REPLACE(INDEX(GroupVertices[Group],MATCH(Edges25[[#This Row],[Vertex 2]],GroupVertices[Vertex],0)),1,1,"")</f>
        <v>3</v>
      </c>
      <c r="R81" s="66" t="s">
        <v>316</v>
      </c>
      <c r="S81" s="91">
        <v>44877.43578703704</v>
      </c>
      <c r="T81" s="66" t="s">
        <v>342</v>
      </c>
      <c r="U81" s="66" t="s">
        <v>395</v>
      </c>
      <c r="V81" s="66" t="s">
        <v>412</v>
      </c>
      <c r="W81" s="97" t="s">
        <v>423</v>
      </c>
      <c r="X81" s="66"/>
      <c r="Y81" s="94" t="str">
        <f>HYPERLINK("https://pbs.twimg.com/profile_images/1416462775400927235/DSrY8TK-_normal.jpg")</f>
        <v>https://pbs.twimg.com/profile_images/1416462775400927235/DSrY8TK-_normal.jpg</v>
      </c>
      <c r="Z81" s="91">
        <v>44877.43578703704</v>
      </c>
      <c r="AA81" s="100">
        <v>44877</v>
      </c>
      <c r="AB81" s="97" t="s">
        <v>518</v>
      </c>
      <c r="AC81" s="94" t="str">
        <f>HYPERLINK("https://twitter.com/transvisionmad1/status/1591377144382652416")</f>
        <v>https://twitter.com/transvisionmad1/status/1591377144382652416</v>
      </c>
      <c r="AD81" s="66"/>
      <c r="AE81" s="66"/>
      <c r="AF81" s="97" t="s">
        <v>652</v>
      </c>
      <c r="AG81" s="66"/>
      <c r="AH81" s="66" t="b">
        <v>0</v>
      </c>
      <c r="AI81" s="66">
        <v>0</v>
      </c>
      <c r="AJ81" s="97" t="s">
        <v>712</v>
      </c>
      <c r="AK81" s="66" t="b">
        <v>0</v>
      </c>
      <c r="AL81" s="66" t="s">
        <v>715</v>
      </c>
      <c r="AM81" s="66"/>
      <c r="AN81" s="97" t="s">
        <v>712</v>
      </c>
      <c r="AO81" s="66" t="b">
        <v>0</v>
      </c>
      <c r="AP81" s="66">
        <v>2</v>
      </c>
      <c r="AQ81" s="97" t="s">
        <v>674</v>
      </c>
      <c r="AR81" s="97" t="s">
        <v>717</v>
      </c>
      <c r="AS81" s="66" t="b">
        <v>0</v>
      </c>
      <c r="AT81" s="97" t="s">
        <v>674</v>
      </c>
      <c r="AU81" s="66" t="s">
        <v>241</v>
      </c>
      <c r="AV81" s="66">
        <v>0</v>
      </c>
      <c r="AW81" s="66">
        <v>0</v>
      </c>
      <c r="AX81" s="66"/>
      <c r="AY81" s="66"/>
      <c r="AZ81" s="66"/>
      <c r="BA81" s="66"/>
      <c r="BB81" s="66"/>
      <c r="BC81" s="66"/>
      <c r="BD81" s="66"/>
      <c r="BE81" s="66"/>
      <c r="BF81" s="45"/>
      <c r="BG81" s="46"/>
      <c r="BH81" s="45"/>
      <c r="BI81" s="46"/>
      <c r="BJ81" s="45"/>
      <c r="BK81" s="46"/>
      <c r="BL81" s="45"/>
      <c r="BM81" s="46"/>
      <c r="BN81" s="45"/>
    </row>
    <row r="82" spans="1:66" ht="15">
      <c r="A82" s="62" t="s">
        <v>298</v>
      </c>
      <c r="B82" s="62" t="s">
        <v>298</v>
      </c>
      <c r="C82" s="64"/>
      <c r="D82" s="67"/>
      <c r="E82" s="68"/>
      <c r="F82" s="69"/>
      <c r="G82" s="64"/>
      <c r="H82" s="70"/>
      <c r="I82" s="71"/>
      <c r="J82" s="71"/>
      <c r="K82" s="31" t="s">
        <v>65</v>
      </c>
      <c r="L82" s="79">
        <v>190</v>
      </c>
      <c r="M82" s="79"/>
      <c r="N82" s="73"/>
      <c r="O82" s="66">
        <v>22</v>
      </c>
      <c r="P82" s="63" t="str">
        <f>REPLACE(INDEX(GroupVertices[Group],MATCH(Edges25[[#This Row],[Vertex 1]],GroupVertices[Vertex],0)),1,1,"")</f>
        <v>2</v>
      </c>
      <c r="Q82" s="63" t="str">
        <f>REPLACE(INDEX(GroupVertices[Group],MATCH(Edges25[[#This Row],[Vertex 2]],GroupVertices[Vertex],0)),1,1,"")</f>
        <v>2</v>
      </c>
      <c r="R82" s="66" t="s">
        <v>241</v>
      </c>
      <c r="S82" s="91">
        <v>44877.44232638889</v>
      </c>
      <c r="T82" s="66" t="s">
        <v>339</v>
      </c>
      <c r="U82" s="94" t="str">
        <f>HYPERLINK("https://www.youtube.com/watch?v=xb0JCOgMsXc")</f>
        <v>https://www.youtube.com/watch?v=xb0JCOgMsXc</v>
      </c>
      <c r="V82" s="66" t="s">
        <v>403</v>
      </c>
      <c r="W82" s="97" t="s">
        <v>433</v>
      </c>
      <c r="X82" s="94" t="str">
        <f>HYPERLINK("https://pbs.twimg.com/media/FhW1XNFXgAACXVj.jpg")</f>
        <v>https://pbs.twimg.com/media/FhW1XNFXgAACXVj.jpg</v>
      </c>
      <c r="Y82" s="94" t="str">
        <f>HYPERLINK("https://pbs.twimg.com/media/FhW1XNFXgAACXVj.jpg")</f>
        <v>https://pbs.twimg.com/media/FhW1XNFXgAACXVj.jpg</v>
      </c>
      <c r="Z82" s="91">
        <v>44877.44232638889</v>
      </c>
      <c r="AA82" s="100">
        <v>44877</v>
      </c>
      <c r="AB82" s="97" t="s">
        <v>519</v>
      </c>
      <c r="AC82" s="94" t="str">
        <f>HYPERLINK("https://twitter.com/transvisionmad1/status/1591379517054267392")</f>
        <v>https://twitter.com/transvisionmad1/status/1591379517054267392</v>
      </c>
      <c r="AD82" s="66"/>
      <c r="AE82" s="66"/>
      <c r="AF82" s="97" t="s">
        <v>653</v>
      </c>
      <c r="AG82" s="66"/>
      <c r="AH82" s="66" t="b">
        <v>0</v>
      </c>
      <c r="AI82" s="66">
        <v>3</v>
      </c>
      <c r="AJ82" s="97" t="s">
        <v>712</v>
      </c>
      <c r="AK82" s="66" t="b">
        <v>0</v>
      </c>
      <c r="AL82" s="66" t="s">
        <v>715</v>
      </c>
      <c r="AM82" s="66"/>
      <c r="AN82" s="97" t="s">
        <v>712</v>
      </c>
      <c r="AO82" s="66" t="b">
        <v>0</v>
      </c>
      <c r="AP82" s="66">
        <v>2</v>
      </c>
      <c r="AQ82" s="97" t="s">
        <v>712</v>
      </c>
      <c r="AR82" s="97" t="s">
        <v>717</v>
      </c>
      <c r="AS82" s="66" t="b">
        <v>0</v>
      </c>
      <c r="AT82" s="97" t="s">
        <v>653</v>
      </c>
      <c r="AU82" s="66" t="s">
        <v>241</v>
      </c>
      <c r="AV82" s="66">
        <v>0</v>
      </c>
      <c r="AW82" s="66">
        <v>0</v>
      </c>
      <c r="AX82" s="66"/>
      <c r="AY82" s="66"/>
      <c r="AZ82" s="66"/>
      <c r="BA82" s="66"/>
      <c r="BB82" s="66"/>
      <c r="BC82" s="66"/>
      <c r="BD82" s="66"/>
      <c r="BE82" s="66"/>
      <c r="BF82" s="45">
        <v>0</v>
      </c>
      <c r="BG82" s="46">
        <v>0</v>
      </c>
      <c r="BH82" s="45">
        <v>0</v>
      </c>
      <c r="BI82" s="46">
        <v>0</v>
      </c>
      <c r="BJ82" s="45">
        <v>0</v>
      </c>
      <c r="BK82" s="46">
        <v>0</v>
      </c>
      <c r="BL82" s="45">
        <v>22</v>
      </c>
      <c r="BM82" s="46">
        <v>66.66666666666667</v>
      </c>
      <c r="BN82" s="45">
        <v>33</v>
      </c>
    </row>
    <row r="83" spans="1:66" ht="15">
      <c r="A83" s="62" t="s">
        <v>298</v>
      </c>
      <c r="B83" s="62" t="s">
        <v>298</v>
      </c>
      <c r="C83" s="64"/>
      <c r="D83" s="67"/>
      <c r="E83" s="68"/>
      <c r="F83" s="69"/>
      <c r="G83" s="64"/>
      <c r="H83" s="70"/>
      <c r="I83" s="71"/>
      <c r="J83" s="71"/>
      <c r="K83" s="31" t="s">
        <v>65</v>
      </c>
      <c r="L83" s="79">
        <v>191</v>
      </c>
      <c r="M83" s="79"/>
      <c r="N83" s="73"/>
      <c r="O83" s="66">
        <v>22</v>
      </c>
      <c r="P83" s="63" t="str">
        <f>REPLACE(INDEX(GroupVertices[Group],MATCH(Edges25[[#This Row],[Vertex 1]],GroupVertices[Vertex],0)),1,1,"")</f>
        <v>2</v>
      </c>
      <c r="Q83" s="63" t="str">
        <f>REPLACE(INDEX(GroupVertices[Group],MATCH(Edges25[[#This Row],[Vertex 2]],GroupVertices[Vertex],0)),1,1,"")</f>
        <v>2</v>
      </c>
      <c r="R83" s="66" t="s">
        <v>241</v>
      </c>
      <c r="S83" s="91">
        <v>44877.50436342593</v>
      </c>
      <c r="T83" s="66" t="s">
        <v>322</v>
      </c>
      <c r="U83" s="94" t="str">
        <f>HYPERLINK("https://www.europapress.es/sociedad/noticia-madrid-acoge-fin-semana-cumbre-internacional-criopreservacion-humana-20221111121558.html")</f>
        <v>https://www.europapress.es/sociedad/noticia-madrid-acoge-fin-semana-cumbre-internacional-criopreservacion-humana-20221111121558.html</v>
      </c>
      <c r="V83" s="66" t="s">
        <v>404</v>
      </c>
      <c r="W83" s="97" t="s">
        <v>425</v>
      </c>
      <c r="X83" s="94" t="str">
        <f>HYPERLINK("https://pbs.twimg.com/media/FhXLrnHXwAAfpE5.jpg")</f>
        <v>https://pbs.twimg.com/media/FhXLrnHXwAAfpE5.jpg</v>
      </c>
      <c r="Y83" s="94" t="str">
        <f>HYPERLINK("https://pbs.twimg.com/media/FhXLrnHXwAAfpE5.jpg")</f>
        <v>https://pbs.twimg.com/media/FhXLrnHXwAAfpE5.jpg</v>
      </c>
      <c r="Z83" s="91">
        <v>44877.50436342593</v>
      </c>
      <c r="AA83" s="100">
        <v>44877</v>
      </c>
      <c r="AB83" s="97" t="s">
        <v>520</v>
      </c>
      <c r="AC83" s="94" t="str">
        <f>HYPERLINK("https://twitter.com/transvisionmad1/status/1591401998385029120")</f>
        <v>https://twitter.com/transvisionmad1/status/1591401998385029120</v>
      </c>
      <c r="AD83" s="66"/>
      <c r="AE83" s="66"/>
      <c r="AF83" s="97" t="s">
        <v>654</v>
      </c>
      <c r="AG83" s="66"/>
      <c r="AH83" s="66" t="b">
        <v>0</v>
      </c>
      <c r="AI83" s="66">
        <v>1</v>
      </c>
      <c r="AJ83" s="97" t="s">
        <v>712</v>
      </c>
      <c r="AK83" s="66" t="b">
        <v>0</v>
      </c>
      <c r="AL83" s="66" t="s">
        <v>715</v>
      </c>
      <c r="AM83" s="66"/>
      <c r="AN83" s="97" t="s">
        <v>712</v>
      </c>
      <c r="AO83" s="66" t="b">
        <v>0</v>
      </c>
      <c r="AP83" s="66">
        <v>1</v>
      </c>
      <c r="AQ83" s="97" t="s">
        <v>712</v>
      </c>
      <c r="AR83" s="97" t="s">
        <v>724</v>
      </c>
      <c r="AS83" s="66" t="b">
        <v>0</v>
      </c>
      <c r="AT83" s="97" t="s">
        <v>654</v>
      </c>
      <c r="AU83" s="66" t="s">
        <v>241</v>
      </c>
      <c r="AV83" s="66">
        <v>0</v>
      </c>
      <c r="AW83" s="66">
        <v>0</v>
      </c>
      <c r="AX83" s="66"/>
      <c r="AY83" s="66"/>
      <c r="AZ83" s="66"/>
      <c r="BA83" s="66"/>
      <c r="BB83" s="66"/>
      <c r="BC83" s="66"/>
      <c r="BD83" s="66"/>
      <c r="BE83" s="66"/>
      <c r="BF83" s="45">
        <v>0</v>
      </c>
      <c r="BG83" s="46">
        <v>0</v>
      </c>
      <c r="BH83" s="45">
        <v>0</v>
      </c>
      <c r="BI83" s="46">
        <v>0</v>
      </c>
      <c r="BJ83" s="45">
        <v>0</v>
      </c>
      <c r="BK83" s="46">
        <v>0</v>
      </c>
      <c r="BL83" s="45">
        <v>10</v>
      </c>
      <c r="BM83" s="46">
        <v>76.92307692307692</v>
      </c>
      <c r="BN83" s="45">
        <v>13</v>
      </c>
    </row>
    <row r="84" spans="1:66" ht="15">
      <c r="A84" s="62" t="s">
        <v>298</v>
      </c>
      <c r="B84" s="62" t="s">
        <v>298</v>
      </c>
      <c r="C84" s="64"/>
      <c r="D84" s="67"/>
      <c r="E84" s="68"/>
      <c r="F84" s="69"/>
      <c r="G84" s="64"/>
      <c r="H84" s="70"/>
      <c r="I84" s="71"/>
      <c r="J84" s="71"/>
      <c r="K84" s="31" t="s">
        <v>65</v>
      </c>
      <c r="L84" s="79">
        <v>195</v>
      </c>
      <c r="M84" s="79"/>
      <c r="N84" s="73"/>
      <c r="O84" s="66">
        <v>22</v>
      </c>
      <c r="P84" s="63" t="str">
        <f>REPLACE(INDEX(GroupVertices[Group],MATCH(Edges25[[#This Row],[Vertex 1]],GroupVertices[Vertex],0)),1,1,"")</f>
        <v>2</v>
      </c>
      <c r="Q84" s="63" t="str">
        <f>REPLACE(INDEX(GroupVertices[Group],MATCH(Edges25[[#This Row],[Vertex 2]],GroupVertices[Vertex],0)),1,1,"")</f>
        <v>2</v>
      </c>
      <c r="R84" s="66" t="s">
        <v>241</v>
      </c>
      <c r="S84" s="91">
        <v>44877.58231481481</v>
      </c>
      <c r="T84" s="66" t="s">
        <v>354</v>
      </c>
      <c r="U84" s="94" t="str">
        <f>HYPERLINK("https://www.youtube.com/watch?v=erkbGlWtX3Q&amp;feature=youtu.be")</f>
        <v>https://www.youtube.com/watch?v=erkbGlWtX3Q&amp;feature=youtu.be</v>
      </c>
      <c r="V84" s="66" t="s">
        <v>403</v>
      </c>
      <c r="W84" s="97" t="s">
        <v>423</v>
      </c>
      <c r="X84" s="66"/>
      <c r="Y84" s="94" t="str">
        <f>HYPERLINK("https://pbs.twimg.com/profile_images/1416462775400927235/DSrY8TK-_normal.jpg")</f>
        <v>https://pbs.twimg.com/profile_images/1416462775400927235/DSrY8TK-_normal.jpg</v>
      </c>
      <c r="Z84" s="91">
        <v>44877.58231481481</v>
      </c>
      <c r="AA84" s="100">
        <v>44877</v>
      </c>
      <c r="AB84" s="97" t="s">
        <v>521</v>
      </c>
      <c r="AC84" s="94" t="str">
        <f>HYPERLINK("https://twitter.com/transvisionmad1/status/1591430243302227968")</f>
        <v>https://twitter.com/transvisionmad1/status/1591430243302227968</v>
      </c>
      <c r="AD84" s="66"/>
      <c r="AE84" s="66"/>
      <c r="AF84" s="97" t="s">
        <v>655</v>
      </c>
      <c r="AG84" s="66"/>
      <c r="AH84" s="66" t="b">
        <v>0</v>
      </c>
      <c r="AI84" s="66">
        <v>1</v>
      </c>
      <c r="AJ84" s="97" t="s">
        <v>712</v>
      </c>
      <c r="AK84" s="66" t="b">
        <v>0</v>
      </c>
      <c r="AL84" s="66" t="s">
        <v>715</v>
      </c>
      <c r="AM84" s="66"/>
      <c r="AN84" s="97" t="s">
        <v>712</v>
      </c>
      <c r="AO84" s="66" t="b">
        <v>0</v>
      </c>
      <c r="AP84" s="66">
        <v>0</v>
      </c>
      <c r="AQ84" s="97" t="s">
        <v>712</v>
      </c>
      <c r="AR84" s="97" t="s">
        <v>717</v>
      </c>
      <c r="AS84" s="66" t="b">
        <v>0</v>
      </c>
      <c r="AT84" s="97" t="s">
        <v>655</v>
      </c>
      <c r="AU84" s="66" t="s">
        <v>241</v>
      </c>
      <c r="AV84" s="66">
        <v>0</v>
      </c>
      <c r="AW84" s="66">
        <v>0</v>
      </c>
      <c r="AX84" s="66"/>
      <c r="AY84" s="66"/>
      <c r="AZ84" s="66"/>
      <c r="BA84" s="66"/>
      <c r="BB84" s="66"/>
      <c r="BC84" s="66"/>
      <c r="BD84" s="66"/>
      <c r="BE84" s="66"/>
      <c r="BF84" s="45">
        <v>0</v>
      </c>
      <c r="BG84" s="46">
        <v>0</v>
      </c>
      <c r="BH84" s="45">
        <v>0</v>
      </c>
      <c r="BI84" s="46">
        <v>0</v>
      </c>
      <c r="BJ84" s="45">
        <v>0</v>
      </c>
      <c r="BK84" s="46">
        <v>0</v>
      </c>
      <c r="BL84" s="45">
        <v>11</v>
      </c>
      <c r="BM84" s="46">
        <v>78.57142857142857</v>
      </c>
      <c r="BN84" s="45">
        <v>14</v>
      </c>
    </row>
    <row r="85" spans="1:66" ht="15">
      <c r="A85" s="62" t="s">
        <v>298</v>
      </c>
      <c r="B85" s="62" t="s">
        <v>308</v>
      </c>
      <c r="C85" s="64"/>
      <c r="D85" s="67"/>
      <c r="E85" s="68"/>
      <c r="F85" s="69"/>
      <c r="G85" s="64"/>
      <c r="H85" s="70"/>
      <c r="I85" s="71"/>
      <c r="J85" s="71"/>
      <c r="K85" s="31" t="s">
        <v>65</v>
      </c>
      <c r="L85" s="79">
        <v>196</v>
      </c>
      <c r="M85" s="79"/>
      <c r="N85" s="73"/>
      <c r="O85" s="66">
        <v>2</v>
      </c>
      <c r="P85" s="63" t="str">
        <f>REPLACE(INDEX(GroupVertices[Group],MATCH(Edges25[[#This Row],[Vertex 1]],GroupVertices[Vertex],0)),1,1,"")</f>
        <v>2</v>
      </c>
      <c r="Q85" s="63" t="str">
        <f>REPLACE(INDEX(GroupVertices[Group],MATCH(Edges25[[#This Row],[Vertex 2]],GroupVertices[Vertex],0)),1,1,"")</f>
        <v>3</v>
      </c>
      <c r="R85" s="66" t="s">
        <v>317</v>
      </c>
      <c r="S85" s="91">
        <v>44877.61565972222</v>
      </c>
      <c r="T85" s="66" t="s">
        <v>355</v>
      </c>
      <c r="U85" s="94" t="str">
        <f>HYPERLINK("https://www.youtube.com/watch?v=erkbGlWtX3Q")</f>
        <v>https://www.youtube.com/watch?v=erkbGlWtX3Q</v>
      </c>
      <c r="V85" s="66" t="s">
        <v>403</v>
      </c>
      <c r="W85" s="97" t="s">
        <v>427</v>
      </c>
      <c r="X85" s="94" t="str">
        <f>HYPERLINK("https://pbs.twimg.com/media/FhXv2xtWAAIg1Cp.jpg")</f>
        <v>https://pbs.twimg.com/media/FhXv2xtWAAIg1Cp.jpg</v>
      </c>
      <c r="Y85" s="94" t="str">
        <f>HYPERLINK("https://pbs.twimg.com/media/FhXv2xtWAAIg1Cp.jpg")</f>
        <v>https://pbs.twimg.com/media/FhXv2xtWAAIg1Cp.jpg</v>
      </c>
      <c r="Z85" s="91">
        <v>44877.61565972222</v>
      </c>
      <c r="AA85" s="100">
        <v>44877</v>
      </c>
      <c r="AB85" s="97" t="s">
        <v>522</v>
      </c>
      <c r="AC85" s="94" t="str">
        <f>HYPERLINK("https://twitter.com/transvisionmad1/status/1591442328178286593")</f>
        <v>https://twitter.com/transvisionmad1/status/1591442328178286593</v>
      </c>
      <c r="AD85" s="66"/>
      <c r="AE85" s="66"/>
      <c r="AF85" s="97" t="s">
        <v>656</v>
      </c>
      <c r="AG85" s="66"/>
      <c r="AH85" s="66" t="b">
        <v>0</v>
      </c>
      <c r="AI85" s="66">
        <v>1</v>
      </c>
      <c r="AJ85" s="97" t="s">
        <v>712</v>
      </c>
      <c r="AK85" s="66" t="b">
        <v>0</v>
      </c>
      <c r="AL85" s="66" t="s">
        <v>714</v>
      </c>
      <c r="AM85" s="66"/>
      <c r="AN85" s="97" t="s">
        <v>712</v>
      </c>
      <c r="AO85" s="66" t="b">
        <v>0</v>
      </c>
      <c r="AP85" s="66">
        <v>0</v>
      </c>
      <c r="AQ85" s="97" t="s">
        <v>712</v>
      </c>
      <c r="AR85" s="97" t="s">
        <v>717</v>
      </c>
      <c r="AS85" s="66" t="b">
        <v>0</v>
      </c>
      <c r="AT85" s="97" t="s">
        <v>656</v>
      </c>
      <c r="AU85" s="66" t="s">
        <v>241</v>
      </c>
      <c r="AV85" s="66">
        <v>0</v>
      </c>
      <c r="AW85" s="66">
        <v>0</v>
      </c>
      <c r="AX85" s="66"/>
      <c r="AY85" s="66"/>
      <c r="AZ85" s="66"/>
      <c r="BA85" s="66"/>
      <c r="BB85" s="66"/>
      <c r="BC85" s="66"/>
      <c r="BD85" s="66"/>
      <c r="BE85" s="66"/>
      <c r="BF85" s="45">
        <v>1</v>
      </c>
      <c r="BG85" s="46">
        <v>6.666666666666667</v>
      </c>
      <c r="BH85" s="45">
        <v>0</v>
      </c>
      <c r="BI85" s="46">
        <v>0</v>
      </c>
      <c r="BJ85" s="45">
        <v>0</v>
      </c>
      <c r="BK85" s="46">
        <v>0</v>
      </c>
      <c r="BL85" s="45">
        <v>11</v>
      </c>
      <c r="BM85" s="46">
        <v>73.33333333333333</v>
      </c>
      <c r="BN85" s="45">
        <v>15</v>
      </c>
    </row>
    <row r="86" spans="1:66" ht="15">
      <c r="A86" s="62" t="s">
        <v>298</v>
      </c>
      <c r="B86" s="62" t="s">
        <v>298</v>
      </c>
      <c r="C86" s="64"/>
      <c r="D86" s="67"/>
      <c r="E86" s="68"/>
      <c r="F86" s="69"/>
      <c r="G86" s="64"/>
      <c r="H86" s="70"/>
      <c r="I86" s="71"/>
      <c r="J86" s="71"/>
      <c r="K86" s="31" t="s">
        <v>65</v>
      </c>
      <c r="L86" s="79">
        <v>197</v>
      </c>
      <c r="M86" s="79"/>
      <c r="N86" s="73"/>
      <c r="O86" s="66">
        <v>22</v>
      </c>
      <c r="P86" s="63" t="str">
        <f>REPLACE(INDEX(GroupVertices[Group],MATCH(Edges25[[#This Row],[Vertex 1]],GroupVertices[Vertex],0)),1,1,"")</f>
        <v>2</v>
      </c>
      <c r="Q86" s="63" t="str">
        <f>REPLACE(INDEX(GroupVertices[Group],MATCH(Edges25[[#This Row],[Vertex 2]],GroupVertices[Vertex],0)),1,1,"")</f>
        <v>2</v>
      </c>
      <c r="R86" s="66" t="s">
        <v>241</v>
      </c>
      <c r="S86" s="91">
        <v>44877.63628472222</v>
      </c>
      <c r="T86" s="66" t="s">
        <v>356</v>
      </c>
      <c r="U86" s="94" t="str">
        <f>HYPERLINK("http://transvisionmadrid.com")</f>
        <v>http://transvisionmadrid.com</v>
      </c>
      <c r="V86" s="66" t="s">
        <v>407</v>
      </c>
      <c r="W86" s="97" t="s">
        <v>428</v>
      </c>
      <c r="X86" s="94" t="str">
        <f>HYPERLINK("https://pbs.twimg.com/media/FhX3KWbWAAApSV0.jpg")</f>
        <v>https://pbs.twimg.com/media/FhX3KWbWAAApSV0.jpg</v>
      </c>
      <c r="Y86" s="94" t="str">
        <f>HYPERLINK("https://pbs.twimg.com/media/FhX3KWbWAAApSV0.jpg")</f>
        <v>https://pbs.twimg.com/media/FhX3KWbWAAApSV0.jpg</v>
      </c>
      <c r="Z86" s="91">
        <v>44877.63628472222</v>
      </c>
      <c r="AA86" s="100">
        <v>44877</v>
      </c>
      <c r="AB86" s="97" t="s">
        <v>523</v>
      </c>
      <c r="AC86" s="94" t="str">
        <f>HYPERLINK("https://twitter.com/transvisionmad1/status/1591449805267652608")</f>
        <v>https://twitter.com/transvisionmad1/status/1591449805267652608</v>
      </c>
      <c r="AD86" s="66"/>
      <c r="AE86" s="66"/>
      <c r="AF86" s="97" t="s">
        <v>657</v>
      </c>
      <c r="AG86" s="66"/>
      <c r="AH86" s="66" t="b">
        <v>0</v>
      </c>
      <c r="AI86" s="66">
        <v>0</v>
      </c>
      <c r="AJ86" s="97" t="s">
        <v>712</v>
      </c>
      <c r="AK86" s="66" t="b">
        <v>0</v>
      </c>
      <c r="AL86" s="66" t="s">
        <v>714</v>
      </c>
      <c r="AM86" s="66"/>
      <c r="AN86" s="97" t="s">
        <v>712</v>
      </c>
      <c r="AO86" s="66" t="b">
        <v>0</v>
      </c>
      <c r="AP86" s="66">
        <v>0</v>
      </c>
      <c r="AQ86" s="97" t="s">
        <v>712</v>
      </c>
      <c r="AR86" s="97" t="s">
        <v>724</v>
      </c>
      <c r="AS86" s="66" t="b">
        <v>0</v>
      </c>
      <c r="AT86" s="97" t="s">
        <v>657</v>
      </c>
      <c r="AU86" s="66" t="s">
        <v>241</v>
      </c>
      <c r="AV86" s="66">
        <v>0</v>
      </c>
      <c r="AW86" s="66">
        <v>0</v>
      </c>
      <c r="AX86" s="66"/>
      <c r="AY86" s="66"/>
      <c r="AZ86" s="66"/>
      <c r="BA86" s="66"/>
      <c r="BB86" s="66"/>
      <c r="BC86" s="66"/>
      <c r="BD86" s="66"/>
      <c r="BE86" s="66"/>
      <c r="BF86" s="45">
        <v>0</v>
      </c>
      <c r="BG86" s="46">
        <v>0</v>
      </c>
      <c r="BH86" s="45">
        <v>0</v>
      </c>
      <c r="BI86" s="46">
        <v>0</v>
      </c>
      <c r="BJ86" s="45">
        <v>0</v>
      </c>
      <c r="BK86" s="46">
        <v>0</v>
      </c>
      <c r="BL86" s="45">
        <v>16</v>
      </c>
      <c r="BM86" s="46">
        <v>84.21052631578948</v>
      </c>
      <c r="BN86" s="45">
        <v>19</v>
      </c>
    </row>
    <row r="87" spans="1:66" ht="15">
      <c r="A87" s="62" t="s">
        <v>298</v>
      </c>
      <c r="B87" s="62" t="s">
        <v>298</v>
      </c>
      <c r="C87" s="64"/>
      <c r="D87" s="67"/>
      <c r="E87" s="68"/>
      <c r="F87" s="69"/>
      <c r="G87" s="64"/>
      <c r="H87" s="70"/>
      <c r="I87" s="71"/>
      <c r="J87" s="71"/>
      <c r="K87" s="31" t="s">
        <v>65</v>
      </c>
      <c r="L87" s="79">
        <v>198</v>
      </c>
      <c r="M87" s="79"/>
      <c r="N87" s="73"/>
      <c r="O87" s="66">
        <v>22</v>
      </c>
      <c r="P87" s="63" t="str">
        <f>REPLACE(INDEX(GroupVertices[Group],MATCH(Edges25[[#This Row],[Vertex 1]],GroupVertices[Vertex],0)),1,1,"")</f>
        <v>2</v>
      </c>
      <c r="Q87" s="63" t="str">
        <f>REPLACE(INDEX(GroupVertices[Group],MATCH(Edges25[[#This Row],[Vertex 2]],GroupVertices[Vertex],0)),1,1,"")</f>
        <v>2</v>
      </c>
      <c r="R87" s="66" t="s">
        <v>241</v>
      </c>
      <c r="S87" s="91">
        <v>44877.65525462963</v>
      </c>
      <c r="T87" s="66" t="s">
        <v>357</v>
      </c>
      <c r="U87" s="94" t="str">
        <f>HYPERLINK("https://www.youtube.com/watch?v=erkbGlWtX3Q")</f>
        <v>https://www.youtube.com/watch?v=erkbGlWtX3Q</v>
      </c>
      <c r="V87" s="66" t="s">
        <v>403</v>
      </c>
      <c r="W87" s="97" t="s">
        <v>427</v>
      </c>
      <c r="X87" s="94" t="str">
        <f>HYPERLINK("https://pbs.twimg.com/media/FhX8jKrWIAAAzHl.jpg")</f>
        <v>https://pbs.twimg.com/media/FhX8jKrWIAAAzHl.jpg</v>
      </c>
      <c r="Y87" s="94" t="str">
        <f>HYPERLINK("https://pbs.twimg.com/media/FhX8jKrWIAAAzHl.jpg")</f>
        <v>https://pbs.twimg.com/media/FhX8jKrWIAAAzHl.jpg</v>
      </c>
      <c r="Z87" s="91">
        <v>44877.65525462963</v>
      </c>
      <c r="AA87" s="100">
        <v>44877</v>
      </c>
      <c r="AB87" s="97" t="s">
        <v>524</v>
      </c>
      <c r="AC87" s="94" t="str">
        <f>HYPERLINK("https://twitter.com/transvisionmad1/status/1591456676980592640")</f>
        <v>https://twitter.com/transvisionmad1/status/1591456676980592640</v>
      </c>
      <c r="AD87" s="66"/>
      <c r="AE87" s="66"/>
      <c r="AF87" s="97" t="s">
        <v>658</v>
      </c>
      <c r="AG87" s="66"/>
      <c r="AH87" s="66" t="b">
        <v>0</v>
      </c>
      <c r="AI87" s="66">
        <v>0</v>
      </c>
      <c r="AJ87" s="97" t="s">
        <v>712</v>
      </c>
      <c r="AK87" s="66" t="b">
        <v>0</v>
      </c>
      <c r="AL87" s="66" t="s">
        <v>714</v>
      </c>
      <c r="AM87" s="66"/>
      <c r="AN87" s="97" t="s">
        <v>712</v>
      </c>
      <c r="AO87" s="66" t="b">
        <v>0</v>
      </c>
      <c r="AP87" s="66">
        <v>0</v>
      </c>
      <c r="AQ87" s="97" t="s">
        <v>712</v>
      </c>
      <c r="AR87" s="97" t="s">
        <v>717</v>
      </c>
      <c r="AS87" s="66" t="b">
        <v>0</v>
      </c>
      <c r="AT87" s="97" t="s">
        <v>658</v>
      </c>
      <c r="AU87" s="66" t="s">
        <v>241</v>
      </c>
      <c r="AV87" s="66">
        <v>0</v>
      </c>
      <c r="AW87" s="66">
        <v>0</v>
      </c>
      <c r="AX87" s="66"/>
      <c r="AY87" s="66"/>
      <c r="AZ87" s="66"/>
      <c r="BA87" s="66"/>
      <c r="BB87" s="66"/>
      <c r="BC87" s="66"/>
      <c r="BD87" s="66"/>
      <c r="BE87" s="66"/>
      <c r="BF87" s="45">
        <v>1</v>
      </c>
      <c r="BG87" s="46">
        <v>7.142857142857143</v>
      </c>
      <c r="BH87" s="45">
        <v>0</v>
      </c>
      <c r="BI87" s="46">
        <v>0</v>
      </c>
      <c r="BJ87" s="45">
        <v>0</v>
      </c>
      <c r="BK87" s="46">
        <v>0</v>
      </c>
      <c r="BL87" s="45">
        <v>10</v>
      </c>
      <c r="BM87" s="46">
        <v>71.42857142857143</v>
      </c>
      <c r="BN87" s="45">
        <v>14</v>
      </c>
    </row>
    <row r="88" spans="1:66" ht="15">
      <c r="A88" s="62" t="s">
        <v>298</v>
      </c>
      <c r="B88" s="62" t="s">
        <v>298</v>
      </c>
      <c r="C88" s="64"/>
      <c r="D88" s="67"/>
      <c r="E88" s="68"/>
      <c r="F88" s="69"/>
      <c r="G88" s="64"/>
      <c r="H88" s="70"/>
      <c r="I88" s="71"/>
      <c r="J88" s="71"/>
      <c r="K88" s="31" t="s">
        <v>65</v>
      </c>
      <c r="L88" s="79">
        <v>199</v>
      </c>
      <c r="M88" s="79"/>
      <c r="N88" s="73"/>
      <c r="O88" s="66">
        <v>22</v>
      </c>
      <c r="P88" s="63" t="str">
        <f>REPLACE(INDEX(GroupVertices[Group],MATCH(Edges25[[#This Row],[Vertex 1]],GroupVertices[Vertex],0)),1,1,"")</f>
        <v>2</v>
      </c>
      <c r="Q88" s="63" t="str">
        <f>REPLACE(INDEX(GroupVertices[Group],MATCH(Edges25[[#This Row],[Vertex 2]],GroupVertices[Vertex],0)),1,1,"")</f>
        <v>2</v>
      </c>
      <c r="R88" s="66" t="s">
        <v>241</v>
      </c>
      <c r="S88" s="91">
        <v>44877.83629629629</v>
      </c>
      <c r="T88" s="66" t="s">
        <v>358</v>
      </c>
      <c r="U88" s="94" t="str">
        <f>HYPERLINK("http://transvisionmadrid.com")</f>
        <v>http://transvisionmadrid.com</v>
      </c>
      <c r="V88" s="66" t="s">
        <v>407</v>
      </c>
      <c r="W88" s="97" t="s">
        <v>428</v>
      </c>
      <c r="X88" s="94" t="str">
        <f>HYPERLINK("https://pbs.twimg.com/media/FhY5FHoXwAUOpWQ.jpg")</f>
        <v>https://pbs.twimg.com/media/FhY5FHoXwAUOpWQ.jpg</v>
      </c>
      <c r="Y88" s="94" t="str">
        <f>HYPERLINK("https://pbs.twimg.com/media/FhY5FHoXwAUOpWQ.jpg")</f>
        <v>https://pbs.twimg.com/media/FhY5FHoXwAUOpWQ.jpg</v>
      </c>
      <c r="Z88" s="91">
        <v>44877.83629629629</v>
      </c>
      <c r="AA88" s="100">
        <v>44877</v>
      </c>
      <c r="AB88" s="97" t="s">
        <v>525</v>
      </c>
      <c r="AC88" s="94" t="str">
        <f>HYPERLINK("https://twitter.com/transvisionmad1/status/1591522283285266432")</f>
        <v>https://twitter.com/transvisionmad1/status/1591522283285266432</v>
      </c>
      <c r="AD88" s="66"/>
      <c r="AE88" s="66"/>
      <c r="AF88" s="97" t="s">
        <v>659</v>
      </c>
      <c r="AG88" s="66"/>
      <c r="AH88" s="66" t="b">
        <v>0</v>
      </c>
      <c r="AI88" s="66">
        <v>1</v>
      </c>
      <c r="AJ88" s="97" t="s">
        <v>712</v>
      </c>
      <c r="AK88" s="66" t="b">
        <v>0</v>
      </c>
      <c r="AL88" s="66" t="s">
        <v>714</v>
      </c>
      <c r="AM88" s="66"/>
      <c r="AN88" s="97" t="s">
        <v>712</v>
      </c>
      <c r="AO88" s="66" t="b">
        <v>0</v>
      </c>
      <c r="AP88" s="66">
        <v>0</v>
      </c>
      <c r="AQ88" s="97" t="s">
        <v>712</v>
      </c>
      <c r="AR88" s="97" t="s">
        <v>724</v>
      </c>
      <c r="AS88" s="66" t="b">
        <v>0</v>
      </c>
      <c r="AT88" s="97" t="s">
        <v>659</v>
      </c>
      <c r="AU88" s="66" t="s">
        <v>241</v>
      </c>
      <c r="AV88" s="66">
        <v>0</v>
      </c>
      <c r="AW88" s="66">
        <v>0</v>
      </c>
      <c r="AX88" s="66"/>
      <c r="AY88" s="66"/>
      <c r="AZ88" s="66"/>
      <c r="BA88" s="66"/>
      <c r="BB88" s="66"/>
      <c r="BC88" s="66"/>
      <c r="BD88" s="66"/>
      <c r="BE88" s="66"/>
      <c r="BF88" s="45">
        <v>0</v>
      </c>
      <c r="BG88" s="46">
        <v>0</v>
      </c>
      <c r="BH88" s="45">
        <v>0</v>
      </c>
      <c r="BI88" s="46">
        <v>0</v>
      </c>
      <c r="BJ88" s="45">
        <v>0</v>
      </c>
      <c r="BK88" s="46">
        <v>0</v>
      </c>
      <c r="BL88" s="45">
        <v>16</v>
      </c>
      <c r="BM88" s="46">
        <v>84.21052631578948</v>
      </c>
      <c r="BN88" s="45">
        <v>19</v>
      </c>
    </row>
    <row r="89" spans="1:66" ht="15">
      <c r="A89" s="62" t="s">
        <v>298</v>
      </c>
      <c r="B89" s="62" t="s">
        <v>298</v>
      </c>
      <c r="C89" s="64"/>
      <c r="D89" s="67"/>
      <c r="E89" s="68"/>
      <c r="F89" s="69"/>
      <c r="G89" s="64"/>
      <c r="H89" s="70"/>
      <c r="I89" s="71"/>
      <c r="J89" s="71"/>
      <c r="K89" s="31" t="s">
        <v>65</v>
      </c>
      <c r="L89" s="79">
        <v>200</v>
      </c>
      <c r="M89" s="79"/>
      <c r="N89" s="73"/>
      <c r="O89" s="66">
        <v>22</v>
      </c>
      <c r="P89" s="63" t="str">
        <f>REPLACE(INDEX(GroupVertices[Group],MATCH(Edges25[[#This Row],[Vertex 1]],GroupVertices[Vertex],0)),1,1,"")</f>
        <v>2</v>
      </c>
      <c r="Q89" s="63" t="str">
        <f>REPLACE(INDEX(GroupVertices[Group],MATCH(Edges25[[#This Row],[Vertex 2]],GroupVertices[Vertex],0)),1,1,"")</f>
        <v>2</v>
      </c>
      <c r="R89" s="66" t="s">
        <v>241</v>
      </c>
      <c r="S89" s="91">
        <v>44878.296006944445</v>
      </c>
      <c r="T89" s="66" t="s">
        <v>326</v>
      </c>
      <c r="U89" s="94" t="str">
        <f>HYPERLINK("https://www.abc.es/sociedad/cuatro-espanoles-reposan-congelados-espera-resucitados-20221109220843-nt.html")</f>
        <v>https://www.abc.es/sociedad/cuatro-espanoles-reposan-congelados-espera-resucitados-20221109220843-nt.html</v>
      </c>
      <c r="V89" s="66" t="s">
        <v>402</v>
      </c>
      <c r="W89" s="97" t="s">
        <v>422</v>
      </c>
      <c r="X89" s="66"/>
      <c r="Y89" s="94" t="str">
        <f>HYPERLINK("https://pbs.twimg.com/profile_images/1416462775400927235/DSrY8TK-_normal.jpg")</f>
        <v>https://pbs.twimg.com/profile_images/1416462775400927235/DSrY8TK-_normal.jpg</v>
      </c>
      <c r="Z89" s="91">
        <v>44878.296006944445</v>
      </c>
      <c r="AA89" s="100">
        <v>44878</v>
      </c>
      <c r="AB89" s="97" t="s">
        <v>526</v>
      </c>
      <c r="AC89" s="94" t="str">
        <f>HYPERLINK("https://twitter.com/transvisionmad1/status/1591688878091640832")</f>
        <v>https://twitter.com/transvisionmad1/status/1591688878091640832</v>
      </c>
      <c r="AD89" s="66"/>
      <c r="AE89" s="66"/>
      <c r="AF89" s="97" t="s">
        <v>660</v>
      </c>
      <c r="AG89" s="66"/>
      <c r="AH89" s="66" t="b">
        <v>0</v>
      </c>
      <c r="AI89" s="66">
        <v>1</v>
      </c>
      <c r="AJ89" s="97" t="s">
        <v>712</v>
      </c>
      <c r="AK89" s="66" t="b">
        <v>0</v>
      </c>
      <c r="AL89" s="66" t="s">
        <v>715</v>
      </c>
      <c r="AM89" s="66"/>
      <c r="AN89" s="97" t="s">
        <v>712</v>
      </c>
      <c r="AO89" s="66" t="b">
        <v>0</v>
      </c>
      <c r="AP89" s="66">
        <v>1</v>
      </c>
      <c r="AQ89" s="97" t="s">
        <v>712</v>
      </c>
      <c r="AR89" s="97" t="s">
        <v>724</v>
      </c>
      <c r="AS89" s="66" t="b">
        <v>0</v>
      </c>
      <c r="AT89" s="97" t="s">
        <v>660</v>
      </c>
      <c r="AU89" s="66" t="s">
        <v>241</v>
      </c>
      <c r="AV89" s="66">
        <v>0</v>
      </c>
      <c r="AW89" s="66">
        <v>0</v>
      </c>
      <c r="AX89" s="66"/>
      <c r="AY89" s="66"/>
      <c r="AZ89" s="66"/>
      <c r="BA89" s="66"/>
      <c r="BB89" s="66"/>
      <c r="BC89" s="66"/>
      <c r="BD89" s="66"/>
      <c r="BE89" s="66"/>
      <c r="BF89" s="45">
        <v>0</v>
      </c>
      <c r="BG89" s="46">
        <v>0</v>
      </c>
      <c r="BH89" s="45">
        <v>0</v>
      </c>
      <c r="BI89" s="46">
        <v>0</v>
      </c>
      <c r="BJ89" s="45">
        <v>0</v>
      </c>
      <c r="BK89" s="46">
        <v>0</v>
      </c>
      <c r="BL89" s="45">
        <v>23</v>
      </c>
      <c r="BM89" s="46">
        <v>67.6470588235294</v>
      </c>
      <c r="BN89" s="45">
        <v>34</v>
      </c>
    </row>
    <row r="90" spans="1:66" ht="15">
      <c r="A90" s="62" t="s">
        <v>298</v>
      </c>
      <c r="B90" s="62" t="s">
        <v>298</v>
      </c>
      <c r="C90" s="64"/>
      <c r="D90" s="67"/>
      <c r="E90" s="68"/>
      <c r="F90" s="69"/>
      <c r="G90" s="64"/>
      <c r="H90" s="70"/>
      <c r="I90" s="71"/>
      <c r="J90" s="71"/>
      <c r="K90" s="31" t="s">
        <v>65</v>
      </c>
      <c r="L90" s="79">
        <v>201</v>
      </c>
      <c r="M90" s="79"/>
      <c r="N90" s="73"/>
      <c r="O90" s="66">
        <v>22</v>
      </c>
      <c r="P90" s="63" t="str">
        <f>REPLACE(INDEX(GroupVertices[Group],MATCH(Edges25[[#This Row],[Vertex 1]],GroupVertices[Vertex],0)),1,1,"")</f>
        <v>2</v>
      </c>
      <c r="Q90" s="63" t="str">
        <f>REPLACE(INDEX(GroupVertices[Group],MATCH(Edges25[[#This Row],[Vertex 2]],GroupVertices[Vertex],0)),1,1,"")</f>
        <v>2</v>
      </c>
      <c r="R90" s="66" t="s">
        <v>241</v>
      </c>
      <c r="S90" s="91">
        <v>44878.301099537035</v>
      </c>
      <c r="T90" s="66" t="s">
        <v>337</v>
      </c>
      <c r="U90" s="94" t="str">
        <f>HYPERLINK("https://www.youtube.com/c/AlianzaFuturista/streams")</f>
        <v>https://www.youtube.com/c/AlianzaFuturista/streams</v>
      </c>
      <c r="V90" s="66" t="s">
        <v>403</v>
      </c>
      <c r="W90" s="97" t="s">
        <v>429</v>
      </c>
      <c r="X90" s="94" t="str">
        <f>HYPERLINK("https://pbs.twimg.com/media/FhbRBMWWYAACddn.jpg")</f>
        <v>https://pbs.twimg.com/media/FhbRBMWWYAACddn.jpg</v>
      </c>
      <c r="Y90" s="94" t="str">
        <f>HYPERLINK("https://pbs.twimg.com/media/FhbRBMWWYAACddn.jpg")</f>
        <v>https://pbs.twimg.com/media/FhbRBMWWYAACddn.jpg</v>
      </c>
      <c r="Z90" s="91">
        <v>44878.301099537035</v>
      </c>
      <c r="AA90" s="100">
        <v>44878</v>
      </c>
      <c r="AB90" s="97" t="s">
        <v>527</v>
      </c>
      <c r="AC90" s="94" t="str">
        <f>HYPERLINK("https://twitter.com/transvisionmad1/status/1591690722214039552")</f>
        <v>https://twitter.com/transvisionmad1/status/1591690722214039552</v>
      </c>
      <c r="AD90" s="66"/>
      <c r="AE90" s="66"/>
      <c r="AF90" s="97" t="s">
        <v>661</v>
      </c>
      <c r="AG90" s="66"/>
      <c r="AH90" s="66" t="b">
        <v>0</v>
      </c>
      <c r="AI90" s="66">
        <v>2</v>
      </c>
      <c r="AJ90" s="97" t="s">
        <v>712</v>
      </c>
      <c r="AK90" s="66" t="b">
        <v>0</v>
      </c>
      <c r="AL90" s="66" t="s">
        <v>714</v>
      </c>
      <c r="AM90" s="66"/>
      <c r="AN90" s="97" t="s">
        <v>712</v>
      </c>
      <c r="AO90" s="66" t="b">
        <v>0</v>
      </c>
      <c r="AP90" s="66">
        <v>2</v>
      </c>
      <c r="AQ90" s="97" t="s">
        <v>712</v>
      </c>
      <c r="AR90" s="97" t="s">
        <v>717</v>
      </c>
      <c r="AS90" s="66" t="b">
        <v>0</v>
      </c>
      <c r="AT90" s="97" t="s">
        <v>661</v>
      </c>
      <c r="AU90" s="66" t="s">
        <v>241</v>
      </c>
      <c r="AV90" s="66">
        <v>0</v>
      </c>
      <c r="AW90" s="66">
        <v>0</v>
      </c>
      <c r="AX90" s="66"/>
      <c r="AY90" s="66"/>
      <c r="AZ90" s="66"/>
      <c r="BA90" s="66"/>
      <c r="BB90" s="66"/>
      <c r="BC90" s="66"/>
      <c r="BD90" s="66"/>
      <c r="BE90" s="66"/>
      <c r="BF90" s="45">
        <v>0</v>
      </c>
      <c r="BG90" s="46">
        <v>0</v>
      </c>
      <c r="BH90" s="45">
        <v>0</v>
      </c>
      <c r="BI90" s="46">
        <v>0</v>
      </c>
      <c r="BJ90" s="45">
        <v>0</v>
      </c>
      <c r="BK90" s="46">
        <v>0</v>
      </c>
      <c r="BL90" s="45">
        <v>19</v>
      </c>
      <c r="BM90" s="46">
        <v>59.375</v>
      </c>
      <c r="BN90" s="45">
        <v>32</v>
      </c>
    </row>
    <row r="91" spans="1:66" ht="15">
      <c r="A91" s="62" t="s">
        <v>298</v>
      </c>
      <c r="B91" s="62" t="s">
        <v>298</v>
      </c>
      <c r="C91" s="64"/>
      <c r="D91" s="67"/>
      <c r="E91" s="68"/>
      <c r="F91" s="69"/>
      <c r="G91" s="64"/>
      <c r="H91" s="70"/>
      <c r="I91" s="71"/>
      <c r="J91" s="71"/>
      <c r="K91" s="31" t="s">
        <v>65</v>
      </c>
      <c r="L91" s="79">
        <v>202</v>
      </c>
      <c r="M91" s="79"/>
      <c r="N91" s="73"/>
      <c r="O91" s="66">
        <v>22</v>
      </c>
      <c r="P91" s="63" t="str">
        <f>REPLACE(INDEX(GroupVertices[Group],MATCH(Edges25[[#This Row],[Vertex 1]],GroupVertices[Vertex],0)),1,1,"")</f>
        <v>2</v>
      </c>
      <c r="Q91" s="63" t="str">
        <f>REPLACE(INDEX(GroupVertices[Group],MATCH(Edges25[[#This Row],[Vertex 2]],GroupVertices[Vertex],0)),1,1,"")</f>
        <v>2</v>
      </c>
      <c r="R91" s="66" t="s">
        <v>241</v>
      </c>
      <c r="S91" s="91">
        <v>44878.363020833334</v>
      </c>
      <c r="T91" s="66" t="s">
        <v>359</v>
      </c>
      <c r="U91" s="94" t="str">
        <f>HYPERLINK("https://www.youtube.com/c/AlianzaFuturista/streams")</f>
        <v>https://www.youtube.com/c/AlianzaFuturista/streams</v>
      </c>
      <c r="V91" s="66" t="s">
        <v>403</v>
      </c>
      <c r="W91" s="97" t="s">
        <v>429</v>
      </c>
      <c r="X91" s="94" t="str">
        <f>HYPERLINK("https://pbs.twimg.com/media/Fhbli2wXwAANOzT.jpg")</f>
        <v>https://pbs.twimg.com/media/Fhbli2wXwAANOzT.jpg</v>
      </c>
      <c r="Y91" s="94" t="str">
        <f>HYPERLINK("https://pbs.twimg.com/media/Fhbli2wXwAANOzT.jpg")</f>
        <v>https://pbs.twimg.com/media/Fhbli2wXwAANOzT.jpg</v>
      </c>
      <c r="Z91" s="91">
        <v>44878.363020833334</v>
      </c>
      <c r="AA91" s="100">
        <v>44878</v>
      </c>
      <c r="AB91" s="97" t="s">
        <v>528</v>
      </c>
      <c r="AC91" s="94" t="str">
        <f>HYPERLINK("https://twitter.com/transvisionmad1/status/1591713162973544449")</f>
        <v>https://twitter.com/transvisionmad1/status/1591713162973544449</v>
      </c>
      <c r="AD91" s="66"/>
      <c r="AE91" s="66"/>
      <c r="AF91" s="97" t="s">
        <v>662</v>
      </c>
      <c r="AG91" s="66"/>
      <c r="AH91" s="66" t="b">
        <v>0</v>
      </c>
      <c r="AI91" s="66">
        <v>4</v>
      </c>
      <c r="AJ91" s="97" t="s">
        <v>712</v>
      </c>
      <c r="AK91" s="66" t="b">
        <v>0</v>
      </c>
      <c r="AL91" s="66" t="s">
        <v>714</v>
      </c>
      <c r="AM91" s="66"/>
      <c r="AN91" s="97" t="s">
        <v>712</v>
      </c>
      <c r="AO91" s="66" t="b">
        <v>0</v>
      </c>
      <c r="AP91" s="66">
        <v>0</v>
      </c>
      <c r="AQ91" s="97" t="s">
        <v>712</v>
      </c>
      <c r="AR91" s="97" t="s">
        <v>717</v>
      </c>
      <c r="AS91" s="66" t="b">
        <v>0</v>
      </c>
      <c r="AT91" s="97" t="s">
        <v>662</v>
      </c>
      <c r="AU91" s="66" t="s">
        <v>241</v>
      </c>
      <c r="AV91" s="66">
        <v>0</v>
      </c>
      <c r="AW91" s="66">
        <v>0</v>
      </c>
      <c r="AX91" s="66"/>
      <c r="AY91" s="66"/>
      <c r="AZ91" s="66"/>
      <c r="BA91" s="66"/>
      <c r="BB91" s="66"/>
      <c r="BC91" s="66"/>
      <c r="BD91" s="66"/>
      <c r="BE91" s="66"/>
      <c r="BF91" s="45">
        <v>0</v>
      </c>
      <c r="BG91" s="46">
        <v>0</v>
      </c>
      <c r="BH91" s="45">
        <v>0</v>
      </c>
      <c r="BI91" s="46">
        <v>0</v>
      </c>
      <c r="BJ91" s="45">
        <v>0</v>
      </c>
      <c r="BK91" s="46">
        <v>0</v>
      </c>
      <c r="BL91" s="45">
        <v>22</v>
      </c>
      <c r="BM91" s="46">
        <v>68.75</v>
      </c>
      <c r="BN91" s="45">
        <v>32</v>
      </c>
    </row>
    <row r="92" spans="1:66" ht="15">
      <c r="A92" s="62" t="s">
        <v>298</v>
      </c>
      <c r="B92" s="62" t="s">
        <v>298</v>
      </c>
      <c r="C92" s="64"/>
      <c r="D92" s="67"/>
      <c r="E92" s="68"/>
      <c r="F92" s="69"/>
      <c r="G92" s="64"/>
      <c r="H92" s="70"/>
      <c r="I92" s="71"/>
      <c r="J92" s="71"/>
      <c r="K92" s="31" t="s">
        <v>65</v>
      </c>
      <c r="L92" s="79">
        <v>203</v>
      </c>
      <c r="M92" s="79"/>
      <c r="N92" s="73"/>
      <c r="O92" s="66">
        <v>22</v>
      </c>
      <c r="P92" s="63" t="str">
        <f>REPLACE(INDEX(GroupVertices[Group],MATCH(Edges25[[#This Row],[Vertex 1]],GroupVertices[Vertex],0)),1,1,"")</f>
        <v>2</v>
      </c>
      <c r="Q92" s="63" t="str">
        <f>REPLACE(INDEX(GroupVertices[Group],MATCH(Edges25[[#This Row],[Vertex 2]],GroupVertices[Vertex],0)),1,1,"")</f>
        <v>2</v>
      </c>
      <c r="R92" s="66" t="s">
        <v>241</v>
      </c>
      <c r="S92" s="91">
        <v>44878.41409722222</v>
      </c>
      <c r="T92" s="66" t="s">
        <v>330</v>
      </c>
      <c r="U92" s="94" t="str">
        <f>HYPERLINK("http://transvisionmadrid.com")</f>
        <v>http://transvisionmadrid.com</v>
      </c>
      <c r="V92" s="66" t="s">
        <v>407</v>
      </c>
      <c r="W92" s="97" t="s">
        <v>428</v>
      </c>
      <c r="X92" s="94" t="str">
        <f>HYPERLINK("https://pbs.twimg.com/media/Fhb3hI6WAAIZ67S.jpg")</f>
        <v>https://pbs.twimg.com/media/Fhb3hI6WAAIZ67S.jpg</v>
      </c>
      <c r="Y92" s="94" t="str">
        <f>HYPERLINK("https://pbs.twimg.com/media/Fhb3hI6WAAIZ67S.jpg")</f>
        <v>https://pbs.twimg.com/media/Fhb3hI6WAAIZ67S.jpg</v>
      </c>
      <c r="Z92" s="91">
        <v>44878.41409722222</v>
      </c>
      <c r="AA92" s="100">
        <v>44878</v>
      </c>
      <c r="AB92" s="97" t="s">
        <v>529</v>
      </c>
      <c r="AC92" s="94" t="str">
        <f>HYPERLINK("https://twitter.com/transvisionmad1/status/1591731671656796160")</f>
        <v>https://twitter.com/transvisionmad1/status/1591731671656796160</v>
      </c>
      <c r="AD92" s="66"/>
      <c r="AE92" s="66"/>
      <c r="AF92" s="97" t="s">
        <v>663</v>
      </c>
      <c r="AG92" s="66"/>
      <c r="AH92" s="66" t="b">
        <v>0</v>
      </c>
      <c r="AI92" s="66">
        <v>5</v>
      </c>
      <c r="AJ92" s="97" t="s">
        <v>712</v>
      </c>
      <c r="AK92" s="66" t="b">
        <v>0</v>
      </c>
      <c r="AL92" s="66" t="s">
        <v>714</v>
      </c>
      <c r="AM92" s="66"/>
      <c r="AN92" s="97" t="s">
        <v>712</v>
      </c>
      <c r="AO92" s="66" t="b">
        <v>0</v>
      </c>
      <c r="AP92" s="66">
        <v>2</v>
      </c>
      <c r="AQ92" s="97" t="s">
        <v>712</v>
      </c>
      <c r="AR92" s="97" t="s">
        <v>724</v>
      </c>
      <c r="AS92" s="66" t="b">
        <v>0</v>
      </c>
      <c r="AT92" s="97" t="s">
        <v>663</v>
      </c>
      <c r="AU92" s="66" t="s">
        <v>241</v>
      </c>
      <c r="AV92" s="66">
        <v>0</v>
      </c>
      <c r="AW92" s="66">
        <v>0</v>
      </c>
      <c r="AX92" s="66"/>
      <c r="AY92" s="66"/>
      <c r="AZ92" s="66"/>
      <c r="BA92" s="66"/>
      <c r="BB92" s="66"/>
      <c r="BC92" s="66"/>
      <c r="BD92" s="66"/>
      <c r="BE92" s="66"/>
      <c r="BF92" s="45">
        <v>0</v>
      </c>
      <c r="BG92" s="46">
        <v>0</v>
      </c>
      <c r="BH92" s="45">
        <v>0</v>
      </c>
      <c r="BI92" s="46">
        <v>0</v>
      </c>
      <c r="BJ92" s="45">
        <v>0</v>
      </c>
      <c r="BK92" s="46">
        <v>0</v>
      </c>
      <c r="BL92" s="45">
        <v>16</v>
      </c>
      <c r="BM92" s="46">
        <v>84.21052631578948</v>
      </c>
      <c r="BN92" s="45">
        <v>19</v>
      </c>
    </row>
    <row r="93" spans="1:66" ht="15">
      <c r="A93" s="62" t="s">
        <v>298</v>
      </c>
      <c r="B93" s="62" t="s">
        <v>310</v>
      </c>
      <c r="C93" s="64"/>
      <c r="D93" s="67"/>
      <c r="E93" s="68"/>
      <c r="F93" s="69"/>
      <c r="G93" s="64"/>
      <c r="H93" s="70"/>
      <c r="I93" s="71"/>
      <c r="J93" s="71"/>
      <c r="K93" s="31" t="s">
        <v>65</v>
      </c>
      <c r="L93" s="79">
        <v>204</v>
      </c>
      <c r="M93" s="79"/>
      <c r="N93" s="73"/>
      <c r="O93" s="66">
        <v>1</v>
      </c>
      <c r="P93" s="63" t="str">
        <f>REPLACE(INDEX(GroupVertices[Group],MATCH(Edges25[[#This Row],[Vertex 1]],GroupVertices[Vertex],0)),1,1,"")</f>
        <v>2</v>
      </c>
      <c r="Q93" s="63" t="str">
        <f>REPLACE(INDEX(GroupVertices[Group],MATCH(Edges25[[#This Row],[Vertex 2]],GroupVertices[Vertex],0)),1,1,"")</f>
        <v>2</v>
      </c>
      <c r="R93" s="66" t="s">
        <v>317</v>
      </c>
      <c r="S93" s="91">
        <v>44878.4191087963</v>
      </c>
      <c r="T93" s="66" t="s">
        <v>331</v>
      </c>
      <c r="U93" s="94" t="str">
        <f>HYPERLINK("https://www.youtube.com/watch?v=3JK84n-jsMU")</f>
        <v>https://www.youtube.com/watch?v=3JK84n-jsMU</v>
      </c>
      <c r="V93" s="66" t="s">
        <v>403</v>
      </c>
      <c r="W93" s="97" t="s">
        <v>430</v>
      </c>
      <c r="X93" s="94" t="str">
        <f>HYPERLINK("https://pbs.twimg.com/media/Fhb4i56WIAEBmHG.jpg")</f>
        <v>https://pbs.twimg.com/media/Fhb4i56WIAEBmHG.jpg</v>
      </c>
      <c r="Y93" s="94" t="str">
        <f>HYPERLINK("https://pbs.twimg.com/media/Fhb4i56WIAEBmHG.jpg")</f>
        <v>https://pbs.twimg.com/media/Fhb4i56WIAEBmHG.jpg</v>
      </c>
      <c r="Z93" s="91">
        <v>44878.4191087963</v>
      </c>
      <c r="AA93" s="100">
        <v>44878</v>
      </c>
      <c r="AB93" s="97" t="s">
        <v>530</v>
      </c>
      <c r="AC93" s="94" t="str">
        <f>HYPERLINK("https://twitter.com/transvisionmad1/status/1591733491460624384")</f>
        <v>https://twitter.com/transvisionmad1/status/1591733491460624384</v>
      </c>
      <c r="AD93" s="66"/>
      <c r="AE93" s="66"/>
      <c r="AF93" s="97" t="s">
        <v>664</v>
      </c>
      <c r="AG93" s="66"/>
      <c r="AH93" s="66" t="b">
        <v>0</v>
      </c>
      <c r="AI93" s="66">
        <v>2</v>
      </c>
      <c r="AJ93" s="97" t="s">
        <v>712</v>
      </c>
      <c r="AK93" s="66" t="b">
        <v>0</v>
      </c>
      <c r="AL93" s="66" t="s">
        <v>714</v>
      </c>
      <c r="AM93" s="66"/>
      <c r="AN93" s="97" t="s">
        <v>712</v>
      </c>
      <c r="AO93" s="66" t="b">
        <v>0</v>
      </c>
      <c r="AP93" s="66">
        <v>1</v>
      </c>
      <c r="AQ93" s="97" t="s">
        <v>712</v>
      </c>
      <c r="AR93" s="97" t="s">
        <v>717</v>
      </c>
      <c r="AS93" s="66" t="b">
        <v>0</v>
      </c>
      <c r="AT93" s="97" t="s">
        <v>664</v>
      </c>
      <c r="AU93" s="66" t="s">
        <v>241</v>
      </c>
      <c r="AV93" s="66">
        <v>0</v>
      </c>
      <c r="AW93" s="66">
        <v>0</v>
      </c>
      <c r="AX93" s="66"/>
      <c r="AY93" s="66"/>
      <c r="AZ93" s="66"/>
      <c r="BA93" s="66"/>
      <c r="BB93" s="66"/>
      <c r="BC93" s="66"/>
      <c r="BD93" s="66"/>
      <c r="BE93" s="66"/>
      <c r="BF93" s="45">
        <v>0</v>
      </c>
      <c r="BG93" s="46">
        <v>0</v>
      </c>
      <c r="BH93" s="45">
        <v>0</v>
      </c>
      <c r="BI93" s="46">
        <v>0</v>
      </c>
      <c r="BJ93" s="45">
        <v>0</v>
      </c>
      <c r="BK93" s="46">
        <v>0</v>
      </c>
      <c r="BL93" s="45">
        <v>9</v>
      </c>
      <c r="BM93" s="46">
        <v>64.28571428571429</v>
      </c>
      <c r="BN93" s="45">
        <v>14</v>
      </c>
    </row>
    <row r="94" spans="1:66" ht="15">
      <c r="A94" s="62" t="s">
        <v>298</v>
      </c>
      <c r="B94" s="62" t="s">
        <v>298</v>
      </c>
      <c r="C94" s="64"/>
      <c r="D94" s="67"/>
      <c r="E94" s="68"/>
      <c r="F94" s="69"/>
      <c r="G94" s="64"/>
      <c r="H94" s="70"/>
      <c r="I94" s="71"/>
      <c r="J94" s="71"/>
      <c r="K94" s="31" t="s">
        <v>65</v>
      </c>
      <c r="L94" s="79">
        <v>205</v>
      </c>
      <c r="M94" s="79"/>
      <c r="N94" s="73"/>
      <c r="O94" s="66">
        <v>22</v>
      </c>
      <c r="P94" s="63" t="str">
        <f>REPLACE(INDEX(GroupVertices[Group],MATCH(Edges25[[#This Row],[Vertex 1]],GroupVertices[Vertex],0)),1,1,"")</f>
        <v>2</v>
      </c>
      <c r="Q94" s="63" t="str">
        <f>REPLACE(INDEX(GroupVertices[Group],MATCH(Edges25[[#This Row],[Vertex 2]],GroupVertices[Vertex],0)),1,1,"")</f>
        <v>2</v>
      </c>
      <c r="R94" s="66" t="s">
        <v>241</v>
      </c>
      <c r="S94" s="91">
        <v>44878.463784722226</v>
      </c>
      <c r="T94" s="66" t="s">
        <v>333</v>
      </c>
      <c r="U94" s="94" t="str">
        <f>HYPERLINK("https://www.youtube.com/watch?v=3JK84n-jsMU")</f>
        <v>https://www.youtube.com/watch?v=3JK84n-jsMU</v>
      </c>
      <c r="V94" s="66" t="s">
        <v>403</v>
      </c>
      <c r="W94" s="97" t="s">
        <v>430</v>
      </c>
      <c r="X94" s="94" t="str">
        <f>HYPERLINK("https://pbs.twimg.com/media/FhcHy7oXEAMenzQ.png")</f>
        <v>https://pbs.twimg.com/media/FhcHy7oXEAMenzQ.png</v>
      </c>
      <c r="Y94" s="94" t="str">
        <f>HYPERLINK("https://pbs.twimg.com/media/FhcHy7oXEAMenzQ.png")</f>
        <v>https://pbs.twimg.com/media/FhcHy7oXEAMenzQ.png</v>
      </c>
      <c r="Z94" s="91">
        <v>44878.463784722226</v>
      </c>
      <c r="AA94" s="100">
        <v>44878</v>
      </c>
      <c r="AB94" s="97" t="s">
        <v>531</v>
      </c>
      <c r="AC94" s="94" t="str">
        <f>HYPERLINK("https://twitter.com/transvisionmad1/status/1591749681398308865")</f>
        <v>https://twitter.com/transvisionmad1/status/1591749681398308865</v>
      </c>
      <c r="AD94" s="66"/>
      <c r="AE94" s="66"/>
      <c r="AF94" s="97" t="s">
        <v>665</v>
      </c>
      <c r="AG94" s="66"/>
      <c r="AH94" s="66" t="b">
        <v>0</v>
      </c>
      <c r="AI94" s="66">
        <v>7</v>
      </c>
      <c r="AJ94" s="97" t="s">
        <v>712</v>
      </c>
      <c r="AK94" s="66" t="b">
        <v>0</v>
      </c>
      <c r="AL94" s="66" t="s">
        <v>714</v>
      </c>
      <c r="AM94" s="66"/>
      <c r="AN94" s="97" t="s">
        <v>712</v>
      </c>
      <c r="AO94" s="66" t="b">
        <v>0</v>
      </c>
      <c r="AP94" s="66">
        <v>5</v>
      </c>
      <c r="AQ94" s="97" t="s">
        <v>712</v>
      </c>
      <c r="AR94" s="97" t="s">
        <v>717</v>
      </c>
      <c r="AS94" s="66" t="b">
        <v>0</v>
      </c>
      <c r="AT94" s="97" t="s">
        <v>665</v>
      </c>
      <c r="AU94" s="66" t="s">
        <v>241</v>
      </c>
      <c r="AV94" s="66">
        <v>0</v>
      </c>
      <c r="AW94" s="66">
        <v>0</v>
      </c>
      <c r="AX94" s="66"/>
      <c r="AY94" s="66"/>
      <c r="AZ94" s="66"/>
      <c r="BA94" s="66"/>
      <c r="BB94" s="66"/>
      <c r="BC94" s="66"/>
      <c r="BD94" s="66"/>
      <c r="BE94" s="66"/>
      <c r="BF94" s="45">
        <v>0</v>
      </c>
      <c r="BG94" s="46">
        <v>0</v>
      </c>
      <c r="BH94" s="45">
        <v>0</v>
      </c>
      <c r="BI94" s="46">
        <v>0</v>
      </c>
      <c r="BJ94" s="45">
        <v>0</v>
      </c>
      <c r="BK94" s="46">
        <v>0</v>
      </c>
      <c r="BL94" s="45">
        <v>5</v>
      </c>
      <c r="BM94" s="46">
        <v>62.5</v>
      </c>
      <c r="BN94" s="45">
        <v>8</v>
      </c>
    </row>
    <row r="95" spans="1:66" ht="15">
      <c r="A95" s="62" t="s">
        <v>298</v>
      </c>
      <c r="B95" s="62" t="s">
        <v>298</v>
      </c>
      <c r="C95" s="64"/>
      <c r="D95" s="67"/>
      <c r="E95" s="68"/>
      <c r="F95" s="69"/>
      <c r="G95" s="64"/>
      <c r="H95" s="70"/>
      <c r="I95" s="71"/>
      <c r="J95" s="71"/>
      <c r="K95" s="31" t="s">
        <v>65</v>
      </c>
      <c r="L95" s="79">
        <v>206</v>
      </c>
      <c r="M95" s="79"/>
      <c r="N95" s="73"/>
      <c r="O95" s="66">
        <v>22</v>
      </c>
      <c r="P95" s="63" t="str">
        <f>REPLACE(INDEX(GroupVertices[Group],MATCH(Edges25[[#This Row],[Vertex 1]],GroupVertices[Vertex],0)),1,1,"")</f>
        <v>2</v>
      </c>
      <c r="Q95" s="63" t="str">
        <f>REPLACE(INDEX(GroupVertices[Group],MATCH(Edges25[[#This Row],[Vertex 2]],GroupVertices[Vertex],0)),1,1,"")</f>
        <v>2</v>
      </c>
      <c r="R95" s="66" t="s">
        <v>241</v>
      </c>
      <c r="S95" s="91">
        <v>44878.636296296296</v>
      </c>
      <c r="T95" s="66" t="s">
        <v>360</v>
      </c>
      <c r="U95" s="94" t="str">
        <f>HYPERLINK("http://transvisionmadrid.com")</f>
        <v>http://transvisionmadrid.com</v>
      </c>
      <c r="V95" s="66" t="s">
        <v>407</v>
      </c>
      <c r="W95" s="97" t="s">
        <v>428</v>
      </c>
      <c r="X95" s="94" t="str">
        <f>HYPERLINK("https://pbs.twimg.com/media/FhdAwUOX0AEpSM5.jpg")</f>
        <v>https://pbs.twimg.com/media/FhdAwUOX0AEpSM5.jpg</v>
      </c>
      <c r="Y95" s="94" t="str">
        <f>HYPERLINK("https://pbs.twimg.com/media/FhdAwUOX0AEpSM5.jpg")</f>
        <v>https://pbs.twimg.com/media/FhdAwUOX0AEpSM5.jpg</v>
      </c>
      <c r="Z95" s="91">
        <v>44878.636296296296</v>
      </c>
      <c r="AA95" s="100">
        <v>44878</v>
      </c>
      <c r="AB95" s="97" t="s">
        <v>532</v>
      </c>
      <c r="AC95" s="94" t="str">
        <f>HYPERLINK("https://twitter.com/transvisionmad1/status/1591812196526432268")</f>
        <v>https://twitter.com/transvisionmad1/status/1591812196526432268</v>
      </c>
      <c r="AD95" s="66"/>
      <c r="AE95" s="66"/>
      <c r="AF95" s="97" t="s">
        <v>666</v>
      </c>
      <c r="AG95" s="66"/>
      <c r="AH95" s="66" t="b">
        <v>0</v>
      </c>
      <c r="AI95" s="66">
        <v>2</v>
      </c>
      <c r="AJ95" s="97" t="s">
        <v>712</v>
      </c>
      <c r="AK95" s="66" t="b">
        <v>0</v>
      </c>
      <c r="AL95" s="66" t="s">
        <v>714</v>
      </c>
      <c r="AM95" s="66"/>
      <c r="AN95" s="97" t="s">
        <v>712</v>
      </c>
      <c r="AO95" s="66" t="b">
        <v>0</v>
      </c>
      <c r="AP95" s="66">
        <v>0</v>
      </c>
      <c r="AQ95" s="97" t="s">
        <v>712</v>
      </c>
      <c r="AR95" s="97" t="s">
        <v>724</v>
      </c>
      <c r="AS95" s="66" t="b">
        <v>0</v>
      </c>
      <c r="AT95" s="97" t="s">
        <v>666</v>
      </c>
      <c r="AU95" s="66" t="s">
        <v>241</v>
      </c>
      <c r="AV95" s="66">
        <v>0</v>
      </c>
      <c r="AW95" s="66">
        <v>0</v>
      </c>
      <c r="AX95" s="66"/>
      <c r="AY95" s="66"/>
      <c r="AZ95" s="66"/>
      <c r="BA95" s="66"/>
      <c r="BB95" s="66"/>
      <c r="BC95" s="66"/>
      <c r="BD95" s="66"/>
      <c r="BE95" s="66"/>
      <c r="BF95" s="45">
        <v>0</v>
      </c>
      <c r="BG95" s="46">
        <v>0</v>
      </c>
      <c r="BH95" s="45">
        <v>0</v>
      </c>
      <c r="BI95" s="46">
        <v>0</v>
      </c>
      <c r="BJ95" s="45">
        <v>0</v>
      </c>
      <c r="BK95" s="46">
        <v>0</v>
      </c>
      <c r="BL95" s="45">
        <v>16</v>
      </c>
      <c r="BM95" s="46">
        <v>80</v>
      </c>
      <c r="BN95" s="45">
        <v>20</v>
      </c>
    </row>
    <row r="96" spans="1:66" ht="15">
      <c r="A96" s="62" t="s">
        <v>298</v>
      </c>
      <c r="B96" s="62" t="s">
        <v>298</v>
      </c>
      <c r="C96" s="64"/>
      <c r="D96" s="67"/>
      <c r="E96" s="68"/>
      <c r="F96" s="69"/>
      <c r="G96" s="64"/>
      <c r="H96" s="70"/>
      <c r="I96" s="71"/>
      <c r="J96" s="71"/>
      <c r="K96" s="31" t="s">
        <v>65</v>
      </c>
      <c r="L96" s="79">
        <v>207</v>
      </c>
      <c r="M96" s="79"/>
      <c r="N96" s="73"/>
      <c r="O96" s="66">
        <v>22</v>
      </c>
      <c r="P96" s="63" t="str">
        <f>REPLACE(INDEX(GroupVertices[Group],MATCH(Edges25[[#This Row],[Vertex 1]],GroupVertices[Vertex],0)),1,1,"")</f>
        <v>2</v>
      </c>
      <c r="Q96" s="63" t="str">
        <f>REPLACE(INDEX(GroupVertices[Group],MATCH(Edges25[[#This Row],[Vertex 2]],GroupVertices[Vertex],0)),1,1,"")</f>
        <v>2</v>
      </c>
      <c r="R96" s="66" t="s">
        <v>241</v>
      </c>
      <c r="S96" s="91">
        <v>44878.83628472222</v>
      </c>
      <c r="T96" s="66" t="s">
        <v>361</v>
      </c>
      <c r="U96" s="94" t="str">
        <f>HYPERLINK("http://transvisionmadrid.com")</f>
        <v>http://transvisionmadrid.com</v>
      </c>
      <c r="V96" s="66" t="s">
        <v>407</v>
      </c>
      <c r="W96" s="97" t="s">
        <v>428</v>
      </c>
      <c r="X96" s="94" t="str">
        <f>HYPERLINK("https://pbs.twimg.com/media/FheCqxHXoAUGZNw.jpg")</f>
        <v>https://pbs.twimg.com/media/FheCqxHXoAUGZNw.jpg</v>
      </c>
      <c r="Y96" s="94" t="str">
        <f>HYPERLINK("https://pbs.twimg.com/media/FheCqxHXoAUGZNw.jpg")</f>
        <v>https://pbs.twimg.com/media/FheCqxHXoAUGZNw.jpg</v>
      </c>
      <c r="Z96" s="91">
        <v>44878.83628472222</v>
      </c>
      <c r="AA96" s="100">
        <v>44878</v>
      </c>
      <c r="AB96" s="97" t="s">
        <v>533</v>
      </c>
      <c r="AC96" s="94" t="str">
        <f>HYPERLINK("https://twitter.com/transvisionmad1/status/1591884669074669569")</f>
        <v>https://twitter.com/transvisionmad1/status/1591884669074669569</v>
      </c>
      <c r="AD96" s="66"/>
      <c r="AE96" s="66"/>
      <c r="AF96" s="97" t="s">
        <v>667</v>
      </c>
      <c r="AG96" s="66"/>
      <c r="AH96" s="66" t="b">
        <v>0</v>
      </c>
      <c r="AI96" s="66">
        <v>1</v>
      </c>
      <c r="AJ96" s="97" t="s">
        <v>712</v>
      </c>
      <c r="AK96" s="66" t="b">
        <v>0</v>
      </c>
      <c r="AL96" s="66" t="s">
        <v>714</v>
      </c>
      <c r="AM96" s="66"/>
      <c r="AN96" s="97" t="s">
        <v>712</v>
      </c>
      <c r="AO96" s="66" t="b">
        <v>0</v>
      </c>
      <c r="AP96" s="66">
        <v>0</v>
      </c>
      <c r="AQ96" s="97" t="s">
        <v>712</v>
      </c>
      <c r="AR96" s="97" t="s">
        <v>724</v>
      </c>
      <c r="AS96" s="66" t="b">
        <v>0</v>
      </c>
      <c r="AT96" s="97" t="s">
        <v>667</v>
      </c>
      <c r="AU96" s="66" t="s">
        <v>241</v>
      </c>
      <c r="AV96" s="66">
        <v>0</v>
      </c>
      <c r="AW96" s="66">
        <v>0</v>
      </c>
      <c r="AX96" s="66"/>
      <c r="AY96" s="66"/>
      <c r="AZ96" s="66"/>
      <c r="BA96" s="66"/>
      <c r="BB96" s="66"/>
      <c r="BC96" s="66"/>
      <c r="BD96" s="66"/>
      <c r="BE96" s="66"/>
      <c r="BF96" s="45">
        <v>0</v>
      </c>
      <c r="BG96" s="46">
        <v>0</v>
      </c>
      <c r="BH96" s="45">
        <v>0</v>
      </c>
      <c r="BI96" s="46">
        <v>0</v>
      </c>
      <c r="BJ96" s="45">
        <v>0</v>
      </c>
      <c r="BK96" s="46">
        <v>0</v>
      </c>
      <c r="BL96" s="45">
        <v>16</v>
      </c>
      <c r="BM96" s="46">
        <v>84.21052631578948</v>
      </c>
      <c r="BN96" s="45">
        <v>19</v>
      </c>
    </row>
    <row r="97" spans="1:66" ht="15">
      <c r="A97" s="62" t="s">
        <v>298</v>
      </c>
      <c r="B97" s="62" t="s">
        <v>305</v>
      </c>
      <c r="C97" s="64"/>
      <c r="D97" s="67"/>
      <c r="E97" s="68"/>
      <c r="F97" s="69"/>
      <c r="G97" s="64"/>
      <c r="H97" s="70"/>
      <c r="I97" s="71"/>
      <c r="J97" s="71"/>
      <c r="K97" s="31" t="s">
        <v>65</v>
      </c>
      <c r="L97" s="79">
        <v>208</v>
      </c>
      <c r="M97" s="79"/>
      <c r="N97" s="73"/>
      <c r="O97" s="66">
        <v>5</v>
      </c>
      <c r="P97" s="63" t="str">
        <f>REPLACE(INDEX(GroupVertices[Group],MATCH(Edges25[[#This Row],[Vertex 1]],GroupVertices[Vertex],0)),1,1,"")</f>
        <v>2</v>
      </c>
      <c r="Q97" s="63" t="str">
        <f>REPLACE(INDEX(GroupVertices[Group],MATCH(Edges25[[#This Row],[Vertex 2]],GroupVertices[Vertex],0)),1,1,"")</f>
        <v>4</v>
      </c>
      <c r="R97" s="66" t="s">
        <v>315</v>
      </c>
      <c r="S97" s="91">
        <v>44879.405023148145</v>
      </c>
      <c r="T97" s="66" t="s">
        <v>362</v>
      </c>
      <c r="U97" s="94" t="str">
        <f>HYPERLINK("https://okdiario.com/salud/madrid-acogera-cumbre-internacional-sobre-criopreservacion-pacientes-futura-reanimacion-9945365")</f>
        <v>https://okdiario.com/salud/madrid-acogera-cumbre-internacional-sobre-criopreservacion-pacientes-futura-reanimacion-9945365</v>
      </c>
      <c r="V97" s="66" t="s">
        <v>414</v>
      </c>
      <c r="W97" s="97" t="s">
        <v>435</v>
      </c>
      <c r="X97" s="66"/>
      <c r="Y97" s="94" t="str">
        <f>HYPERLINK("https://pbs.twimg.com/profile_images/1416462775400927235/DSrY8TK-_normal.jpg")</f>
        <v>https://pbs.twimg.com/profile_images/1416462775400927235/DSrY8TK-_normal.jpg</v>
      </c>
      <c r="Z97" s="91">
        <v>44879.405023148145</v>
      </c>
      <c r="AA97" s="100">
        <v>44879</v>
      </c>
      <c r="AB97" s="97" t="s">
        <v>515</v>
      </c>
      <c r="AC97" s="94" t="str">
        <f>HYPERLINK("https://twitter.com/transvisionmad1/status/1592090770785566720")</f>
        <v>https://twitter.com/transvisionmad1/status/1592090770785566720</v>
      </c>
      <c r="AD97" s="66"/>
      <c r="AE97" s="66"/>
      <c r="AF97" s="97" t="s">
        <v>668</v>
      </c>
      <c r="AG97" s="66"/>
      <c r="AH97" s="66" t="b">
        <v>0</v>
      </c>
      <c r="AI97" s="66">
        <v>0</v>
      </c>
      <c r="AJ97" s="97" t="s">
        <v>712</v>
      </c>
      <c r="AK97" s="66" t="b">
        <v>0</v>
      </c>
      <c r="AL97" s="66" t="s">
        <v>715</v>
      </c>
      <c r="AM97" s="66"/>
      <c r="AN97" s="97" t="s">
        <v>712</v>
      </c>
      <c r="AO97" s="66" t="b">
        <v>0</v>
      </c>
      <c r="AP97" s="66">
        <v>1</v>
      </c>
      <c r="AQ97" s="97" t="s">
        <v>704</v>
      </c>
      <c r="AR97" s="97" t="s">
        <v>717</v>
      </c>
      <c r="AS97" s="66" t="b">
        <v>0</v>
      </c>
      <c r="AT97" s="97" t="s">
        <v>704</v>
      </c>
      <c r="AU97" s="66" t="s">
        <v>241</v>
      </c>
      <c r="AV97" s="66">
        <v>0</v>
      </c>
      <c r="AW97" s="66">
        <v>0</v>
      </c>
      <c r="AX97" s="66"/>
      <c r="AY97" s="66"/>
      <c r="AZ97" s="66"/>
      <c r="BA97" s="66"/>
      <c r="BB97" s="66"/>
      <c r="BC97" s="66"/>
      <c r="BD97" s="66"/>
      <c r="BE97" s="66"/>
      <c r="BF97" s="45">
        <v>0</v>
      </c>
      <c r="BG97" s="46">
        <v>0</v>
      </c>
      <c r="BH97" s="45">
        <v>0</v>
      </c>
      <c r="BI97" s="46">
        <v>0</v>
      </c>
      <c r="BJ97" s="45">
        <v>0</v>
      </c>
      <c r="BK97" s="46">
        <v>0</v>
      </c>
      <c r="BL97" s="45">
        <v>15</v>
      </c>
      <c r="BM97" s="46">
        <v>71.42857142857143</v>
      </c>
      <c r="BN97" s="45">
        <v>21</v>
      </c>
    </row>
    <row r="98" spans="1:66" ht="15">
      <c r="A98" s="62" t="s">
        <v>298</v>
      </c>
      <c r="B98" s="62" t="s">
        <v>298</v>
      </c>
      <c r="C98" s="64"/>
      <c r="D98" s="67"/>
      <c r="E98" s="68"/>
      <c r="F98" s="69"/>
      <c r="G98" s="64"/>
      <c r="H98" s="70"/>
      <c r="I98" s="71"/>
      <c r="J98" s="71"/>
      <c r="K98" s="31" t="s">
        <v>65</v>
      </c>
      <c r="L98" s="79">
        <v>209</v>
      </c>
      <c r="M98" s="79"/>
      <c r="N98" s="73"/>
      <c r="O98" s="66">
        <v>22</v>
      </c>
      <c r="P98" s="63" t="str">
        <f>REPLACE(INDEX(GroupVertices[Group],MATCH(Edges25[[#This Row],[Vertex 1]],GroupVertices[Vertex],0)),1,1,"")</f>
        <v>2</v>
      </c>
      <c r="Q98" s="63" t="str">
        <f>REPLACE(INDEX(GroupVertices[Group],MATCH(Edges25[[#This Row],[Vertex 2]],GroupVertices[Vertex],0)),1,1,"")</f>
        <v>2</v>
      </c>
      <c r="R98" s="66" t="s">
        <v>241</v>
      </c>
      <c r="S98" s="91">
        <v>44879.796006944445</v>
      </c>
      <c r="T98" s="66" t="s">
        <v>335</v>
      </c>
      <c r="U98" s="94" t="str">
        <f>HYPERLINK("https://www.levante-emv.com/tendencias21/2022/11/12/cumbre-cientifica-inmortalidad-madrid-78418464.html")</f>
        <v>https://www.levante-emv.com/tendencias21/2022/11/12/cumbre-cientifica-inmortalidad-madrid-78418464.html</v>
      </c>
      <c r="V98" s="66" t="s">
        <v>409</v>
      </c>
      <c r="W98" s="97" t="s">
        <v>431</v>
      </c>
      <c r="X98" s="66"/>
      <c r="Y98" s="94" t="str">
        <f>HYPERLINK("https://pbs.twimg.com/profile_images/1416462775400927235/DSrY8TK-_normal.jpg")</f>
        <v>https://pbs.twimg.com/profile_images/1416462775400927235/DSrY8TK-_normal.jpg</v>
      </c>
      <c r="Z98" s="91">
        <v>44879.796006944445</v>
      </c>
      <c r="AA98" s="100">
        <v>44879</v>
      </c>
      <c r="AB98" s="97" t="s">
        <v>534</v>
      </c>
      <c r="AC98" s="94" t="str">
        <f>HYPERLINK("https://twitter.com/transvisionmad1/status/1592232462209490944")</f>
        <v>https://twitter.com/transvisionmad1/status/1592232462209490944</v>
      </c>
      <c r="AD98" s="66"/>
      <c r="AE98" s="66"/>
      <c r="AF98" s="97" t="s">
        <v>669</v>
      </c>
      <c r="AG98" s="66"/>
      <c r="AH98" s="66" t="b">
        <v>0</v>
      </c>
      <c r="AI98" s="66">
        <v>3</v>
      </c>
      <c r="AJ98" s="97" t="s">
        <v>712</v>
      </c>
      <c r="AK98" s="66" t="b">
        <v>0</v>
      </c>
      <c r="AL98" s="66" t="s">
        <v>715</v>
      </c>
      <c r="AM98" s="66"/>
      <c r="AN98" s="97" t="s">
        <v>712</v>
      </c>
      <c r="AO98" s="66" t="b">
        <v>0</v>
      </c>
      <c r="AP98" s="66">
        <v>2</v>
      </c>
      <c r="AQ98" s="97" t="s">
        <v>712</v>
      </c>
      <c r="AR98" s="97" t="s">
        <v>724</v>
      </c>
      <c r="AS98" s="66" t="b">
        <v>0</v>
      </c>
      <c r="AT98" s="97" t="s">
        <v>669</v>
      </c>
      <c r="AU98" s="66" t="s">
        <v>241</v>
      </c>
      <c r="AV98" s="66">
        <v>0</v>
      </c>
      <c r="AW98" s="66">
        <v>0</v>
      </c>
      <c r="AX98" s="66"/>
      <c r="AY98" s="66"/>
      <c r="AZ98" s="66"/>
      <c r="BA98" s="66"/>
      <c r="BB98" s="66"/>
      <c r="BC98" s="66"/>
      <c r="BD98" s="66"/>
      <c r="BE98" s="66"/>
      <c r="BF98" s="45">
        <v>0</v>
      </c>
      <c r="BG98" s="46">
        <v>0</v>
      </c>
      <c r="BH98" s="45">
        <v>0</v>
      </c>
      <c r="BI98" s="46">
        <v>0</v>
      </c>
      <c r="BJ98" s="45">
        <v>0</v>
      </c>
      <c r="BK98" s="46">
        <v>0</v>
      </c>
      <c r="BL98" s="45">
        <v>18</v>
      </c>
      <c r="BM98" s="46">
        <v>66.66666666666667</v>
      </c>
      <c r="BN98" s="45">
        <v>27</v>
      </c>
    </row>
    <row r="99" spans="1:66" ht="15">
      <c r="A99" s="62" t="s">
        <v>298</v>
      </c>
      <c r="B99" s="62" t="s">
        <v>298</v>
      </c>
      <c r="C99" s="64"/>
      <c r="D99" s="67"/>
      <c r="E99" s="68"/>
      <c r="F99" s="69"/>
      <c r="G99" s="64"/>
      <c r="H99" s="70"/>
      <c r="I99" s="71"/>
      <c r="J99" s="71"/>
      <c r="K99" s="31" t="s">
        <v>65</v>
      </c>
      <c r="L99" s="79">
        <v>210</v>
      </c>
      <c r="M99" s="79"/>
      <c r="N99" s="73"/>
      <c r="O99" s="66">
        <v>22</v>
      </c>
      <c r="P99" s="63" t="str">
        <f>REPLACE(INDEX(GroupVertices[Group],MATCH(Edges25[[#This Row],[Vertex 1]],GroupVertices[Vertex],0)),1,1,"")</f>
        <v>2</v>
      </c>
      <c r="Q99" s="63" t="str">
        <f>REPLACE(INDEX(GroupVertices[Group],MATCH(Edges25[[#This Row],[Vertex 2]],GroupVertices[Vertex],0)),1,1,"")</f>
        <v>2</v>
      </c>
      <c r="R99" s="66" t="s">
        <v>241</v>
      </c>
      <c r="S99" s="91">
        <v>44880.504375</v>
      </c>
      <c r="T99" s="66" t="s">
        <v>363</v>
      </c>
      <c r="U99" s="94" t="str">
        <f>HYPERLINK("https://www.eldebate.com/salud-y-bienestar/salud/20221114/ramon-risco-criopreservacion-viable-humanos_72431.html#utm_source=rrss-comp&amp;utm_medium=wh&amp;utm_campaign=fixed-btn")</f>
        <v>https://www.eldebate.com/salud-y-bienestar/salud/20221114/ramon-risco-criopreservacion-viable-humanos_72431.html#utm_source=rrss-comp&amp;utm_medium=wh&amp;utm_campaign=fixed-btn</v>
      </c>
      <c r="V99" s="66" t="s">
        <v>415</v>
      </c>
      <c r="W99" s="97" t="s">
        <v>436</v>
      </c>
      <c r="X99" s="66"/>
      <c r="Y99" s="94" t="str">
        <f>HYPERLINK("https://pbs.twimg.com/profile_images/1416462775400927235/DSrY8TK-_normal.jpg")</f>
        <v>https://pbs.twimg.com/profile_images/1416462775400927235/DSrY8TK-_normal.jpg</v>
      </c>
      <c r="Z99" s="91">
        <v>44880.504375</v>
      </c>
      <c r="AA99" s="100">
        <v>44880</v>
      </c>
      <c r="AB99" s="97" t="s">
        <v>535</v>
      </c>
      <c r="AC99" s="94" t="str">
        <f>HYPERLINK("https://twitter.com/transvisionmad1/status/1592489164695633920")</f>
        <v>https://twitter.com/transvisionmad1/status/1592489164695633920</v>
      </c>
      <c r="AD99" s="66"/>
      <c r="AE99" s="66"/>
      <c r="AF99" s="97" t="s">
        <v>670</v>
      </c>
      <c r="AG99" s="66"/>
      <c r="AH99" s="66" t="b">
        <v>0</v>
      </c>
      <c r="AI99" s="66">
        <v>0</v>
      </c>
      <c r="AJ99" s="97" t="s">
        <v>712</v>
      </c>
      <c r="AK99" s="66" t="b">
        <v>0</v>
      </c>
      <c r="AL99" s="66" t="s">
        <v>715</v>
      </c>
      <c r="AM99" s="66"/>
      <c r="AN99" s="97" t="s">
        <v>712</v>
      </c>
      <c r="AO99" s="66" t="b">
        <v>0</v>
      </c>
      <c r="AP99" s="66">
        <v>0</v>
      </c>
      <c r="AQ99" s="97" t="s">
        <v>712</v>
      </c>
      <c r="AR99" s="97" t="s">
        <v>724</v>
      </c>
      <c r="AS99" s="66" t="b">
        <v>0</v>
      </c>
      <c r="AT99" s="97" t="s">
        <v>670</v>
      </c>
      <c r="AU99" s="66" t="s">
        <v>241</v>
      </c>
      <c r="AV99" s="66">
        <v>0</v>
      </c>
      <c r="AW99" s="66">
        <v>0</v>
      </c>
      <c r="AX99" s="66"/>
      <c r="AY99" s="66"/>
      <c r="AZ99" s="66"/>
      <c r="BA99" s="66"/>
      <c r="BB99" s="66"/>
      <c r="BC99" s="66"/>
      <c r="BD99" s="66"/>
      <c r="BE99" s="66"/>
      <c r="BF99" s="45">
        <v>0</v>
      </c>
      <c r="BG99" s="46">
        <v>0</v>
      </c>
      <c r="BH99" s="45">
        <v>0</v>
      </c>
      <c r="BI99" s="46">
        <v>0</v>
      </c>
      <c r="BJ99" s="45">
        <v>0</v>
      </c>
      <c r="BK99" s="46">
        <v>0</v>
      </c>
      <c r="BL99" s="45">
        <v>13</v>
      </c>
      <c r="BM99" s="46">
        <v>68.42105263157895</v>
      </c>
      <c r="BN99" s="45">
        <v>19</v>
      </c>
    </row>
    <row r="100" spans="1:66" ht="15">
      <c r="A100" s="62" t="s">
        <v>298</v>
      </c>
      <c r="B100" s="62" t="s">
        <v>298</v>
      </c>
      <c r="C100" s="64"/>
      <c r="D100" s="67"/>
      <c r="E100" s="68"/>
      <c r="F100" s="69"/>
      <c r="G100" s="64"/>
      <c r="H100" s="70"/>
      <c r="I100" s="71"/>
      <c r="J100" s="71"/>
      <c r="K100" s="31" t="s">
        <v>65</v>
      </c>
      <c r="L100" s="79">
        <v>211</v>
      </c>
      <c r="M100" s="79"/>
      <c r="N100" s="73"/>
      <c r="O100" s="66">
        <v>1</v>
      </c>
      <c r="P100" s="63" t="str">
        <f>REPLACE(INDEX(GroupVertices[Group],MATCH(Edges25[[#This Row],[Vertex 1]],GroupVertices[Vertex],0)),1,1,"")</f>
        <v>2</v>
      </c>
      <c r="Q100" s="63" t="str">
        <f>REPLACE(INDEX(GroupVertices[Group],MATCH(Edges25[[#This Row],[Vertex 2]],GroupVertices[Vertex],0)),1,1,"")</f>
        <v>2</v>
      </c>
      <c r="R100" s="66" t="s">
        <v>315</v>
      </c>
      <c r="S100" s="91">
        <v>44882.22119212963</v>
      </c>
      <c r="T100" s="66" t="s">
        <v>333</v>
      </c>
      <c r="U100" s="94" t="str">
        <f>HYPERLINK("https://www.youtube.com/watch?v=3JK84n-jsMU")</f>
        <v>https://www.youtube.com/watch?v=3JK84n-jsMU</v>
      </c>
      <c r="V100" s="66" t="s">
        <v>403</v>
      </c>
      <c r="W100" s="97" t="s">
        <v>430</v>
      </c>
      <c r="X100" s="94" t="str">
        <f>HYPERLINK("https://pbs.twimg.com/media/FhcHy7oXEAMenzQ.png")</f>
        <v>https://pbs.twimg.com/media/FhcHy7oXEAMenzQ.png</v>
      </c>
      <c r="Y100" s="94" t="str">
        <f>HYPERLINK("https://pbs.twimg.com/media/FhcHy7oXEAMenzQ.png")</f>
        <v>https://pbs.twimg.com/media/FhcHy7oXEAMenzQ.png</v>
      </c>
      <c r="Z100" s="91">
        <v>44882.22119212963</v>
      </c>
      <c r="AA100" s="100">
        <v>44882</v>
      </c>
      <c r="AB100" s="97" t="s">
        <v>536</v>
      </c>
      <c r="AC100" s="94" t="str">
        <f>HYPERLINK("https://twitter.com/transvisionmad1/status/1593111316155490305")</f>
        <v>https://twitter.com/transvisionmad1/status/1593111316155490305</v>
      </c>
      <c r="AD100" s="66"/>
      <c r="AE100" s="66"/>
      <c r="AF100" s="97" t="s">
        <v>671</v>
      </c>
      <c r="AG100" s="66"/>
      <c r="AH100" s="66" t="b">
        <v>0</v>
      </c>
      <c r="AI100" s="66">
        <v>0</v>
      </c>
      <c r="AJ100" s="97" t="s">
        <v>712</v>
      </c>
      <c r="AK100" s="66" t="b">
        <v>0</v>
      </c>
      <c r="AL100" s="66" t="s">
        <v>714</v>
      </c>
      <c r="AM100" s="66"/>
      <c r="AN100" s="97" t="s">
        <v>712</v>
      </c>
      <c r="AO100" s="66" t="b">
        <v>0</v>
      </c>
      <c r="AP100" s="66">
        <v>5</v>
      </c>
      <c r="AQ100" s="97" t="s">
        <v>665</v>
      </c>
      <c r="AR100" s="97" t="s">
        <v>717</v>
      </c>
      <c r="AS100" s="66" t="b">
        <v>0</v>
      </c>
      <c r="AT100" s="97" t="s">
        <v>665</v>
      </c>
      <c r="AU100" s="66" t="s">
        <v>241</v>
      </c>
      <c r="AV100" s="66">
        <v>0</v>
      </c>
      <c r="AW100" s="66">
        <v>0</v>
      </c>
      <c r="AX100" s="66"/>
      <c r="AY100" s="66"/>
      <c r="AZ100" s="66"/>
      <c r="BA100" s="66"/>
      <c r="BB100" s="66"/>
      <c r="BC100" s="66"/>
      <c r="BD100" s="66"/>
      <c r="BE100" s="66"/>
      <c r="BF100" s="45">
        <v>0</v>
      </c>
      <c r="BG100" s="46">
        <v>0</v>
      </c>
      <c r="BH100" s="45">
        <v>0</v>
      </c>
      <c r="BI100" s="46">
        <v>0</v>
      </c>
      <c r="BJ100" s="45">
        <v>0</v>
      </c>
      <c r="BK100" s="46">
        <v>0</v>
      </c>
      <c r="BL100" s="45">
        <v>5</v>
      </c>
      <c r="BM100" s="46">
        <v>62.5</v>
      </c>
      <c r="BN100" s="45">
        <v>8</v>
      </c>
    </row>
    <row r="101" spans="1:66" ht="15">
      <c r="A101" s="62" t="s">
        <v>298</v>
      </c>
      <c r="B101" s="62" t="s">
        <v>305</v>
      </c>
      <c r="C101" s="64"/>
      <c r="D101" s="67"/>
      <c r="E101" s="68"/>
      <c r="F101" s="69"/>
      <c r="G101" s="64"/>
      <c r="H101" s="70"/>
      <c r="I101" s="71"/>
      <c r="J101" s="71"/>
      <c r="K101" s="31" t="s">
        <v>65</v>
      </c>
      <c r="L101" s="79">
        <v>212</v>
      </c>
      <c r="M101" s="79"/>
      <c r="N101" s="73"/>
      <c r="O101" s="66">
        <v>5</v>
      </c>
      <c r="P101" s="63" t="str">
        <f>REPLACE(INDEX(GroupVertices[Group],MATCH(Edges25[[#This Row],[Vertex 1]],GroupVertices[Vertex],0)),1,1,"")</f>
        <v>2</v>
      </c>
      <c r="Q101" s="63" t="str">
        <f>REPLACE(INDEX(GroupVertices[Group],MATCH(Edges25[[#This Row],[Vertex 2]],GroupVertices[Vertex],0)),1,1,"")</f>
        <v>4</v>
      </c>
      <c r="R101" s="66" t="s">
        <v>315</v>
      </c>
      <c r="S101" s="91">
        <v>44882.22125</v>
      </c>
      <c r="T101" s="66" t="s">
        <v>329</v>
      </c>
      <c r="U101" s="66" t="s">
        <v>394</v>
      </c>
      <c r="V101" s="66" t="s">
        <v>408</v>
      </c>
      <c r="W101" s="97" t="s">
        <v>429</v>
      </c>
      <c r="X101" s="66"/>
      <c r="Y101" s="94" t="str">
        <f>HYPERLINK("https://pbs.twimg.com/profile_images/1416462775400927235/DSrY8TK-_normal.jpg")</f>
        <v>https://pbs.twimg.com/profile_images/1416462775400927235/DSrY8TK-_normal.jpg</v>
      </c>
      <c r="Z101" s="91">
        <v>44882.22125</v>
      </c>
      <c r="AA101" s="100">
        <v>44882</v>
      </c>
      <c r="AB101" s="97" t="s">
        <v>537</v>
      </c>
      <c r="AC101" s="94" t="str">
        <f>HYPERLINK("https://twitter.com/transvisionmad1/status/1593111341119983618")</f>
        <v>https://twitter.com/transvisionmad1/status/1593111341119983618</v>
      </c>
      <c r="AD101" s="66"/>
      <c r="AE101" s="66"/>
      <c r="AF101" s="97" t="s">
        <v>672</v>
      </c>
      <c r="AG101" s="66"/>
      <c r="AH101" s="66" t="b">
        <v>0</v>
      </c>
      <c r="AI101" s="66">
        <v>0</v>
      </c>
      <c r="AJ101" s="97" t="s">
        <v>712</v>
      </c>
      <c r="AK101" s="66" t="b">
        <v>0</v>
      </c>
      <c r="AL101" s="66" t="s">
        <v>714</v>
      </c>
      <c r="AM101" s="66"/>
      <c r="AN101" s="97" t="s">
        <v>712</v>
      </c>
      <c r="AO101" s="66" t="b">
        <v>0</v>
      </c>
      <c r="AP101" s="66">
        <v>5</v>
      </c>
      <c r="AQ101" s="97" t="s">
        <v>699</v>
      </c>
      <c r="AR101" s="97" t="s">
        <v>717</v>
      </c>
      <c r="AS101" s="66" t="b">
        <v>0</v>
      </c>
      <c r="AT101" s="97" t="s">
        <v>699</v>
      </c>
      <c r="AU101" s="66" t="s">
        <v>241</v>
      </c>
      <c r="AV101" s="66">
        <v>0</v>
      </c>
      <c r="AW101" s="66">
        <v>0</v>
      </c>
      <c r="AX101" s="66"/>
      <c r="AY101" s="66"/>
      <c r="AZ101" s="66"/>
      <c r="BA101" s="66"/>
      <c r="BB101" s="66"/>
      <c r="BC101" s="66"/>
      <c r="BD101" s="66"/>
      <c r="BE101" s="66"/>
      <c r="BF101" s="45">
        <v>0</v>
      </c>
      <c r="BG101" s="46">
        <v>0</v>
      </c>
      <c r="BH101" s="45">
        <v>0</v>
      </c>
      <c r="BI101" s="46">
        <v>0</v>
      </c>
      <c r="BJ101" s="45">
        <v>0</v>
      </c>
      <c r="BK101" s="46">
        <v>0</v>
      </c>
      <c r="BL101" s="45">
        <v>16</v>
      </c>
      <c r="BM101" s="46">
        <v>51.61290322580645</v>
      </c>
      <c r="BN101" s="45">
        <v>31</v>
      </c>
    </row>
    <row r="102" spans="1:66" ht="15">
      <c r="A102" s="62" t="s">
        <v>298</v>
      </c>
      <c r="B102" s="62" t="s">
        <v>298</v>
      </c>
      <c r="C102" s="64"/>
      <c r="D102" s="67"/>
      <c r="E102" s="68"/>
      <c r="F102" s="69"/>
      <c r="G102" s="64"/>
      <c r="H102" s="70"/>
      <c r="I102" s="71"/>
      <c r="J102" s="71"/>
      <c r="K102" s="31" t="s">
        <v>65</v>
      </c>
      <c r="L102" s="79">
        <v>213</v>
      </c>
      <c r="M102" s="79"/>
      <c r="N102" s="73"/>
      <c r="O102" s="66">
        <v>22</v>
      </c>
      <c r="P102" s="63" t="str">
        <f>REPLACE(INDEX(GroupVertices[Group],MATCH(Edges25[[#This Row],[Vertex 1]],GroupVertices[Vertex],0)),1,1,"")</f>
        <v>2</v>
      </c>
      <c r="Q102" s="63" t="str">
        <f>REPLACE(INDEX(GroupVertices[Group],MATCH(Edges25[[#This Row],[Vertex 2]],GroupVertices[Vertex],0)),1,1,"")</f>
        <v>2</v>
      </c>
      <c r="R102" s="66" t="s">
        <v>241</v>
      </c>
      <c r="S102" s="91">
        <v>44883.50445601852</v>
      </c>
      <c r="T102" s="66" t="s">
        <v>364</v>
      </c>
      <c r="U102" s="94" t="str">
        <f>HYPERLINK("https://www.eldebate.com/salud-y-bienestar/salud/20221114/ramon-risco-criopreservacion-viable-humanos_72431.html#utm_source=rrss-comp&amp;utm_medium=wh&amp;utm_campaign=fixed-btn")</f>
        <v>https://www.eldebate.com/salud-y-bienestar/salud/20221114/ramon-risco-criopreservacion-viable-humanos_72431.html#utm_source=rrss-comp&amp;utm_medium=wh&amp;utm_campaign=fixed-btn</v>
      </c>
      <c r="V102" s="66" t="s">
        <v>415</v>
      </c>
      <c r="W102" s="97" t="s">
        <v>436</v>
      </c>
      <c r="X102" s="66"/>
      <c r="Y102" s="94" t="str">
        <f>HYPERLINK("https://pbs.twimg.com/profile_images/1416462775400927235/DSrY8TK-_normal.jpg")</f>
        <v>https://pbs.twimg.com/profile_images/1416462775400927235/DSrY8TK-_normal.jpg</v>
      </c>
      <c r="Z102" s="91">
        <v>44883.50445601852</v>
      </c>
      <c r="AA102" s="100">
        <v>44883</v>
      </c>
      <c r="AB102" s="97" t="s">
        <v>538</v>
      </c>
      <c r="AC102" s="94" t="str">
        <f>HYPERLINK("https://twitter.com/transvisionmad1/status/1593576358004899840")</f>
        <v>https://twitter.com/transvisionmad1/status/1593576358004899840</v>
      </c>
      <c r="AD102" s="66"/>
      <c r="AE102" s="66"/>
      <c r="AF102" s="97" t="s">
        <v>673</v>
      </c>
      <c r="AG102" s="66"/>
      <c r="AH102" s="66" t="b">
        <v>0</v>
      </c>
      <c r="AI102" s="66">
        <v>2</v>
      </c>
      <c r="AJ102" s="97" t="s">
        <v>712</v>
      </c>
      <c r="AK102" s="66" t="b">
        <v>0</v>
      </c>
      <c r="AL102" s="66" t="s">
        <v>715</v>
      </c>
      <c r="AM102" s="66"/>
      <c r="AN102" s="97" t="s">
        <v>712</v>
      </c>
      <c r="AO102" s="66" t="b">
        <v>0</v>
      </c>
      <c r="AP102" s="66">
        <v>0</v>
      </c>
      <c r="AQ102" s="97" t="s">
        <v>712</v>
      </c>
      <c r="AR102" s="97" t="s">
        <v>724</v>
      </c>
      <c r="AS102" s="66" t="b">
        <v>0</v>
      </c>
      <c r="AT102" s="97" t="s">
        <v>673</v>
      </c>
      <c r="AU102" s="66" t="s">
        <v>241</v>
      </c>
      <c r="AV102" s="66">
        <v>0</v>
      </c>
      <c r="AW102" s="66">
        <v>0</v>
      </c>
      <c r="AX102" s="66"/>
      <c r="AY102" s="66"/>
      <c r="AZ102" s="66"/>
      <c r="BA102" s="66"/>
      <c r="BB102" s="66"/>
      <c r="BC102" s="66"/>
      <c r="BD102" s="66"/>
      <c r="BE102" s="66"/>
      <c r="BF102" s="45">
        <v>0</v>
      </c>
      <c r="BG102" s="46">
        <v>0</v>
      </c>
      <c r="BH102" s="45">
        <v>0</v>
      </c>
      <c r="BI102" s="46">
        <v>0</v>
      </c>
      <c r="BJ102" s="45">
        <v>0</v>
      </c>
      <c r="BK102" s="46">
        <v>0</v>
      </c>
      <c r="BL102" s="45">
        <v>13</v>
      </c>
      <c r="BM102" s="46">
        <v>68.42105263157895</v>
      </c>
      <c r="BN102" s="45">
        <v>19</v>
      </c>
    </row>
    <row r="103" spans="1:66" ht="15">
      <c r="A103" s="62" t="s">
        <v>305</v>
      </c>
      <c r="B103" s="62" t="s">
        <v>300</v>
      </c>
      <c r="C103" s="64"/>
      <c r="D103" s="67"/>
      <c r="E103" s="68"/>
      <c r="F103" s="69"/>
      <c r="G103" s="64"/>
      <c r="H103" s="70"/>
      <c r="I103" s="71"/>
      <c r="J103" s="71"/>
      <c r="K103" s="31" t="s">
        <v>66</v>
      </c>
      <c r="L103" s="79">
        <v>216</v>
      </c>
      <c r="M103" s="79"/>
      <c r="N103" s="73"/>
      <c r="O103" s="66">
        <v>1</v>
      </c>
      <c r="P103" s="63" t="str">
        <f>REPLACE(INDEX(GroupVertices[Group],MATCH(Edges25[[#This Row],[Vertex 1]],GroupVertices[Vertex],0)),1,1,"")</f>
        <v>4</v>
      </c>
      <c r="Q103" s="63" t="str">
        <f>REPLACE(INDEX(GroupVertices[Group],MATCH(Edges25[[#This Row],[Vertex 2]],GroupVertices[Vertex],0)),1,1,"")</f>
        <v>3</v>
      </c>
      <c r="R103" s="66" t="s">
        <v>317</v>
      </c>
      <c r="S103" s="91">
        <v>44877.416817129626</v>
      </c>
      <c r="T103" s="66" t="s">
        <v>342</v>
      </c>
      <c r="U103" s="66" t="s">
        <v>395</v>
      </c>
      <c r="V103" s="66" t="s">
        <v>412</v>
      </c>
      <c r="W103" s="97" t="s">
        <v>423</v>
      </c>
      <c r="X103" s="66"/>
      <c r="Y103" s="94" t="str">
        <f>HYPERLINK("https://pbs.twimg.com/profile_images/1078408329045725184/ix0-gmNx_normal.jpg")</f>
        <v>https://pbs.twimg.com/profile_images/1078408329045725184/ix0-gmNx_normal.jpg</v>
      </c>
      <c r="Z103" s="91">
        <v>44877.416817129626</v>
      </c>
      <c r="AA103" s="100">
        <v>44877</v>
      </c>
      <c r="AB103" s="97" t="s">
        <v>539</v>
      </c>
      <c r="AC103" s="94" t="str">
        <f>HYPERLINK("https://twitter.com/cordeiro/status/1591370271352623105")</f>
        <v>https://twitter.com/cordeiro/status/1591370271352623105</v>
      </c>
      <c r="AD103" s="66"/>
      <c r="AE103" s="66"/>
      <c r="AF103" s="97" t="s">
        <v>674</v>
      </c>
      <c r="AG103" s="66"/>
      <c r="AH103" s="66" t="b">
        <v>0</v>
      </c>
      <c r="AI103" s="66">
        <v>3</v>
      </c>
      <c r="AJ103" s="97" t="s">
        <v>712</v>
      </c>
      <c r="AK103" s="66" t="b">
        <v>0</v>
      </c>
      <c r="AL103" s="66" t="s">
        <v>715</v>
      </c>
      <c r="AM103" s="66"/>
      <c r="AN103" s="97" t="s">
        <v>712</v>
      </c>
      <c r="AO103" s="66" t="b">
        <v>0</v>
      </c>
      <c r="AP103" s="66">
        <v>2</v>
      </c>
      <c r="AQ103" s="97" t="s">
        <v>712</v>
      </c>
      <c r="AR103" s="97" t="s">
        <v>723</v>
      </c>
      <c r="AS103" s="66" t="b">
        <v>0</v>
      </c>
      <c r="AT103" s="97" t="s">
        <v>674</v>
      </c>
      <c r="AU103" s="66" t="s">
        <v>241</v>
      </c>
      <c r="AV103" s="66">
        <v>0</v>
      </c>
      <c r="AW103" s="66">
        <v>0</v>
      </c>
      <c r="AX103" s="66"/>
      <c r="AY103" s="66"/>
      <c r="AZ103" s="66"/>
      <c r="BA103" s="66"/>
      <c r="BB103" s="66"/>
      <c r="BC103" s="66"/>
      <c r="BD103" s="66"/>
      <c r="BE103" s="66"/>
      <c r="BF103" s="45"/>
      <c r="BG103" s="46"/>
      <c r="BH103" s="45"/>
      <c r="BI103" s="46"/>
      <c r="BJ103" s="45"/>
      <c r="BK103" s="46"/>
      <c r="BL103" s="45"/>
      <c r="BM103" s="46"/>
      <c r="BN103" s="45"/>
    </row>
    <row r="104" spans="1:66" ht="15">
      <c r="A104" s="62" t="s">
        <v>305</v>
      </c>
      <c r="B104" s="62" t="s">
        <v>310</v>
      </c>
      <c r="C104" s="64"/>
      <c r="D104" s="67"/>
      <c r="E104" s="68"/>
      <c r="F104" s="69"/>
      <c r="G104" s="64"/>
      <c r="H104" s="70"/>
      <c r="I104" s="71"/>
      <c r="J104" s="71"/>
      <c r="K104" s="31" t="s">
        <v>65</v>
      </c>
      <c r="L104" s="79">
        <v>218</v>
      </c>
      <c r="M104" s="79"/>
      <c r="N104" s="73"/>
      <c r="O104" s="66">
        <v>1</v>
      </c>
      <c r="P104" s="63" t="str">
        <f>REPLACE(INDEX(GroupVertices[Group],MATCH(Edges25[[#This Row],[Vertex 1]],GroupVertices[Vertex],0)),1,1,"")</f>
        <v>4</v>
      </c>
      <c r="Q104" s="63" t="str">
        <f>REPLACE(INDEX(GroupVertices[Group],MATCH(Edges25[[#This Row],[Vertex 2]],GroupVertices[Vertex],0)),1,1,"")</f>
        <v>2</v>
      </c>
      <c r="R104" s="66" t="s">
        <v>317</v>
      </c>
      <c r="S104" s="91">
        <v>44878.41709490741</v>
      </c>
      <c r="T104" s="66" t="s">
        <v>365</v>
      </c>
      <c r="U104" s="66" t="s">
        <v>397</v>
      </c>
      <c r="V104" s="66" t="s">
        <v>408</v>
      </c>
      <c r="W104" s="97" t="s">
        <v>430</v>
      </c>
      <c r="X104" s="66"/>
      <c r="Y104" s="94" t="str">
        <f>HYPERLINK("https://pbs.twimg.com/profile_images/1078408329045725184/ix0-gmNx_normal.jpg")</f>
        <v>https://pbs.twimg.com/profile_images/1078408329045725184/ix0-gmNx_normal.jpg</v>
      </c>
      <c r="Z104" s="91">
        <v>44878.41709490741</v>
      </c>
      <c r="AA104" s="100">
        <v>44878</v>
      </c>
      <c r="AB104" s="97" t="s">
        <v>540</v>
      </c>
      <c r="AC104" s="94" t="str">
        <f>HYPERLINK("https://twitter.com/cordeiro/status/1591732759793631233")</f>
        <v>https://twitter.com/cordeiro/status/1591732759793631233</v>
      </c>
      <c r="AD104" s="66"/>
      <c r="AE104" s="66"/>
      <c r="AF104" s="97" t="s">
        <v>675</v>
      </c>
      <c r="AG104" s="66"/>
      <c r="AH104" s="66" t="b">
        <v>0</v>
      </c>
      <c r="AI104" s="66">
        <v>0</v>
      </c>
      <c r="AJ104" s="97" t="s">
        <v>712</v>
      </c>
      <c r="AK104" s="66" t="b">
        <v>0</v>
      </c>
      <c r="AL104" s="66" t="s">
        <v>715</v>
      </c>
      <c r="AM104" s="66"/>
      <c r="AN104" s="97" t="s">
        <v>712</v>
      </c>
      <c r="AO104" s="66" t="b">
        <v>0</v>
      </c>
      <c r="AP104" s="66">
        <v>0</v>
      </c>
      <c r="AQ104" s="97" t="s">
        <v>712</v>
      </c>
      <c r="AR104" s="97" t="s">
        <v>723</v>
      </c>
      <c r="AS104" s="66" t="b">
        <v>0</v>
      </c>
      <c r="AT104" s="97" t="s">
        <v>675</v>
      </c>
      <c r="AU104" s="66" t="s">
        <v>241</v>
      </c>
      <c r="AV104" s="66">
        <v>0</v>
      </c>
      <c r="AW104" s="66">
        <v>0</v>
      </c>
      <c r="AX104" s="66"/>
      <c r="AY104" s="66"/>
      <c r="AZ104" s="66"/>
      <c r="BA104" s="66"/>
      <c r="BB104" s="66"/>
      <c r="BC104" s="66"/>
      <c r="BD104" s="66"/>
      <c r="BE104" s="66"/>
      <c r="BF104" s="45">
        <v>0</v>
      </c>
      <c r="BG104" s="46">
        <v>0</v>
      </c>
      <c r="BH104" s="45">
        <v>0</v>
      </c>
      <c r="BI104" s="46">
        <v>0</v>
      </c>
      <c r="BJ104" s="45">
        <v>0</v>
      </c>
      <c r="BK104" s="46">
        <v>0</v>
      </c>
      <c r="BL104" s="45">
        <v>9</v>
      </c>
      <c r="BM104" s="46">
        <v>75</v>
      </c>
      <c r="BN104" s="45">
        <v>12</v>
      </c>
    </row>
    <row r="105" spans="1:66" ht="15">
      <c r="A105" s="62" t="s">
        <v>305</v>
      </c>
      <c r="B105" s="62" t="s">
        <v>305</v>
      </c>
      <c r="C105" s="64"/>
      <c r="D105" s="67"/>
      <c r="E105" s="68"/>
      <c r="F105" s="69"/>
      <c r="G105" s="64"/>
      <c r="H105" s="70"/>
      <c r="I105" s="71"/>
      <c r="J105" s="71"/>
      <c r="K105" s="31" t="s">
        <v>65</v>
      </c>
      <c r="L105" s="79">
        <v>219</v>
      </c>
      <c r="M105" s="79"/>
      <c r="N105" s="73"/>
      <c r="O105" s="66">
        <v>35</v>
      </c>
      <c r="P105" s="63" t="str">
        <f>REPLACE(INDEX(GroupVertices[Group],MATCH(Edges25[[#This Row],[Vertex 1]],GroupVertices[Vertex],0)),1,1,"")</f>
        <v>4</v>
      </c>
      <c r="Q105" s="63" t="str">
        <f>REPLACE(INDEX(GroupVertices[Group],MATCH(Edges25[[#This Row],[Vertex 2]],GroupVertices[Vertex],0)),1,1,"")</f>
        <v>4</v>
      </c>
      <c r="R105" s="66" t="s">
        <v>241</v>
      </c>
      <c r="S105" s="91">
        <v>44875.441203703704</v>
      </c>
      <c r="T105" s="66" t="s">
        <v>366</v>
      </c>
      <c r="U105" s="94" t="str">
        <f>HYPERLINK("http://transvisionmadrid.com")</f>
        <v>http://transvisionmadrid.com</v>
      </c>
      <c r="V105" s="66" t="s">
        <v>407</v>
      </c>
      <c r="W105" s="97" t="s">
        <v>428</v>
      </c>
      <c r="X105" s="94" t="str">
        <f>HYPERLINK("https://pbs.twimg.com/media/FhMjrwcX0AEPiab.jpg")</f>
        <v>https://pbs.twimg.com/media/FhMjrwcX0AEPiab.jpg</v>
      </c>
      <c r="Y105" s="94" t="str">
        <f>HYPERLINK("https://pbs.twimg.com/media/FhMjrwcX0AEPiab.jpg")</f>
        <v>https://pbs.twimg.com/media/FhMjrwcX0AEPiab.jpg</v>
      </c>
      <c r="Z105" s="91">
        <v>44875.441203703704</v>
      </c>
      <c r="AA105" s="100">
        <v>44875</v>
      </c>
      <c r="AB105" s="97" t="s">
        <v>541</v>
      </c>
      <c r="AC105" s="94" t="str">
        <f>HYPERLINK("https://twitter.com/cordeiro/status/1590654332374065153")</f>
        <v>https://twitter.com/cordeiro/status/1590654332374065153</v>
      </c>
      <c r="AD105" s="66"/>
      <c r="AE105" s="66"/>
      <c r="AF105" s="97" t="s">
        <v>676</v>
      </c>
      <c r="AG105" s="66"/>
      <c r="AH105" s="66" t="b">
        <v>0</v>
      </c>
      <c r="AI105" s="66">
        <v>1</v>
      </c>
      <c r="AJ105" s="97" t="s">
        <v>712</v>
      </c>
      <c r="AK105" s="66" t="b">
        <v>0</v>
      </c>
      <c r="AL105" s="66" t="s">
        <v>714</v>
      </c>
      <c r="AM105" s="66"/>
      <c r="AN105" s="97" t="s">
        <v>712</v>
      </c>
      <c r="AO105" s="66" t="b">
        <v>0</v>
      </c>
      <c r="AP105" s="66">
        <v>0</v>
      </c>
      <c r="AQ105" s="97" t="s">
        <v>712</v>
      </c>
      <c r="AR105" s="97" t="s">
        <v>724</v>
      </c>
      <c r="AS105" s="66" t="b">
        <v>0</v>
      </c>
      <c r="AT105" s="97" t="s">
        <v>676</v>
      </c>
      <c r="AU105" s="66" t="s">
        <v>241</v>
      </c>
      <c r="AV105" s="66">
        <v>0</v>
      </c>
      <c r="AW105" s="66">
        <v>0</v>
      </c>
      <c r="AX105" s="66"/>
      <c r="AY105" s="66"/>
      <c r="AZ105" s="66"/>
      <c r="BA105" s="66"/>
      <c r="BB105" s="66"/>
      <c r="BC105" s="66"/>
      <c r="BD105" s="66"/>
      <c r="BE105" s="66"/>
      <c r="BF105" s="45">
        <v>0</v>
      </c>
      <c r="BG105" s="46">
        <v>0</v>
      </c>
      <c r="BH105" s="45">
        <v>0</v>
      </c>
      <c r="BI105" s="46">
        <v>0</v>
      </c>
      <c r="BJ105" s="45">
        <v>0</v>
      </c>
      <c r="BK105" s="46">
        <v>0</v>
      </c>
      <c r="BL105" s="45">
        <v>16</v>
      </c>
      <c r="BM105" s="46">
        <v>84.21052631578948</v>
      </c>
      <c r="BN105" s="45">
        <v>19</v>
      </c>
    </row>
    <row r="106" spans="1:66" ht="15">
      <c r="A106" s="62" t="s">
        <v>305</v>
      </c>
      <c r="B106" s="62" t="s">
        <v>305</v>
      </c>
      <c r="C106" s="64"/>
      <c r="D106" s="67"/>
      <c r="E106" s="68"/>
      <c r="F106" s="69"/>
      <c r="G106" s="64"/>
      <c r="H106" s="70"/>
      <c r="I106" s="71"/>
      <c r="J106" s="71"/>
      <c r="K106" s="31" t="s">
        <v>65</v>
      </c>
      <c r="L106" s="79">
        <v>220</v>
      </c>
      <c r="M106" s="79"/>
      <c r="N106" s="73"/>
      <c r="O106" s="66">
        <v>35</v>
      </c>
      <c r="P106" s="63" t="str">
        <f>REPLACE(INDEX(GroupVertices[Group],MATCH(Edges25[[#This Row],[Vertex 1]],GroupVertices[Vertex],0)),1,1,"")</f>
        <v>4</v>
      </c>
      <c r="Q106" s="63" t="str">
        <f>REPLACE(INDEX(GroupVertices[Group],MATCH(Edges25[[#This Row],[Vertex 2]],GroupVertices[Vertex],0)),1,1,"")</f>
        <v>4</v>
      </c>
      <c r="R106" s="66" t="s">
        <v>241</v>
      </c>
      <c r="S106" s="91">
        <v>44875.7065162037</v>
      </c>
      <c r="T106" s="66" t="s">
        <v>367</v>
      </c>
      <c r="U106" s="94" t="str">
        <f>HYPERLINK("http://transvisionmadrid.com")</f>
        <v>http://transvisionmadrid.com</v>
      </c>
      <c r="V106" s="66" t="s">
        <v>407</v>
      </c>
      <c r="W106" s="97" t="s">
        <v>428</v>
      </c>
      <c r="X106" s="94" t="str">
        <f>HYPERLINK("https://pbs.twimg.com/media/FhN7IEfWAAACRDI.jpg")</f>
        <v>https://pbs.twimg.com/media/FhN7IEfWAAACRDI.jpg</v>
      </c>
      <c r="Y106" s="94" t="str">
        <f>HYPERLINK("https://pbs.twimg.com/media/FhN7IEfWAAACRDI.jpg")</f>
        <v>https://pbs.twimg.com/media/FhN7IEfWAAACRDI.jpg</v>
      </c>
      <c r="Z106" s="91">
        <v>44875.7065162037</v>
      </c>
      <c r="AA106" s="100">
        <v>44875</v>
      </c>
      <c r="AB106" s="97" t="s">
        <v>542</v>
      </c>
      <c r="AC106" s="94" t="str">
        <f>HYPERLINK("https://twitter.com/cordeiro/status/1590750477020532738")</f>
        <v>https://twitter.com/cordeiro/status/1590750477020532738</v>
      </c>
      <c r="AD106" s="66"/>
      <c r="AE106" s="66"/>
      <c r="AF106" s="97" t="s">
        <v>677</v>
      </c>
      <c r="AG106" s="66"/>
      <c r="AH106" s="66" t="b">
        <v>0</v>
      </c>
      <c r="AI106" s="66">
        <v>0</v>
      </c>
      <c r="AJ106" s="97" t="s">
        <v>712</v>
      </c>
      <c r="AK106" s="66" t="b">
        <v>0</v>
      </c>
      <c r="AL106" s="66" t="s">
        <v>714</v>
      </c>
      <c r="AM106" s="66"/>
      <c r="AN106" s="97" t="s">
        <v>712</v>
      </c>
      <c r="AO106" s="66" t="b">
        <v>0</v>
      </c>
      <c r="AP106" s="66">
        <v>0</v>
      </c>
      <c r="AQ106" s="97" t="s">
        <v>712</v>
      </c>
      <c r="AR106" s="97" t="s">
        <v>724</v>
      </c>
      <c r="AS106" s="66" t="b">
        <v>0</v>
      </c>
      <c r="AT106" s="97" t="s">
        <v>677</v>
      </c>
      <c r="AU106" s="66" t="s">
        <v>241</v>
      </c>
      <c r="AV106" s="66">
        <v>0</v>
      </c>
      <c r="AW106" s="66">
        <v>0</v>
      </c>
      <c r="AX106" s="66"/>
      <c r="AY106" s="66"/>
      <c r="AZ106" s="66"/>
      <c r="BA106" s="66"/>
      <c r="BB106" s="66"/>
      <c r="BC106" s="66"/>
      <c r="BD106" s="66"/>
      <c r="BE106" s="66"/>
      <c r="BF106" s="45">
        <v>0</v>
      </c>
      <c r="BG106" s="46">
        <v>0</v>
      </c>
      <c r="BH106" s="45">
        <v>0</v>
      </c>
      <c r="BI106" s="46">
        <v>0</v>
      </c>
      <c r="BJ106" s="45">
        <v>0</v>
      </c>
      <c r="BK106" s="46">
        <v>0</v>
      </c>
      <c r="BL106" s="45">
        <v>16</v>
      </c>
      <c r="BM106" s="46">
        <v>84.21052631578948</v>
      </c>
      <c r="BN106" s="45">
        <v>19</v>
      </c>
    </row>
    <row r="107" spans="1:66" ht="15">
      <c r="A107" s="62" t="s">
        <v>305</v>
      </c>
      <c r="B107" s="62" t="s">
        <v>305</v>
      </c>
      <c r="C107" s="64"/>
      <c r="D107" s="67"/>
      <c r="E107" s="68"/>
      <c r="F107" s="69"/>
      <c r="G107" s="64"/>
      <c r="H107" s="70"/>
      <c r="I107" s="71"/>
      <c r="J107" s="71"/>
      <c r="K107" s="31" t="s">
        <v>65</v>
      </c>
      <c r="L107" s="79">
        <v>221</v>
      </c>
      <c r="M107" s="79"/>
      <c r="N107" s="73"/>
      <c r="O107" s="66">
        <v>35</v>
      </c>
      <c r="P107" s="63" t="str">
        <f>REPLACE(INDEX(GroupVertices[Group],MATCH(Edges25[[#This Row],[Vertex 1]],GroupVertices[Vertex],0)),1,1,"")</f>
        <v>4</v>
      </c>
      <c r="Q107" s="63" t="str">
        <f>REPLACE(INDEX(GroupVertices[Group],MATCH(Edges25[[#This Row],[Vertex 2]],GroupVertices[Vertex],0)),1,1,"")</f>
        <v>4</v>
      </c>
      <c r="R107" s="66" t="s">
        <v>241</v>
      </c>
      <c r="S107" s="91">
        <v>44875.93494212963</v>
      </c>
      <c r="T107" s="66" t="s">
        <v>368</v>
      </c>
      <c r="U107" s="94" t="str">
        <f>HYPERLINK("http://transvisionmadrid.com")</f>
        <v>http://transvisionmadrid.com</v>
      </c>
      <c r="V107" s="66" t="s">
        <v>407</v>
      </c>
      <c r="W107" s="97" t="s">
        <v>428</v>
      </c>
      <c r="X107" s="94" t="str">
        <f>HYPERLINK("https://pbs.twimg.com/media/FhPGagrXoA4noUU.jpg")</f>
        <v>https://pbs.twimg.com/media/FhPGagrXoA4noUU.jpg</v>
      </c>
      <c r="Y107" s="94" t="str">
        <f>HYPERLINK("https://pbs.twimg.com/media/FhPGagrXoA4noUU.jpg")</f>
        <v>https://pbs.twimg.com/media/FhPGagrXoA4noUU.jpg</v>
      </c>
      <c r="Z107" s="91">
        <v>44875.93494212963</v>
      </c>
      <c r="AA107" s="100">
        <v>44875</v>
      </c>
      <c r="AB107" s="97" t="s">
        <v>543</v>
      </c>
      <c r="AC107" s="94" t="str">
        <f>HYPERLINK("https://twitter.com/cordeiro/status/1590833256651440128")</f>
        <v>https://twitter.com/cordeiro/status/1590833256651440128</v>
      </c>
      <c r="AD107" s="66"/>
      <c r="AE107" s="66"/>
      <c r="AF107" s="97" t="s">
        <v>678</v>
      </c>
      <c r="AG107" s="66"/>
      <c r="AH107" s="66" t="b">
        <v>0</v>
      </c>
      <c r="AI107" s="66">
        <v>0</v>
      </c>
      <c r="AJ107" s="97" t="s">
        <v>712</v>
      </c>
      <c r="AK107" s="66" t="b">
        <v>0</v>
      </c>
      <c r="AL107" s="66" t="s">
        <v>714</v>
      </c>
      <c r="AM107" s="66"/>
      <c r="AN107" s="97" t="s">
        <v>712</v>
      </c>
      <c r="AO107" s="66" t="b">
        <v>0</v>
      </c>
      <c r="AP107" s="66">
        <v>0</v>
      </c>
      <c r="AQ107" s="97" t="s">
        <v>712</v>
      </c>
      <c r="AR107" s="97" t="s">
        <v>724</v>
      </c>
      <c r="AS107" s="66" t="b">
        <v>0</v>
      </c>
      <c r="AT107" s="97" t="s">
        <v>678</v>
      </c>
      <c r="AU107" s="66" t="s">
        <v>241</v>
      </c>
      <c r="AV107" s="66">
        <v>0</v>
      </c>
      <c r="AW107" s="66">
        <v>0</v>
      </c>
      <c r="AX107" s="66"/>
      <c r="AY107" s="66"/>
      <c r="AZ107" s="66"/>
      <c r="BA107" s="66"/>
      <c r="BB107" s="66"/>
      <c r="BC107" s="66"/>
      <c r="BD107" s="66"/>
      <c r="BE107" s="66"/>
      <c r="BF107" s="45">
        <v>0</v>
      </c>
      <c r="BG107" s="46">
        <v>0</v>
      </c>
      <c r="BH107" s="45">
        <v>0</v>
      </c>
      <c r="BI107" s="46">
        <v>0</v>
      </c>
      <c r="BJ107" s="45">
        <v>0</v>
      </c>
      <c r="BK107" s="46">
        <v>0</v>
      </c>
      <c r="BL107" s="45">
        <v>17</v>
      </c>
      <c r="BM107" s="46">
        <v>85</v>
      </c>
      <c r="BN107" s="45">
        <v>20</v>
      </c>
    </row>
    <row r="108" spans="1:66" ht="15">
      <c r="A108" s="62" t="s">
        <v>305</v>
      </c>
      <c r="B108" s="62" t="s">
        <v>305</v>
      </c>
      <c r="C108" s="64"/>
      <c r="D108" s="67"/>
      <c r="E108" s="68"/>
      <c r="F108" s="69"/>
      <c r="G108" s="64"/>
      <c r="H108" s="70"/>
      <c r="I108" s="71"/>
      <c r="J108" s="71"/>
      <c r="K108" s="31" t="s">
        <v>65</v>
      </c>
      <c r="L108" s="79">
        <v>222</v>
      </c>
      <c r="M108" s="79"/>
      <c r="N108" s="73"/>
      <c r="O108" s="66">
        <v>35</v>
      </c>
      <c r="P108" s="63" t="str">
        <f>REPLACE(INDEX(GroupVertices[Group],MATCH(Edges25[[#This Row],[Vertex 1]],GroupVertices[Vertex],0)),1,1,"")</f>
        <v>4</v>
      </c>
      <c r="Q108" s="63" t="str">
        <f>REPLACE(INDEX(GroupVertices[Group],MATCH(Edges25[[#This Row],[Vertex 2]],GroupVertices[Vertex],0)),1,1,"")</f>
        <v>4</v>
      </c>
      <c r="R108" s="66" t="s">
        <v>241</v>
      </c>
      <c r="S108" s="91">
        <v>44876.441469907404</v>
      </c>
      <c r="T108" s="66" t="s">
        <v>369</v>
      </c>
      <c r="U108" s="94" t="str">
        <f>HYPERLINK("http://transvisionmadrid.com")</f>
        <v>http://transvisionmadrid.com</v>
      </c>
      <c r="V108" s="66" t="s">
        <v>407</v>
      </c>
      <c r="W108" s="97" t="s">
        <v>428</v>
      </c>
      <c r="X108" s="94" t="str">
        <f>HYPERLINK("https://pbs.twimg.com/media/FhRtXBWWYAIDxQS.jpg")</f>
        <v>https://pbs.twimg.com/media/FhRtXBWWYAIDxQS.jpg</v>
      </c>
      <c r="Y108" s="94" t="str">
        <f>HYPERLINK("https://pbs.twimg.com/media/FhRtXBWWYAIDxQS.jpg")</f>
        <v>https://pbs.twimg.com/media/FhRtXBWWYAIDxQS.jpg</v>
      </c>
      <c r="Z108" s="91">
        <v>44876.441469907404</v>
      </c>
      <c r="AA108" s="100">
        <v>44876</v>
      </c>
      <c r="AB108" s="97" t="s">
        <v>544</v>
      </c>
      <c r="AC108" s="94" t="str">
        <f>HYPERLINK("https://twitter.com/cordeiro/status/1591016815290884096")</f>
        <v>https://twitter.com/cordeiro/status/1591016815290884096</v>
      </c>
      <c r="AD108" s="66"/>
      <c r="AE108" s="66"/>
      <c r="AF108" s="97" t="s">
        <v>679</v>
      </c>
      <c r="AG108" s="66"/>
      <c r="AH108" s="66" t="b">
        <v>0</v>
      </c>
      <c r="AI108" s="66">
        <v>0</v>
      </c>
      <c r="AJ108" s="97" t="s">
        <v>712</v>
      </c>
      <c r="AK108" s="66" t="b">
        <v>0</v>
      </c>
      <c r="AL108" s="66" t="s">
        <v>714</v>
      </c>
      <c r="AM108" s="66"/>
      <c r="AN108" s="97" t="s">
        <v>712</v>
      </c>
      <c r="AO108" s="66" t="b">
        <v>0</v>
      </c>
      <c r="AP108" s="66">
        <v>0</v>
      </c>
      <c r="AQ108" s="97" t="s">
        <v>712</v>
      </c>
      <c r="AR108" s="97" t="s">
        <v>724</v>
      </c>
      <c r="AS108" s="66" t="b">
        <v>0</v>
      </c>
      <c r="AT108" s="97" t="s">
        <v>679</v>
      </c>
      <c r="AU108" s="66" t="s">
        <v>241</v>
      </c>
      <c r="AV108" s="66">
        <v>0</v>
      </c>
      <c r="AW108" s="66">
        <v>0</v>
      </c>
      <c r="AX108" s="66"/>
      <c r="AY108" s="66"/>
      <c r="AZ108" s="66"/>
      <c r="BA108" s="66"/>
      <c r="BB108" s="66"/>
      <c r="BC108" s="66"/>
      <c r="BD108" s="66"/>
      <c r="BE108" s="66"/>
      <c r="BF108" s="45">
        <v>0</v>
      </c>
      <c r="BG108" s="46">
        <v>0</v>
      </c>
      <c r="BH108" s="45">
        <v>0</v>
      </c>
      <c r="BI108" s="46">
        <v>0</v>
      </c>
      <c r="BJ108" s="45">
        <v>0</v>
      </c>
      <c r="BK108" s="46">
        <v>0</v>
      </c>
      <c r="BL108" s="45">
        <v>17</v>
      </c>
      <c r="BM108" s="46">
        <v>85</v>
      </c>
      <c r="BN108" s="45">
        <v>20</v>
      </c>
    </row>
    <row r="109" spans="1:66" ht="15">
      <c r="A109" s="62" t="s">
        <v>305</v>
      </c>
      <c r="B109" s="62" t="s">
        <v>305</v>
      </c>
      <c r="C109" s="64"/>
      <c r="D109" s="67"/>
      <c r="E109" s="68"/>
      <c r="F109" s="69"/>
      <c r="G109" s="64"/>
      <c r="H109" s="70"/>
      <c r="I109" s="71"/>
      <c r="J109" s="71"/>
      <c r="K109" s="31" t="s">
        <v>65</v>
      </c>
      <c r="L109" s="79">
        <v>223</v>
      </c>
      <c r="M109" s="79"/>
      <c r="N109" s="73"/>
      <c r="O109" s="66">
        <v>35</v>
      </c>
      <c r="P109" s="63" t="str">
        <f>REPLACE(INDEX(GroupVertices[Group],MATCH(Edges25[[#This Row],[Vertex 1]],GroupVertices[Vertex],0)),1,1,"")</f>
        <v>4</v>
      </c>
      <c r="Q109" s="63" t="str">
        <f>REPLACE(INDEX(GroupVertices[Group],MATCH(Edges25[[#This Row],[Vertex 2]],GroupVertices[Vertex],0)),1,1,"")</f>
        <v>4</v>
      </c>
      <c r="R109" s="66" t="s">
        <v>241</v>
      </c>
      <c r="S109" s="91">
        <v>44876.452361111114</v>
      </c>
      <c r="T109" s="66" t="s">
        <v>370</v>
      </c>
      <c r="U109" s="94" t="str">
        <f>HYPERLINK("https://okdiario.com/salud/madrid-acogera-cumbre-internacional-sobre-criopreservacion-pacientes-futura-reanimacion-9945365")</f>
        <v>https://okdiario.com/salud/madrid-acogera-cumbre-internacional-sobre-criopreservacion-pacientes-futura-reanimacion-9945365</v>
      </c>
      <c r="V109" s="66" t="s">
        <v>414</v>
      </c>
      <c r="W109" s="97" t="s">
        <v>435</v>
      </c>
      <c r="X109" s="66"/>
      <c r="Y109" s="94" t="str">
        <f>HYPERLINK("https://pbs.twimg.com/profile_images/1078408329045725184/ix0-gmNx_normal.jpg")</f>
        <v>https://pbs.twimg.com/profile_images/1078408329045725184/ix0-gmNx_normal.jpg</v>
      </c>
      <c r="Z109" s="91">
        <v>44876.452361111114</v>
      </c>
      <c r="AA109" s="100">
        <v>44876</v>
      </c>
      <c r="AB109" s="97" t="s">
        <v>545</v>
      </c>
      <c r="AC109" s="94" t="str">
        <f>HYPERLINK("https://twitter.com/cordeiro/status/1591020764798636032")</f>
        <v>https://twitter.com/cordeiro/status/1591020764798636032</v>
      </c>
      <c r="AD109" s="66"/>
      <c r="AE109" s="66"/>
      <c r="AF109" s="97" t="s">
        <v>680</v>
      </c>
      <c r="AG109" s="66"/>
      <c r="AH109" s="66" t="b">
        <v>0</v>
      </c>
      <c r="AI109" s="66">
        <v>0</v>
      </c>
      <c r="AJ109" s="97" t="s">
        <v>712</v>
      </c>
      <c r="AK109" s="66" t="b">
        <v>0</v>
      </c>
      <c r="AL109" s="66" t="s">
        <v>715</v>
      </c>
      <c r="AM109" s="66"/>
      <c r="AN109" s="97" t="s">
        <v>712</v>
      </c>
      <c r="AO109" s="66" t="b">
        <v>0</v>
      </c>
      <c r="AP109" s="66">
        <v>0</v>
      </c>
      <c r="AQ109" s="97" t="s">
        <v>712</v>
      </c>
      <c r="AR109" s="97" t="s">
        <v>724</v>
      </c>
      <c r="AS109" s="66" t="b">
        <v>0</v>
      </c>
      <c r="AT109" s="97" t="s">
        <v>680</v>
      </c>
      <c r="AU109" s="66" t="s">
        <v>241</v>
      </c>
      <c r="AV109" s="66">
        <v>0</v>
      </c>
      <c r="AW109" s="66">
        <v>0</v>
      </c>
      <c r="AX109" s="66"/>
      <c r="AY109" s="66"/>
      <c r="AZ109" s="66"/>
      <c r="BA109" s="66"/>
      <c r="BB109" s="66"/>
      <c r="BC109" s="66"/>
      <c r="BD109" s="66"/>
      <c r="BE109" s="66"/>
      <c r="BF109" s="45">
        <v>0</v>
      </c>
      <c r="BG109" s="46">
        <v>0</v>
      </c>
      <c r="BH109" s="45">
        <v>0</v>
      </c>
      <c r="BI109" s="46">
        <v>0</v>
      </c>
      <c r="BJ109" s="45">
        <v>0</v>
      </c>
      <c r="BK109" s="46">
        <v>0</v>
      </c>
      <c r="BL109" s="45">
        <v>15</v>
      </c>
      <c r="BM109" s="46">
        <v>71.42857142857143</v>
      </c>
      <c r="BN109" s="45">
        <v>21</v>
      </c>
    </row>
    <row r="110" spans="1:66" ht="15">
      <c r="A110" s="62" t="s">
        <v>305</v>
      </c>
      <c r="B110" s="62" t="s">
        <v>305</v>
      </c>
      <c r="C110" s="64"/>
      <c r="D110" s="67"/>
      <c r="E110" s="68"/>
      <c r="F110" s="69"/>
      <c r="G110" s="64"/>
      <c r="H110" s="70"/>
      <c r="I110" s="71"/>
      <c r="J110" s="71"/>
      <c r="K110" s="31" t="s">
        <v>65</v>
      </c>
      <c r="L110" s="79">
        <v>224</v>
      </c>
      <c r="M110" s="79"/>
      <c r="N110" s="73"/>
      <c r="O110" s="66">
        <v>35</v>
      </c>
      <c r="P110" s="63" t="str">
        <f>REPLACE(INDEX(GroupVertices[Group],MATCH(Edges25[[#This Row],[Vertex 1]],GroupVertices[Vertex],0)),1,1,"")</f>
        <v>4</v>
      </c>
      <c r="Q110" s="63" t="str">
        <f>REPLACE(INDEX(GroupVertices[Group],MATCH(Edges25[[#This Row],[Vertex 2]],GroupVertices[Vertex],0)),1,1,"")</f>
        <v>4</v>
      </c>
      <c r="R110" s="66" t="s">
        <v>241</v>
      </c>
      <c r="S110" s="91">
        <v>44876.556666666664</v>
      </c>
      <c r="T110" s="66" t="s">
        <v>371</v>
      </c>
      <c r="U110" s="66" t="s">
        <v>398</v>
      </c>
      <c r="V110" s="66" t="s">
        <v>416</v>
      </c>
      <c r="W110" s="97" t="s">
        <v>425</v>
      </c>
      <c r="X110" s="66"/>
      <c r="Y110" s="94" t="str">
        <f>HYPERLINK("https://pbs.twimg.com/profile_images/1078408329045725184/ix0-gmNx_normal.jpg")</f>
        <v>https://pbs.twimg.com/profile_images/1078408329045725184/ix0-gmNx_normal.jpg</v>
      </c>
      <c r="Z110" s="91">
        <v>44876.556666666664</v>
      </c>
      <c r="AA110" s="100">
        <v>44876</v>
      </c>
      <c r="AB110" s="97" t="s">
        <v>546</v>
      </c>
      <c r="AC110" s="94" t="str">
        <f>HYPERLINK("https://twitter.com/cordeiro/status/1591058563073449984")</f>
        <v>https://twitter.com/cordeiro/status/1591058563073449984</v>
      </c>
      <c r="AD110" s="66"/>
      <c r="AE110" s="66"/>
      <c r="AF110" s="97" t="s">
        <v>681</v>
      </c>
      <c r="AG110" s="66"/>
      <c r="AH110" s="66" t="b">
        <v>0</v>
      </c>
      <c r="AI110" s="66">
        <v>0</v>
      </c>
      <c r="AJ110" s="97" t="s">
        <v>712</v>
      </c>
      <c r="AK110" s="66" t="b">
        <v>0</v>
      </c>
      <c r="AL110" s="66" t="s">
        <v>715</v>
      </c>
      <c r="AM110" s="66"/>
      <c r="AN110" s="97" t="s">
        <v>712</v>
      </c>
      <c r="AO110" s="66" t="b">
        <v>0</v>
      </c>
      <c r="AP110" s="66">
        <v>0</v>
      </c>
      <c r="AQ110" s="97" t="s">
        <v>712</v>
      </c>
      <c r="AR110" s="97" t="s">
        <v>723</v>
      </c>
      <c r="AS110" s="66" t="b">
        <v>0</v>
      </c>
      <c r="AT110" s="97" t="s">
        <v>681</v>
      </c>
      <c r="AU110" s="66" t="s">
        <v>241</v>
      </c>
      <c r="AV110" s="66">
        <v>0</v>
      </c>
      <c r="AW110" s="66">
        <v>0</v>
      </c>
      <c r="AX110" s="66"/>
      <c r="AY110" s="66"/>
      <c r="AZ110" s="66"/>
      <c r="BA110" s="66"/>
      <c r="BB110" s="66"/>
      <c r="BC110" s="66"/>
      <c r="BD110" s="66"/>
      <c r="BE110" s="66"/>
      <c r="BF110" s="45">
        <v>0</v>
      </c>
      <c r="BG110" s="46">
        <v>0</v>
      </c>
      <c r="BH110" s="45">
        <v>0</v>
      </c>
      <c r="BI110" s="46">
        <v>0</v>
      </c>
      <c r="BJ110" s="45">
        <v>0</v>
      </c>
      <c r="BK110" s="46">
        <v>0</v>
      </c>
      <c r="BL110" s="45">
        <v>14</v>
      </c>
      <c r="BM110" s="46">
        <v>73.6842105263158</v>
      </c>
      <c r="BN110" s="45">
        <v>19</v>
      </c>
    </row>
    <row r="111" spans="1:66" ht="15">
      <c r="A111" s="62" t="s">
        <v>305</v>
      </c>
      <c r="B111" s="62" t="s">
        <v>305</v>
      </c>
      <c r="C111" s="64"/>
      <c r="D111" s="67"/>
      <c r="E111" s="68"/>
      <c r="F111" s="69"/>
      <c r="G111" s="64"/>
      <c r="H111" s="70"/>
      <c r="I111" s="71"/>
      <c r="J111" s="71"/>
      <c r="K111" s="31" t="s">
        <v>65</v>
      </c>
      <c r="L111" s="79">
        <v>225</v>
      </c>
      <c r="M111" s="79"/>
      <c r="N111" s="73"/>
      <c r="O111" s="66">
        <v>35</v>
      </c>
      <c r="P111" s="63" t="str">
        <f>REPLACE(INDEX(GroupVertices[Group],MATCH(Edges25[[#This Row],[Vertex 1]],GroupVertices[Vertex],0)),1,1,"")</f>
        <v>4</v>
      </c>
      <c r="Q111" s="63" t="str">
        <f>REPLACE(INDEX(GroupVertices[Group],MATCH(Edges25[[#This Row],[Vertex 2]],GroupVertices[Vertex],0)),1,1,"")</f>
        <v>4</v>
      </c>
      <c r="R111" s="66" t="s">
        <v>241</v>
      </c>
      <c r="S111" s="91">
        <v>44876.70658564815</v>
      </c>
      <c r="T111" s="66" t="s">
        <v>372</v>
      </c>
      <c r="U111" s="94" t="str">
        <f>HYPERLINK("http://transvisionmadrid.com")</f>
        <v>http://transvisionmadrid.com</v>
      </c>
      <c r="V111" s="66" t="s">
        <v>407</v>
      </c>
      <c r="W111" s="97" t="s">
        <v>428</v>
      </c>
      <c r="X111" s="94" t="str">
        <f>HYPERLINK("https://pbs.twimg.com/media/FhTEvaSWAAEhS3B.jpg")</f>
        <v>https://pbs.twimg.com/media/FhTEvaSWAAEhS3B.jpg</v>
      </c>
      <c r="Y111" s="94" t="str">
        <f>HYPERLINK("https://pbs.twimg.com/media/FhTEvaSWAAEhS3B.jpg")</f>
        <v>https://pbs.twimg.com/media/FhTEvaSWAAEhS3B.jpg</v>
      </c>
      <c r="Z111" s="91">
        <v>44876.70658564815</v>
      </c>
      <c r="AA111" s="100">
        <v>44876</v>
      </c>
      <c r="AB111" s="97" t="s">
        <v>547</v>
      </c>
      <c r="AC111" s="94" t="str">
        <f>HYPERLINK("https://twitter.com/cordeiro/status/1591112892908183552")</f>
        <v>https://twitter.com/cordeiro/status/1591112892908183552</v>
      </c>
      <c r="AD111" s="66"/>
      <c r="AE111" s="66"/>
      <c r="AF111" s="97" t="s">
        <v>682</v>
      </c>
      <c r="AG111" s="66"/>
      <c r="AH111" s="66" t="b">
        <v>0</v>
      </c>
      <c r="AI111" s="66">
        <v>0</v>
      </c>
      <c r="AJ111" s="97" t="s">
        <v>712</v>
      </c>
      <c r="AK111" s="66" t="b">
        <v>0</v>
      </c>
      <c r="AL111" s="66" t="s">
        <v>714</v>
      </c>
      <c r="AM111" s="66"/>
      <c r="AN111" s="97" t="s">
        <v>712</v>
      </c>
      <c r="AO111" s="66" t="b">
        <v>0</v>
      </c>
      <c r="AP111" s="66">
        <v>0</v>
      </c>
      <c r="AQ111" s="97" t="s">
        <v>712</v>
      </c>
      <c r="AR111" s="97" t="s">
        <v>724</v>
      </c>
      <c r="AS111" s="66" t="b">
        <v>0</v>
      </c>
      <c r="AT111" s="97" t="s">
        <v>682</v>
      </c>
      <c r="AU111" s="66" t="s">
        <v>241</v>
      </c>
      <c r="AV111" s="66">
        <v>0</v>
      </c>
      <c r="AW111" s="66">
        <v>0</v>
      </c>
      <c r="AX111" s="66"/>
      <c r="AY111" s="66"/>
      <c r="AZ111" s="66"/>
      <c r="BA111" s="66"/>
      <c r="BB111" s="66"/>
      <c r="BC111" s="66"/>
      <c r="BD111" s="66"/>
      <c r="BE111" s="66"/>
      <c r="BF111" s="45">
        <v>0</v>
      </c>
      <c r="BG111" s="46">
        <v>0</v>
      </c>
      <c r="BH111" s="45">
        <v>0</v>
      </c>
      <c r="BI111" s="46">
        <v>0</v>
      </c>
      <c r="BJ111" s="45">
        <v>0</v>
      </c>
      <c r="BK111" s="46">
        <v>0</v>
      </c>
      <c r="BL111" s="45">
        <v>16</v>
      </c>
      <c r="BM111" s="46">
        <v>80</v>
      </c>
      <c r="BN111" s="45">
        <v>20</v>
      </c>
    </row>
    <row r="112" spans="1:66" ht="15">
      <c r="A112" s="62" t="s">
        <v>305</v>
      </c>
      <c r="B112" s="62" t="s">
        <v>305</v>
      </c>
      <c r="C112" s="64"/>
      <c r="D112" s="67"/>
      <c r="E112" s="68"/>
      <c r="F112" s="69"/>
      <c r="G112" s="64"/>
      <c r="H112" s="70"/>
      <c r="I112" s="71"/>
      <c r="J112" s="71"/>
      <c r="K112" s="31" t="s">
        <v>65</v>
      </c>
      <c r="L112" s="79">
        <v>226</v>
      </c>
      <c r="M112" s="79"/>
      <c r="N112" s="73"/>
      <c r="O112" s="66">
        <v>35</v>
      </c>
      <c r="P112" s="63" t="str">
        <f>REPLACE(INDEX(GroupVertices[Group],MATCH(Edges25[[#This Row],[Vertex 1]],GroupVertices[Vertex],0)),1,1,"")</f>
        <v>4</v>
      </c>
      <c r="Q112" s="63" t="str">
        <f>REPLACE(INDEX(GroupVertices[Group],MATCH(Edges25[[#This Row],[Vertex 2]],GroupVertices[Vertex],0)),1,1,"")</f>
        <v>4</v>
      </c>
      <c r="R112" s="66" t="s">
        <v>241</v>
      </c>
      <c r="S112" s="91">
        <v>44876.8828587963</v>
      </c>
      <c r="T112" s="66" t="s">
        <v>373</v>
      </c>
      <c r="U112" s="94" t="str">
        <f>HYPERLINK("http://transvisionmadrid.com")</f>
        <v>http://transvisionmadrid.com</v>
      </c>
      <c r="V112" s="66" t="s">
        <v>407</v>
      </c>
      <c r="W112" s="97" t="s">
        <v>428</v>
      </c>
      <c r="X112" s="94" t="str">
        <f>HYPERLINK("https://pbs.twimg.com/media/FhT-1yFXgBMv4gj.jpg")</f>
        <v>https://pbs.twimg.com/media/FhT-1yFXgBMv4gj.jpg</v>
      </c>
      <c r="Y112" s="94" t="str">
        <f>HYPERLINK("https://pbs.twimg.com/media/FhT-1yFXgBMv4gj.jpg")</f>
        <v>https://pbs.twimg.com/media/FhT-1yFXgBMv4gj.jpg</v>
      </c>
      <c r="Z112" s="91">
        <v>44876.8828587963</v>
      </c>
      <c r="AA112" s="100">
        <v>44876</v>
      </c>
      <c r="AB112" s="97" t="s">
        <v>548</v>
      </c>
      <c r="AC112" s="94" t="str">
        <f>HYPERLINK("https://twitter.com/cordeiro/status/1591176773085134848")</f>
        <v>https://twitter.com/cordeiro/status/1591176773085134848</v>
      </c>
      <c r="AD112" s="66"/>
      <c r="AE112" s="66"/>
      <c r="AF112" s="97" t="s">
        <v>683</v>
      </c>
      <c r="AG112" s="66"/>
      <c r="AH112" s="66" t="b">
        <v>0</v>
      </c>
      <c r="AI112" s="66">
        <v>0</v>
      </c>
      <c r="AJ112" s="97" t="s">
        <v>712</v>
      </c>
      <c r="AK112" s="66" t="b">
        <v>0</v>
      </c>
      <c r="AL112" s="66" t="s">
        <v>714</v>
      </c>
      <c r="AM112" s="66"/>
      <c r="AN112" s="97" t="s">
        <v>712</v>
      </c>
      <c r="AO112" s="66" t="b">
        <v>0</v>
      </c>
      <c r="AP112" s="66">
        <v>0</v>
      </c>
      <c r="AQ112" s="97" t="s">
        <v>712</v>
      </c>
      <c r="AR112" s="97" t="s">
        <v>724</v>
      </c>
      <c r="AS112" s="66" t="b">
        <v>0</v>
      </c>
      <c r="AT112" s="97" t="s">
        <v>683</v>
      </c>
      <c r="AU112" s="66" t="s">
        <v>241</v>
      </c>
      <c r="AV112" s="66">
        <v>0</v>
      </c>
      <c r="AW112" s="66">
        <v>0</v>
      </c>
      <c r="AX112" s="66"/>
      <c r="AY112" s="66"/>
      <c r="AZ112" s="66"/>
      <c r="BA112" s="66"/>
      <c r="BB112" s="66"/>
      <c r="BC112" s="66"/>
      <c r="BD112" s="66"/>
      <c r="BE112" s="66"/>
      <c r="BF112" s="45">
        <v>0</v>
      </c>
      <c r="BG112" s="46">
        <v>0</v>
      </c>
      <c r="BH112" s="45">
        <v>0</v>
      </c>
      <c r="BI112" s="46">
        <v>0</v>
      </c>
      <c r="BJ112" s="45">
        <v>0</v>
      </c>
      <c r="BK112" s="46">
        <v>0</v>
      </c>
      <c r="BL112" s="45">
        <v>16</v>
      </c>
      <c r="BM112" s="46">
        <v>84.21052631578948</v>
      </c>
      <c r="BN112" s="45">
        <v>19</v>
      </c>
    </row>
    <row r="113" spans="1:66" ht="15">
      <c r="A113" s="62" t="s">
        <v>305</v>
      </c>
      <c r="B113" s="62" t="s">
        <v>305</v>
      </c>
      <c r="C113" s="64"/>
      <c r="D113" s="67"/>
      <c r="E113" s="68"/>
      <c r="F113" s="69"/>
      <c r="G113" s="64"/>
      <c r="H113" s="70"/>
      <c r="I113" s="71"/>
      <c r="J113" s="71"/>
      <c r="K113" s="31" t="s">
        <v>65</v>
      </c>
      <c r="L113" s="79">
        <v>227</v>
      </c>
      <c r="M113" s="79"/>
      <c r="N113" s="73"/>
      <c r="O113" s="66">
        <v>35</v>
      </c>
      <c r="P113" s="63" t="str">
        <f>REPLACE(INDEX(GroupVertices[Group],MATCH(Edges25[[#This Row],[Vertex 1]],GroupVertices[Vertex],0)),1,1,"")</f>
        <v>4</v>
      </c>
      <c r="Q113" s="63" t="str">
        <f>REPLACE(INDEX(GroupVertices[Group],MATCH(Edges25[[#This Row],[Vertex 2]],GroupVertices[Vertex],0)),1,1,"")</f>
        <v>4</v>
      </c>
      <c r="R113" s="66" t="s">
        <v>241</v>
      </c>
      <c r="S113" s="91">
        <v>44876.93494212963</v>
      </c>
      <c r="T113" s="66" t="s">
        <v>374</v>
      </c>
      <c r="U113" s="94" t="str">
        <f>HYPERLINK("http://transvisionmadrid.com")</f>
        <v>http://transvisionmadrid.com</v>
      </c>
      <c r="V113" s="66" t="s">
        <v>407</v>
      </c>
      <c r="W113" s="97" t="s">
        <v>428</v>
      </c>
      <c r="X113" s="94" t="str">
        <f>HYPERLINK("https://pbs.twimg.com/media/FhUQALaXoB0WN80.jpg")</f>
        <v>https://pbs.twimg.com/media/FhUQALaXoB0WN80.jpg</v>
      </c>
      <c r="Y113" s="94" t="str">
        <f>HYPERLINK("https://pbs.twimg.com/media/FhUQALaXoB0WN80.jpg")</f>
        <v>https://pbs.twimg.com/media/FhUQALaXoB0WN80.jpg</v>
      </c>
      <c r="Z113" s="91">
        <v>44876.93494212963</v>
      </c>
      <c r="AA113" s="100">
        <v>44876</v>
      </c>
      <c r="AB113" s="97" t="s">
        <v>543</v>
      </c>
      <c r="AC113" s="94" t="str">
        <f>HYPERLINK("https://twitter.com/cordeiro/status/1591195643380473871")</f>
        <v>https://twitter.com/cordeiro/status/1591195643380473871</v>
      </c>
      <c r="AD113" s="66"/>
      <c r="AE113" s="66"/>
      <c r="AF113" s="97" t="s">
        <v>684</v>
      </c>
      <c r="AG113" s="66"/>
      <c r="AH113" s="66" t="b">
        <v>0</v>
      </c>
      <c r="AI113" s="66">
        <v>1</v>
      </c>
      <c r="AJ113" s="97" t="s">
        <v>712</v>
      </c>
      <c r="AK113" s="66" t="b">
        <v>0</v>
      </c>
      <c r="AL113" s="66" t="s">
        <v>714</v>
      </c>
      <c r="AM113" s="66"/>
      <c r="AN113" s="97" t="s">
        <v>712</v>
      </c>
      <c r="AO113" s="66" t="b">
        <v>0</v>
      </c>
      <c r="AP113" s="66">
        <v>0</v>
      </c>
      <c r="AQ113" s="97" t="s">
        <v>712</v>
      </c>
      <c r="AR113" s="97" t="s">
        <v>724</v>
      </c>
      <c r="AS113" s="66" t="b">
        <v>0</v>
      </c>
      <c r="AT113" s="97" t="s">
        <v>684</v>
      </c>
      <c r="AU113" s="66" t="s">
        <v>241</v>
      </c>
      <c r="AV113" s="66">
        <v>0</v>
      </c>
      <c r="AW113" s="66">
        <v>0</v>
      </c>
      <c r="AX113" s="66"/>
      <c r="AY113" s="66"/>
      <c r="AZ113" s="66"/>
      <c r="BA113" s="66"/>
      <c r="BB113" s="66"/>
      <c r="BC113" s="66"/>
      <c r="BD113" s="66"/>
      <c r="BE113" s="66"/>
      <c r="BF113" s="45">
        <v>0</v>
      </c>
      <c r="BG113" s="46">
        <v>0</v>
      </c>
      <c r="BH113" s="45">
        <v>0</v>
      </c>
      <c r="BI113" s="46">
        <v>0</v>
      </c>
      <c r="BJ113" s="45">
        <v>0</v>
      </c>
      <c r="BK113" s="46">
        <v>0</v>
      </c>
      <c r="BL113" s="45">
        <v>16</v>
      </c>
      <c r="BM113" s="46">
        <v>84.21052631578948</v>
      </c>
      <c r="BN113" s="45">
        <v>19</v>
      </c>
    </row>
    <row r="114" spans="1:66" ht="15">
      <c r="A114" s="62" t="s">
        <v>305</v>
      </c>
      <c r="B114" s="62" t="s">
        <v>305</v>
      </c>
      <c r="C114" s="64"/>
      <c r="D114" s="67"/>
      <c r="E114" s="68"/>
      <c r="F114" s="69"/>
      <c r="G114" s="64"/>
      <c r="H114" s="70"/>
      <c r="I114" s="71"/>
      <c r="J114" s="71"/>
      <c r="K114" s="31" t="s">
        <v>65</v>
      </c>
      <c r="L114" s="79">
        <v>228</v>
      </c>
      <c r="M114" s="79"/>
      <c r="N114" s="73"/>
      <c r="O114" s="66">
        <v>35</v>
      </c>
      <c r="P114" s="63" t="str">
        <f>REPLACE(INDEX(GroupVertices[Group],MATCH(Edges25[[#This Row],[Vertex 1]],GroupVertices[Vertex],0)),1,1,"")</f>
        <v>4</v>
      </c>
      <c r="Q114" s="63" t="str">
        <f>REPLACE(INDEX(GroupVertices[Group],MATCH(Edges25[[#This Row],[Vertex 2]],GroupVertices[Vertex],0)),1,1,"")</f>
        <v>4</v>
      </c>
      <c r="R114" s="66" t="s">
        <v>241</v>
      </c>
      <c r="S114" s="91">
        <v>44877.18920138889</v>
      </c>
      <c r="T114" s="66" t="s">
        <v>375</v>
      </c>
      <c r="U114" s="94" t="str">
        <f>HYPERLINK("http://transvisionmadrid.com")</f>
        <v>http://transvisionmadrid.com</v>
      </c>
      <c r="V114" s="66" t="s">
        <v>407</v>
      </c>
      <c r="W114" s="97" t="s">
        <v>428</v>
      </c>
      <c r="X114" s="94" t="str">
        <f>HYPERLINK("https://pbs.twimg.com/media/FhVjzjbWYAA0H2O.jpg")</f>
        <v>https://pbs.twimg.com/media/FhVjzjbWYAA0H2O.jpg</v>
      </c>
      <c r="Y114" s="94" t="str">
        <f>HYPERLINK("https://pbs.twimg.com/media/FhVjzjbWYAA0H2O.jpg")</f>
        <v>https://pbs.twimg.com/media/FhVjzjbWYAA0H2O.jpg</v>
      </c>
      <c r="Z114" s="91">
        <v>44877.18920138889</v>
      </c>
      <c r="AA114" s="100">
        <v>44877</v>
      </c>
      <c r="AB114" s="97" t="s">
        <v>549</v>
      </c>
      <c r="AC114" s="94" t="str">
        <f>HYPERLINK("https://twitter.com/cordeiro/status/1591287785121632256")</f>
        <v>https://twitter.com/cordeiro/status/1591287785121632256</v>
      </c>
      <c r="AD114" s="66"/>
      <c r="AE114" s="66"/>
      <c r="AF114" s="97" t="s">
        <v>685</v>
      </c>
      <c r="AG114" s="66"/>
      <c r="AH114" s="66" t="b">
        <v>0</v>
      </c>
      <c r="AI114" s="66">
        <v>1</v>
      </c>
      <c r="AJ114" s="97" t="s">
        <v>712</v>
      </c>
      <c r="AK114" s="66" t="b">
        <v>0</v>
      </c>
      <c r="AL114" s="66" t="s">
        <v>714</v>
      </c>
      <c r="AM114" s="66"/>
      <c r="AN114" s="97" t="s">
        <v>712</v>
      </c>
      <c r="AO114" s="66" t="b">
        <v>0</v>
      </c>
      <c r="AP114" s="66">
        <v>0</v>
      </c>
      <c r="AQ114" s="97" t="s">
        <v>712</v>
      </c>
      <c r="AR114" s="97" t="s">
        <v>724</v>
      </c>
      <c r="AS114" s="66" t="b">
        <v>0</v>
      </c>
      <c r="AT114" s="97" t="s">
        <v>685</v>
      </c>
      <c r="AU114" s="66" t="s">
        <v>241</v>
      </c>
      <c r="AV114" s="66">
        <v>0</v>
      </c>
      <c r="AW114" s="66">
        <v>0</v>
      </c>
      <c r="AX114" s="66"/>
      <c r="AY114" s="66"/>
      <c r="AZ114" s="66"/>
      <c r="BA114" s="66"/>
      <c r="BB114" s="66"/>
      <c r="BC114" s="66"/>
      <c r="BD114" s="66"/>
      <c r="BE114" s="66"/>
      <c r="BF114" s="45">
        <v>0</v>
      </c>
      <c r="BG114" s="46">
        <v>0</v>
      </c>
      <c r="BH114" s="45">
        <v>0</v>
      </c>
      <c r="BI114" s="46">
        <v>0</v>
      </c>
      <c r="BJ114" s="45">
        <v>0</v>
      </c>
      <c r="BK114" s="46">
        <v>0</v>
      </c>
      <c r="BL114" s="45">
        <v>16</v>
      </c>
      <c r="BM114" s="46">
        <v>84.21052631578948</v>
      </c>
      <c r="BN114" s="45">
        <v>19</v>
      </c>
    </row>
    <row r="115" spans="1:66" ht="15">
      <c r="A115" s="62" t="s">
        <v>305</v>
      </c>
      <c r="B115" s="62" t="s">
        <v>305</v>
      </c>
      <c r="C115" s="64"/>
      <c r="D115" s="67"/>
      <c r="E115" s="68"/>
      <c r="F115" s="69"/>
      <c r="G115" s="64"/>
      <c r="H115" s="70"/>
      <c r="I115" s="71"/>
      <c r="J115" s="71"/>
      <c r="K115" s="31" t="s">
        <v>65</v>
      </c>
      <c r="L115" s="79">
        <v>229</v>
      </c>
      <c r="M115" s="79"/>
      <c r="N115" s="73"/>
      <c r="O115" s="66">
        <v>35</v>
      </c>
      <c r="P115" s="63" t="str">
        <f>REPLACE(INDEX(GroupVertices[Group],MATCH(Edges25[[#This Row],[Vertex 1]],GroupVertices[Vertex],0)),1,1,"")</f>
        <v>4</v>
      </c>
      <c r="Q115" s="63" t="str">
        <f>REPLACE(INDEX(GroupVertices[Group],MATCH(Edges25[[#This Row],[Vertex 2]],GroupVertices[Vertex],0)),1,1,"")</f>
        <v>4</v>
      </c>
      <c r="R115" s="66" t="s">
        <v>241</v>
      </c>
      <c r="S115" s="91">
        <v>44877.38145833334</v>
      </c>
      <c r="T115" s="66" t="s">
        <v>376</v>
      </c>
      <c r="U115" s="94" t="str">
        <f>HYPERLINK("https://www.europapress.es/sociedad/noticia-madrid-acoge-fin-semana-cumbre-internacional-criopreservacion-humana-20221111121558.html")</f>
        <v>https://www.europapress.es/sociedad/noticia-madrid-acoge-fin-semana-cumbre-internacional-criopreservacion-humana-20221111121558.html</v>
      </c>
      <c r="V115" s="66" t="s">
        <v>404</v>
      </c>
      <c r="W115" s="97" t="s">
        <v>425</v>
      </c>
      <c r="X115" s="94" t="str">
        <f>HYPERLINK("https://pbs.twimg.com/media/FhWjLDyWQAAHiUO.jpg")</f>
        <v>https://pbs.twimg.com/media/FhWjLDyWQAAHiUO.jpg</v>
      </c>
      <c r="Y115" s="94" t="str">
        <f>HYPERLINK("https://pbs.twimg.com/media/FhWjLDyWQAAHiUO.jpg")</f>
        <v>https://pbs.twimg.com/media/FhWjLDyWQAAHiUO.jpg</v>
      </c>
      <c r="Z115" s="91">
        <v>44877.38145833334</v>
      </c>
      <c r="AA115" s="100">
        <v>44877</v>
      </c>
      <c r="AB115" s="97" t="s">
        <v>550</v>
      </c>
      <c r="AC115" s="94" t="str">
        <f>HYPERLINK("https://twitter.com/cordeiro/status/1591357458936745985")</f>
        <v>https://twitter.com/cordeiro/status/1591357458936745985</v>
      </c>
      <c r="AD115" s="66"/>
      <c r="AE115" s="66"/>
      <c r="AF115" s="97" t="s">
        <v>686</v>
      </c>
      <c r="AG115" s="66"/>
      <c r="AH115" s="66" t="b">
        <v>0</v>
      </c>
      <c r="AI115" s="66">
        <v>0</v>
      </c>
      <c r="AJ115" s="97" t="s">
        <v>712</v>
      </c>
      <c r="AK115" s="66" t="b">
        <v>0</v>
      </c>
      <c r="AL115" s="66" t="s">
        <v>715</v>
      </c>
      <c r="AM115" s="66"/>
      <c r="AN115" s="97" t="s">
        <v>712</v>
      </c>
      <c r="AO115" s="66" t="b">
        <v>0</v>
      </c>
      <c r="AP115" s="66">
        <v>1</v>
      </c>
      <c r="AQ115" s="97" t="s">
        <v>712</v>
      </c>
      <c r="AR115" s="97" t="s">
        <v>724</v>
      </c>
      <c r="AS115" s="66" t="b">
        <v>0</v>
      </c>
      <c r="AT115" s="97" t="s">
        <v>686</v>
      </c>
      <c r="AU115" s="66" t="s">
        <v>241</v>
      </c>
      <c r="AV115" s="66">
        <v>0</v>
      </c>
      <c r="AW115" s="66">
        <v>0</v>
      </c>
      <c r="AX115" s="66"/>
      <c r="AY115" s="66"/>
      <c r="AZ115" s="66"/>
      <c r="BA115" s="66"/>
      <c r="BB115" s="66"/>
      <c r="BC115" s="66"/>
      <c r="BD115" s="66"/>
      <c r="BE115" s="66"/>
      <c r="BF115" s="45">
        <v>0</v>
      </c>
      <c r="BG115" s="46">
        <v>0</v>
      </c>
      <c r="BH115" s="45">
        <v>0</v>
      </c>
      <c r="BI115" s="46">
        <v>0</v>
      </c>
      <c r="BJ115" s="45">
        <v>0</v>
      </c>
      <c r="BK115" s="46">
        <v>0</v>
      </c>
      <c r="BL115" s="45">
        <v>10</v>
      </c>
      <c r="BM115" s="46">
        <v>76.92307692307692</v>
      </c>
      <c r="BN115" s="45">
        <v>13</v>
      </c>
    </row>
    <row r="116" spans="1:66" ht="15">
      <c r="A116" s="62" t="s">
        <v>305</v>
      </c>
      <c r="B116" s="62" t="s">
        <v>305</v>
      </c>
      <c r="C116" s="64"/>
      <c r="D116" s="67"/>
      <c r="E116" s="68"/>
      <c r="F116" s="69"/>
      <c r="G116" s="64"/>
      <c r="H116" s="70"/>
      <c r="I116" s="71"/>
      <c r="J116" s="71"/>
      <c r="K116" s="31" t="s">
        <v>65</v>
      </c>
      <c r="L116" s="79">
        <v>230</v>
      </c>
      <c r="M116" s="79"/>
      <c r="N116" s="73"/>
      <c r="O116" s="66">
        <v>35</v>
      </c>
      <c r="P116" s="63" t="str">
        <f>REPLACE(INDEX(GroupVertices[Group],MATCH(Edges25[[#This Row],[Vertex 1]],GroupVertices[Vertex],0)),1,1,"")</f>
        <v>4</v>
      </c>
      <c r="Q116" s="63" t="str">
        <f>REPLACE(INDEX(GroupVertices[Group],MATCH(Edges25[[#This Row],[Vertex 2]],GroupVertices[Vertex],0)),1,1,"")</f>
        <v>4</v>
      </c>
      <c r="R116" s="66" t="s">
        <v>241</v>
      </c>
      <c r="S116" s="91">
        <v>44877.3912037037</v>
      </c>
      <c r="T116" s="66" t="s">
        <v>319</v>
      </c>
      <c r="U116" s="94" t="str">
        <f>HYPERLINK("https://www.abc.es/sociedad/cuatro-espanoles-reposan-congelados-espera-resucitados-20221109220843-nt.html")</f>
        <v>https://www.abc.es/sociedad/cuatro-espanoles-reposan-congelados-espera-resucitados-20221109220843-nt.html</v>
      </c>
      <c r="V116" s="66" t="s">
        <v>402</v>
      </c>
      <c r="W116" s="97" t="s">
        <v>422</v>
      </c>
      <c r="X116" s="66"/>
      <c r="Y116" s="94" t="str">
        <f>HYPERLINK("https://pbs.twimg.com/profile_images/1078408329045725184/ix0-gmNx_normal.jpg")</f>
        <v>https://pbs.twimg.com/profile_images/1078408329045725184/ix0-gmNx_normal.jpg</v>
      </c>
      <c r="Z116" s="91">
        <v>44877.3912037037</v>
      </c>
      <c r="AA116" s="100">
        <v>44877</v>
      </c>
      <c r="AB116" s="97" t="s">
        <v>551</v>
      </c>
      <c r="AC116" s="94" t="str">
        <f>HYPERLINK("https://twitter.com/cordeiro/status/1591360990305828864")</f>
        <v>https://twitter.com/cordeiro/status/1591360990305828864</v>
      </c>
      <c r="AD116" s="66"/>
      <c r="AE116" s="66"/>
      <c r="AF116" s="97" t="s">
        <v>687</v>
      </c>
      <c r="AG116" s="66"/>
      <c r="AH116" s="66" t="b">
        <v>0</v>
      </c>
      <c r="AI116" s="66">
        <v>2</v>
      </c>
      <c r="AJ116" s="97" t="s">
        <v>712</v>
      </c>
      <c r="AK116" s="66" t="b">
        <v>0</v>
      </c>
      <c r="AL116" s="66" t="s">
        <v>715</v>
      </c>
      <c r="AM116" s="66"/>
      <c r="AN116" s="97" t="s">
        <v>712</v>
      </c>
      <c r="AO116" s="66" t="b">
        <v>0</v>
      </c>
      <c r="AP116" s="66">
        <v>2</v>
      </c>
      <c r="AQ116" s="97" t="s">
        <v>712</v>
      </c>
      <c r="AR116" s="97" t="s">
        <v>724</v>
      </c>
      <c r="AS116" s="66" t="b">
        <v>0</v>
      </c>
      <c r="AT116" s="97" t="s">
        <v>687</v>
      </c>
      <c r="AU116" s="66" t="s">
        <v>241</v>
      </c>
      <c r="AV116" s="66">
        <v>0</v>
      </c>
      <c r="AW116" s="66">
        <v>0</v>
      </c>
      <c r="AX116" s="66"/>
      <c r="AY116" s="66"/>
      <c r="AZ116" s="66"/>
      <c r="BA116" s="66"/>
      <c r="BB116" s="66"/>
      <c r="BC116" s="66"/>
      <c r="BD116" s="66"/>
      <c r="BE116" s="66"/>
      <c r="BF116" s="45">
        <v>0</v>
      </c>
      <c r="BG116" s="46">
        <v>0</v>
      </c>
      <c r="BH116" s="45">
        <v>0</v>
      </c>
      <c r="BI116" s="46">
        <v>0</v>
      </c>
      <c r="BJ116" s="45">
        <v>0</v>
      </c>
      <c r="BK116" s="46">
        <v>0</v>
      </c>
      <c r="BL116" s="45">
        <v>23</v>
      </c>
      <c r="BM116" s="46">
        <v>67.6470588235294</v>
      </c>
      <c r="BN116" s="45">
        <v>34</v>
      </c>
    </row>
    <row r="117" spans="1:66" ht="15">
      <c r="A117" s="62" t="s">
        <v>305</v>
      </c>
      <c r="B117" s="62" t="s">
        <v>305</v>
      </c>
      <c r="C117" s="64"/>
      <c r="D117" s="67"/>
      <c r="E117" s="68"/>
      <c r="F117" s="69"/>
      <c r="G117" s="64"/>
      <c r="H117" s="70"/>
      <c r="I117" s="71"/>
      <c r="J117" s="71"/>
      <c r="K117" s="31" t="s">
        <v>65</v>
      </c>
      <c r="L117" s="79">
        <v>231</v>
      </c>
      <c r="M117" s="79"/>
      <c r="N117" s="73"/>
      <c r="O117" s="66">
        <v>35</v>
      </c>
      <c r="P117" s="63" t="str">
        <f>REPLACE(INDEX(GroupVertices[Group],MATCH(Edges25[[#This Row],[Vertex 1]],GroupVertices[Vertex],0)),1,1,"")</f>
        <v>4</v>
      </c>
      <c r="Q117" s="63" t="str">
        <f>REPLACE(INDEX(GroupVertices[Group],MATCH(Edges25[[#This Row],[Vertex 2]],GroupVertices[Vertex],0)),1,1,"")</f>
        <v>4</v>
      </c>
      <c r="R117" s="66" t="s">
        <v>241</v>
      </c>
      <c r="S117" s="91">
        <v>44877.4083912037</v>
      </c>
      <c r="T117" s="66" t="s">
        <v>377</v>
      </c>
      <c r="U117" s="94" t="str">
        <f>HYPERLINK("https://www.youtube.com/watch?v=xb0JCOgMsXc")</f>
        <v>https://www.youtube.com/watch?v=xb0JCOgMsXc</v>
      </c>
      <c r="V117" s="66" t="s">
        <v>403</v>
      </c>
      <c r="W117" s="97" t="s">
        <v>421</v>
      </c>
      <c r="X117" s="66"/>
      <c r="Y117" s="94" t="str">
        <f>HYPERLINK("https://pbs.twimg.com/profile_images/1078408329045725184/ix0-gmNx_normal.jpg")</f>
        <v>https://pbs.twimg.com/profile_images/1078408329045725184/ix0-gmNx_normal.jpg</v>
      </c>
      <c r="Z117" s="91">
        <v>44877.4083912037</v>
      </c>
      <c r="AA117" s="100">
        <v>44877</v>
      </c>
      <c r="AB117" s="97" t="s">
        <v>552</v>
      </c>
      <c r="AC117" s="94" t="str">
        <f>HYPERLINK("https://twitter.com/cordeiro/status/1591367218343837696")</f>
        <v>https://twitter.com/cordeiro/status/1591367218343837696</v>
      </c>
      <c r="AD117" s="66"/>
      <c r="AE117" s="66"/>
      <c r="AF117" s="97" t="s">
        <v>688</v>
      </c>
      <c r="AG117" s="66"/>
      <c r="AH117" s="66" t="b">
        <v>0</v>
      </c>
      <c r="AI117" s="66">
        <v>1</v>
      </c>
      <c r="AJ117" s="97" t="s">
        <v>712</v>
      </c>
      <c r="AK117" s="66" t="b">
        <v>0</v>
      </c>
      <c r="AL117" s="66" t="s">
        <v>715</v>
      </c>
      <c r="AM117" s="66"/>
      <c r="AN117" s="97" t="s">
        <v>712</v>
      </c>
      <c r="AO117" s="66" t="b">
        <v>0</v>
      </c>
      <c r="AP117" s="66">
        <v>0</v>
      </c>
      <c r="AQ117" s="97" t="s">
        <v>712</v>
      </c>
      <c r="AR117" s="97" t="s">
        <v>723</v>
      </c>
      <c r="AS117" s="66" t="b">
        <v>0</v>
      </c>
      <c r="AT117" s="97" t="s">
        <v>688</v>
      </c>
      <c r="AU117" s="66" t="s">
        <v>241</v>
      </c>
      <c r="AV117" s="66">
        <v>0</v>
      </c>
      <c r="AW117" s="66">
        <v>0</v>
      </c>
      <c r="AX117" s="66"/>
      <c r="AY117" s="66"/>
      <c r="AZ117" s="66"/>
      <c r="BA117" s="66"/>
      <c r="BB117" s="66"/>
      <c r="BC117" s="66"/>
      <c r="BD117" s="66"/>
      <c r="BE117" s="66"/>
      <c r="BF117" s="45">
        <v>0</v>
      </c>
      <c r="BG117" s="46">
        <v>0</v>
      </c>
      <c r="BH117" s="45">
        <v>0</v>
      </c>
      <c r="BI117" s="46">
        <v>0</v>
      </c>
      <c r="BJ117" s="45">
        <v>0</v>
      </c>
      <c r="BK117" s="46">
        <v>0</v>
      </c>
      <c r="BL117" s="45">
        <v>12</v>
      </c>
      <c r="BM117" s="46">
        <v>66.66666666666667</v>
      </c>
      <c r="BN117" s="45">
        <v>18</v>
      </c>
    </row>
    <row r="118" spans="1:66" ht="15">
      <c r="A118" s="62" t="s">
        <v>305</v>
      </c>
      <c r="B118" s="62" t="s">
        <v>305</v>
      </c>
      <c r="C118" s="64"/>
      <c r="D118" s="67"/>
      <c r="E118" s="68"/>
      <c r="F118" s="69"/>
      <c r="G118" s="64"/>
      <c r="H118" s="70"/>
      <c r="I118" s="71"/>
      <c r="J118" s="71"/>
      <c r="K118" s="31" t="s">
        <v>65</v>
      </c>
      <c r="L118" s="79">
        <v>232</v>
      </c>
      <c r="M118" s="79"/>
      <c r="N118" s="73"/>
      <c r="O118" s="66">
        <v>35</v>
      </c>
      <c r="P118" s="63" t="str">
        <f>REPLACE(INDEX(GroupVertices[Group],MATCH(Edges25[[#This Row],[Vertex 1]],GroupVertices[Vertex],0)),1,1,"")</f>
        <v>4</v>
      </c>
      <c r="Q118" s="63" t="str">
        <f>REPLACE(INDEX(GroupVertices[Group],MATCH(Edges25[[#This Row],[Vertex 2]],GroupVertices[Vertex],0)),1,1,"")</f>
        <v>4</v>
      </c>
      <c r="R118" s="66" t="s">
        <v>241</v>
      </c>
      <c r="S118" s="91">
        <v>44877.4353587963</v>
      </c>
      <c r="T118" s="66" t="s">
        <v>353</v>
      </c>
      <c r="U118" s="94" t="str">
        <f>HYPERLINK("https://www.levante-emv.com/tendencias21/2022/11/12/cumbre-cientifica-inmortalidad-madrid-78418464.html")</f>
        <v>https://www.levante-emv.com/tendencias21/2022/11/12/cumbre-cientifica-inmortalidad-madrid-78418464.html</v>
      </c>
      <c r="V118" s="66" t="s">
        <v>409</v>
      </c>
      <c r="W118" s="97" t="s">
        <v>426</v>
      </c>
      <c r="X118" s="66"/>
      <c r="Y118" s="94" t="str">
        <f>HYPERLINK("https://pbs.twimg.com/profile_images/1078408329045725184/ix0-gmNx_normal.jpg")</f>
        <v>https://pbs.twimg.com/profile_images/1078408329045725184/ix0-gmNx_normal.jpg</v>
      </c>
      <c r="Z118" s="91">
        <v>44877.4353587963</v>
      </c>
      <c r="AA118" s="100">
        <v>44877</v>
      </c>
      <c r="AB118" s="97" t="s">
        <v>553</v>
      </c>
      <c r="AC118" s="94" t="str">
        <f>HYPERLINK("https://twitter.com/cordeiro/status/1591376992108150785")</f>
        <v>https://twitter.com/cordeiro/status/1591376992108150785</v>
      </c>
      <c r="AD118" s="66"/>
      <c r="AE118" s="66"/>
      <c r="AF118" s="97" t="s">
        <v>689</v>
      </c>
      <c r="AG118" s="66"/>
      <c r="AH118" s="66" t="b">
        <v>0</v>
      </c>
      <c r="AI118" s="66">
        <v>1</v>
      </c>
      <c r="AJ118" s="97" t="s">
        <v>712</v>
      </c>
      <c r="AK118" s="66" t="b">
        <v>0</v>
      </c>
      <c r="AL118" s="66" t="s">
        <v>715</v>
      </c>
      <c r="AM118" s="66"/>
      <c r="AN118" s="97" t="s">
        <v>712</v>
      </c>
      <c r="AO118" s="66" t="b">
        <v>0</v>
      </c>
      <c r="AP118" s="66">
        <v>1</v>
      </c>
      <c r="AQ118" s="97" t="s">
        <v>712</v>
      </c>
      <c r="AR118" s="97" t="s">
        <v>723</v>
      </c>
      <c r="AS118" s="66" t="b">
        <v>0</v>
      </c>
      <c r="AT118" s="97" t="s">
        <v>689</v>
      </c>
      <c r="AU118" s="66" t="s">
        <v>241</v>
      </c>
      <c r="AV118" s="66">
        <v>0</v>
      </c>
      <c r="AW118" s="66">
        <v>0</v>
      </c>
      <c r="AX118" s="66"/>
      <c r="AY118" s="66"/>
      <c r="AZ118" s="66"/>
      <c r="BA118" s="66"/>
      <c r="BB118" s="66"/>
      <c r="BC118" s="66"/>
      <c r="BD118" s="66"/>
      <c r="BE118" s="66"/>
      <c r="BF118" s="45">
        <v>0</v>
      </c>
      <c r="BG118" s="46">
        <v>0</v>
      </c>
      <c r="BH118" s="45">
        <v>0</v>
      </c>
      <c r="BI118" s="46">
        <v>0</v>
      </c>
      <c r="BJ118" s="45">
        <v>0</v>
      </c>
      <c r="BK118" s="46">
        <v>0</v>
      </c>
      <c r="BL118" s="45">
        <v>22</v>
      </c>
      <c r="BM118" s="46">
        <v>66.66666666666667</v>
      </c>
      <c r="BN118" s="45">
        <v>33</v>
      </c>
    </row>
    <row r="119" spans="1:66" ht="15">
      <c r="A119" s="62" t="s">
        <v>305</v>
      </c>
      <c r="B119" s="62" t="s">
        <v>305</v>
      </c>
      <c r="C119" s="64"/>
      <c r="D119" s="67"/>
      <c r="E119" s="68"/>
      <c r="F119" s="69"/>
      <c r="G119" s="64"/>
      <c r="H119" s="70"/>
      <c r="I119" s="71"/>
      <c r="J119" s="71"/>
      <c r="K119" s="31" t="s">
        <v>65</v>
      </c>
      <c r="L119" s="79">
        <v>233</v>
      </c>
      <c r="M119" s="79"/>
      <c r="N119" s="73"/>
      <c r="O119" s="66">
        <v>35</v>
      </c>
      <c r="P119" s="63" t="str">
        <f>REPLACE(INDEX(GroupVertices[Group],MATCH(Edges25[[#This Row],[Vertex 1]],GroupVertices[Vertex],0)),1,1,"")</f>
        <v>4</v>
      </c>
      <c r="Q119" s="63" t="str">
        <f>REPLACE(INDEX(GroupVertices[Group],MATCH(Edges25[[#This Row],[Vertex 2]],GroupVertices[Vertex],0)),1,1,"")</f>
        <v>4</v>
      </c>
      <c r="R119" s="66" t="s">
        <v>241</v>
      </c>
      <c r="S119" s="91">
        <v>44877.44278935185</v>
      </c>
      <c r="T119" s="66" t="s">
        <v>323</v>
      </c>
      <c r="U119" s="66" t="s">
        <v>393</v>
      </c>
      <c r="V119" s="66" t="s">
        <v>405</v>
      </c>
      <c r="W119" s="97" t="s">
        <v>426</v>
      </c>
      <c r="X119" s="66"/>
      <c r="Y119" s="94" t="str">
        <f>HYPERLINK("https://pbs.twimg.com/profile_images/1078408329045725184/ix0-gmNx_normal.jpg")</f>
        <v>https://pbs.twimg.com/profile_images/1078408329045725184/ix0-gmNx_normal.jpg</v>
      </c>
      <c r="Z119" s="91">
        <v>44877.44278935185</v>
      </c>
      <c r="AA119" s="100">
        <v>44877</v>
      </c>
      <c r="AB119" s="97" t="s">
        <v>554</v>
      </c>
      <c r="AC119" s="94" t="str">
        <f>HYPERLINK("https://twitter.com/cordeiro/status/1591379681969725441")</f>
        <v>https://twitter.com/cordeiro/status/1591379681969725441</v>
      </c>
      <c r="AD119" s="66"/>
      <c r="AE119" s="66"/>
      <c r="AF119" s="97" t="s">
        <v>690</v>
      </c>
      <c r="AG119" s="66"/>
      <c r="AH119" s="66" t="b">
        <v>0</v>
      </c>
      <c r="AI119" s="66">
        <v>1</v>
      </c>
      <c r="AJ119" s="97" t="s">
        <v>712</v>
      </c>
      <c r="AK119" s="66" t="b">
        <v>0</v>
      </c>
      <c r="AL119" s="66" t="s">
        <v>715</v>
      </c>
      <c r="AM119" s="66"/>
      <c r="AN119" s="97" t="s">
        <v>712</v>
      </c>
      <c r="AO119" s="66" t="b">
        <v>0</v>
      </c>
      <c r="AP119" s="66">
        <v>1</v>
      </c>
      <c r="AQ119" s="97" t="s">
        <v>712</v>
      </c>
      <c r="AR119" s="97" t="s">
        <v>723</v>
      </c>
      <c r="AS119" s="66" t="b">
        <v>0</v>
      </c>
      <c r="AT119" s="97" t="s">
        <v>690</v>
      </c>
      <c r="AU119" s="66" t="s">
        <v>241</v>
      </c>
      <c r="AV119" s="66">
        <v>0</v>
      </c>
      <c r="AW119" s="66">
        <v>0</v>
      </c>
      <c r="AX119" s="66"/>
      <c r="AY119" s="66"/>
      <c r="AZ119" s="66"/>
      <c r="BA119" s="66"/>
      <c r="BB119" s="66"/>
      <c r="BC119" s="66"/>
      <c r="BD119" s="66"/>
      <c r="BE119" s="66"/>
      <c r="BF119" s="45">
        <v>0</v>
      </c>
      <c r="BG119" s="46">
        <v>0</v>
      </c>
      <c r="BH119" s="45">
        <v>0</v>
      </c>
      <c r="BI119" s="46">
        <v>0</v>
      </c>
      <c r="BJ119" s="45">
        <v>0</v>
      </c>
      <c r="BK119" s="46">
        <v>0</v>
      </c>
      <c r="BL119" s="45">
        <v>24</v>
      </c>
      <c r="BM119" s="46">
        <v>68.57142857142857</v>
      </c>
      <c r="BN119" s="45">
        <v>35</v>
      </c>
    </row>
    <row r="120" spans="1:66" ht="15">
      <c r="A120" s="62" t="s">
        <v>305</v>
      </c>
      <c r="B120" s="62" t="s">
        <v>305</v>
      </c>
      <c r="C120" s="64"/>
      <c r="D120" s="67"/>
      <c r="E120" s="68"/>
      <c r="F120" s="69"/>
      <c r="G120" s="64"/>
      <c r="H120" s="70"/>
      <c r="I120" s="71"/>
      <c r="J120" s="71"/>
      <c r="K120" s="31" t="s">
        <v>65</v>
      </c>
      <c r="L120" s="79">
        <v>234</v>
      </c>
      <c r="M120" s="79"/>
      <c r="N120" s="73"/>
      <c r="O120" s="66">
        <v>35</v>
      </c>
      <c r="P120" s="63" t="str">
        <f>REPLACE(INDEX(GroupVertices[Group],MATCH(Edges25[[#This Row],[Vertex 1]],GroupVertices[Vertex],0)),1,1,"")</f>
        <v>4</v>
      </c>
      <c r="Q120" s="63" t="str">
        <f>REPLACE(INDEX(GroupVertices[Group],MATCH(Edges25[[#This Row],[Vertex 2]],GroupVertices[Vertex],0)),1,1,"")</f>
        <v>4</v>
      </c>
      <c r="R120" s="66" t="s">
        <v>241</v>
      </c>
      <c r="S120" s="91">
        <v>44877.58076388889</v>
      </c>
      <c r="T120" s="66" t="s">
        <v>378</v>
      </c>
      <c r="U120" s="94" t="str">
        <f>HYPERLINK("https://youtu.be/erkbGlWtX3Q")</f>
        <v>https://youtu.be/erkbGlWtX3Q</v>
      </c>
      <c r="V120" s="66" t="s">
        <v>406</v>
      </c>
      <c r="W120" s="97" t="s">
        <v>423</v>
      </c>
      <c r="X120" s="66"/>
      <c r="Y120" s="94" t="str">
        <f>HYPERLINK("https://pbs.twimg.com/profile_images/1078408329045725184/ix0-gmNx_normal.jpg")</f>
        <v>https://pbs.twimg.com/profile_images/1078408329045725184/ix0-gmNx_normal.jpg</v>
      </c>
      <c r="Z120" s="91">
        <v>44877.58076388889</v>
      </c>
      <c r="AA120" s="100">
        <v>44877</v>
      </c>
      <c r="AB120" s="97" t="s">
        <v>555</v>
      </c>
      <c r="AC120" s="94" t="str">
        <f>HYPERLINK("https://twitter.com/cordeiro/status/1591429682032844800")</f>
        <v>https://twitter.com/cordeiro/status/1591429682032844800</v>
      </c>
      <c r="AD120" s="66"/>
      <c r="AE120" s="66"/>
      <c r="AF120" s="97" t="s">
        <v>691</v>
      </c>
      <c r="AG120" s="66"/>
      <c r="AH120" s="66" t="b">
        <v>0</v>
      </c>
      <c r="AI120" s="66">
        <v>0</v>
      </c>
      <c r="AJ120" s="97" t="s">
        <v>712</v>
      </c>
      <c r="AK120" s="66" t="b">
        <v>0</v>
      </c>
      <c r="AL120" s="66" t="s">
        <v>715</v>
      </c>
      <c r="AM120" s="66"/>
      <c r="AN120" s="97" t="s">
        <v>712</v>
      </c>
      <c r="AO120" s="66" t="b">
        <v>0</v>
      </c>
      <c r="AP120" s="66">
        <v>0</v>
      </c>
      <c r="AQ120" s="97" t="s">
        <v>712</v>
      </c>
      <c r="AR120" s="97" t="s">
        <v>723</v>
      </c>
      <c r="AS120" s="66" t="b">
        <v>0</v>
      </c>
      <c r="AT120" s="97" t="s">
        <v>691</v>
      </c>
      <c r="AU120" s="66" t="s">
        <v>241</v>
      </c>
      <c r="AV120" s="66">
        <v>0</v>
      </c>
      <c r="AW120" s="66">
        <v>0</v>
      </c>
      <c r="AX120" s="66"/>
      <c r="AY120" s="66"/>
      <c r="AZ120" s="66"/>
      <c r="BA120" s="66"/>
      <c r="BB120" s="66"/>
      <c r="BC120" s="66"/>
      <c r="BD120" s="66"/>
      <c r="BE120" s="66"/>
      <c r="BF120" s="45">
        <v>0</v>
      </c>
      <c r="BG120" s="46">
        <v>0</v>
      </c>
      <c r="BH120" s="45">
        <v>0</v>
      </c>
      <c r="BI120" s="46">
        <v>0</v>
      </c>
      <c r="BJ120" s="45">
        <v>0</v>
      </c>
      <c r="BK120" s="46">
        <v>0</v>
      </c>
      <c r="BL120" s="45">
        <v>7</v>
      </c>
      <c r="BM120" s="46">
        <v>70</v>
      </c>
      <c r="BN120" s="45">
        <v>10</v>
      </c>
    </row>
    <row r="121" spans="1:66" ht="15">
      <c r="A121" s="62" t="s">
        <v>305</v>
      </c>
      <c r="B121" s="62" t="s">
        <v>305</v>
      </c>
      <c r="C121" s="64"/>
      <c r="D121" s="67"/>
      <c r="E121" s="68"/>
      <c r="F121" s="69"/>
      <c r="G121" s="64"/>
      <c r="H121" s="70"/>
      <c r="I121" s="71"/>
      <c r="J121" s="71"/>
      <c r="K121" s="31" t="s">
        <v>65</v>
      </c>
      <c r="L121" s="79">
        <v>235</v>
      </c>
      <c r="M121" s="79"/>
      <c r="N121" s="73"/>
      <c r="O121" s="66">
        <v>35</v>
      </c>
      <c r="P121" s="63" t="str">
        <f>REPLACE(INDEX(GroupVertices[Group],MATCH(Edges25[[#This Row],[Vertex 1]],GroupVertices[Vertex],0)),1,1,"")</f>
        <v>4</v>
      </c>
      <c r="Q121" s="63" t="str">
        <f>REPLACE(INDEX(GroupVertices[Group],MATCH(Edges25[[#This Row],[Vertex 2]],GroupVertices[Vertex],0)),1,1,"")</f>
        <v>4</v>
      </c>
      <c r="R121" s="66" t="s">
        <v>241</v>
      </c>
      <c r="S121" s="91">
        <v>44877.594560185185</v>
      </c>
      <c r="T121" s="66" t="s">
        <v>379</v>
      </c>
      <c r="U121" s="94" t="str">
        <f>HYPERLINK("https://www.linkedin.com/feed/update/urn:li:ugcPost:6997200272817041408")</f>
        <v>https://www.linkedin.com/feed/update/urn:li:ugcPost:6997200272817041408</v>
      </c>
      <c r="V121" s="66" t="s">
        <v>417</v>
      </c>
      <c r="W121" s="97" t="s">
        <v>421</v>
      </c>
      <c r="X121" s="66"/>
      <c r="Y121" s="94" t="str">
        <f>HYPERLINK("https://pbs.twimg.com/profile_images/1078408329045725184/ix0-gmNx_normal.jpg")</f>
        <v>https://pbs.twimg.com/profile_images/1078408329045725184/ix0-gmNx_normal.jpg</v>
      </c>
      <c r="Z121" s="91">
        <v>44877.594560185185</v>
      </c>
      <c r="AA121" s="100">
        <v>44877</v>
      </c>
      <c r="AB121" s="97" t="s">
        <v>556</v>
      </c>
      <c r="AC121" s="94" t="str">
        <f>HYPERLINK("https://twitter.com/cordeiro/status/1591434683262418946")</f>
        <v>https://twitter.com/cordeiro/status/1591434683262418946</v>
      </c>
      <c r="AD121" s="66"/>
      <c r="AE121" s="66"/>
      <c r="AF121" s="97" t="s">
        <v>692</v>
      </c>
      <c r="AG121" s="66"/>
      <c r="AH121" s="66" t="b">
        <v>0</v>
      </c>
      <c r="AI121" s="66">
        <v>1</v>
      </c>
      <c r="AJ121" s="97" t="s">
        <v>712</v>
      </c>
      <c r="AK121" s="66" t="b">
        <v>0</v>
      </c>
      <c r="AL121" s="66" t="s">
        <v>714</v>
      </c>
      <c r="AM121" s="66"/>
      <c r="AN121" s="97" t="s">
        <v>712</v>
      </c>
      <c r="AO121" s="66" t="b">
        <v>0</v>
      </c>
      <c r="AP121" s="66">
        <v>0</v>
      </c>
      <c r="AQ121" s="97" t="s">
        <v>712</v>
      </c>
      <c r="AR121" s="97" t="s">
        <v>723</v>
      </c>
      <c r="AS121" s="66" t="b">
        <v>0</v>
      </c>
      <c r="AT121" s="97" t="s">
        <v>692</v>
      </c>
      <c r="AU121" s="66" t="s">
        <v>241</v>
      </c>
      <c r="AV121" s="66">
        <v>0</v>
      </c>
      <c r="AW121" s="66">
        <v>0</v>
      </c>
      <c r="AX121" s="66"/>
      <c r="AY121" s="66"/>
      <c r="AZ121" s="66"/>
      <c r="BA121" s="66"/>
      <c r="BB121" s="66"/>
      <c r="BC121" s="66"/>
      <c r="BD121" s="66"/>
      <c r="BE121" s="66"/>
      <c r="BF121" s="45">
        <v>0</v>
      </c>
      <c r="BG121" s="46">
        <v>0</v>
      </c>
      <c r="BH121" s="45">
        <v>0</v>
      </c>
      <c r="BI121" s="46">
        <v>0</v>
      </c>
      <c r="BJ121" s="45">
        <v>0</v>
      </c>
      <c r="BK121" s="46">
        <v>0</v>
      </c>
      <c r="BL121" s="45">
        <v>20</v>
      </c>
      <c r="BM121" s="46">
        <v>60.60606060606061</v>
      </c>
      <c r="BN121" s="45">
        <v>33</v>
      </c>
    </row>
    <row r="122" spans="1:66" ht="15">
      <c r="A122" s="62" t="s">
        <v>305</v>
      </c>
      <c r="B122" s="62" t="s">
        <v>305</v>
      </c>
      <c r="C122" s="64"/>
      <c r="D122" s="67"/>
      <c r="E122" s="68"/>
      <c r="F122" s="69"/>
      <c r="G122" s="64"/>
      <c r="H122" s="70"/>
      <c r="I122" s="71"/>
      <c r="J122" s="71"/>
      <c r="K122" s="31" t="s">
        <v>65</v>
      </c>
      <c r="L122" s="79">
        <v>236</v>
      </c>
      <c r="M122" s="79"/>
      <c r="N122" s="73"/>
      <c r="O122" s="66">
        <v>35</v>
      </c>
      <c r="P122" s="63" t="str">
        <f>REPLACE(INDEX(GroupVertices[Group],MATCH(Edges25[[#This Row],[Vertex 1]],GroupVertices[Vertex],0)),1,1,"")</f>
        <v>4</v>
      </c>
      <c r="Q122" s="63" t="str">
        <f>REPLACE(INDEX(GroupVertices[Group],MATCH(Edges25[[#This Row],[Vertex 2]],GroupVertices[Vertex],0)),1,1,"")</f>
        <v>4</v>
      </c>
      <c r="R122" s="66" t="s">
        <v>241</v>
      </c>
      <c r="S122" s="91">
        <v>44877.60165509259</v>
      </c>
      <c r="T122" s="66" t="s">
        <v>343</v>
      </c>
      <c r="U122" s="66" t="s">
        <v>399</v>
      </c>
      <c r="V122" s="66" t="s">
        <v>412</v>
      </c>
      <c r="W122" s="97" t="s">
        <v>427</v>
      </c>
      <c r="X122" s="66"/>
      <c r="Y122" s="94" t="str">
        <f>HYPERLINK("https://pbs.twimg.com/profile_images/1078408329045725184/ix0-gmNx_normal.jpg")</f>
        <v>https://pbs.twimg.com/profile_images/1078408329045725184/ix0-gmNx_normal.jpg</v>
      </c>
      <c r="Z122" s="91">
        <v>44877.60165509259</v>
      </c>
      <c r="AA122" s="100">
        <v>44877</v>
      </c>
      <c r="AB122" s="97" t="s">
        <v>557</v>
      </c>
      <c r="AC122" s="94" t="str">
        <f>HYPERLINK("https://twitter.com/cordeiro/status/1591437256136466433")</f>
        <v>https://twitter.com/cordeiro/status/1591437256136466433</v>
      </c>
      <c r="AD122" s="66"/>
      <c r="AE122" s="66"/>
      <c r="AF122" s="97" t="s">
        <v>693</v>
      </c>
      <c r="AG122" s="66"/>
      <c r="AH122" s="66" t="b">
        <v>0</v>
      </c>
      <c r="AI122" s="66">
        <v>1</v>
      </c>
      <c r="AJ122" s="97" t="s">
        <v>712</v>
      </c>
      <c r="AK122" s="66" t="b">
        <v>0</v>
      </c>
      <c r="AL122" s="66" t="s">
        <v>714</v>
      </c>
      <c r="AM122" s="66"/>
      <c r="AN122" s="97" t="s">
        <v>712</v>
      </c>
      <c r="AO122" s="66" t="b">
        <v>0</v>
      </c>
      <c r="AP122" s="66">
        <v>1</v>
      </c>
      <c r="AQ122" s="97" t="s">
        <v>712</v>
      </c>
      <c r="AR122" s="97" t="s">
        <v>723</v>
      </c>
      <c r="AS122" s="66" t="b">
        <v>0</v>
      </c>
      <c r="AT122" s="97" t="s">
        <v>693</v>
      </c>
      <c r="AU122" s="66" t="s">
        <v>241</v>
      </c>
      <c r="AV122" s="66">
        <v>0</v>
      </c>
      <c r="AW122" s="66">
        <v>0</v>
      </c>
      <c r="AX122" s="66"/>
      <c r="AY122" s="66"/>
      <c r="AZ122" s="66"/>
      <c r="BA122" s="66"/>
      <c r="BB122" s="66"/>
      <c r="BC122" s="66"/>
      <c r="BD122" s="66"/>
      <c r="BE122" s="66"/>
      <c r="BF122" s="45">
        <v>0</v>
      </c>
      <c r="BG122" s="46">
        <v>0</v>
      </c>
      <c r="BH122" s="45">
        <v>0</v>
      </c>
      <c r="BI122" s="46">
        <v>0</v>
      </c>
      <c r="BJ122" s="45">
        <v>0</v>
      </c>
      <c r="BK122" s="46">
        <v>0</v>
      </c>
      <c r="BL122" s="45">
        <v>8</v>
      </c>
      <c r="BM122" s="46">
        <v>80</v>
      </c>
      <c r="BN122" s="45">
        <v>10</v>
      </c>
    </row>
    <row r="123" spans="1:66" ht="15">
      <c r="A123" s="62" t="s">
        <v>305</v>
      </c>
      <c r="B123" s="62" t="s">
        <v>305</v>
      </c>
      <c r="C123" s="64"/>
      <c r="D123" s="67"/>
      <c r="E123" s="68"/>
      <c r="F123" s="69"/>
      <c r="G123" s="64"/>
      <c r="H123" s="70"/>
      <c r="I123" s="71"/>
      <c r="J123" s="71"/>
      <c r="K123" s="31" t="s">
        <v>65</v>
      </c>
      <c r="L123" s="79">
        <v>237</v>
      </c>
      <c r="M123" s="79"/>
      <c r="N123" s="73"/>
      <c r="O123" s="66">
        <v>35</v>
      </c>
      <c r="P123" s="63" t="str">
        <f>REPLACE(INDEX(GroupVertices[Group],MATCH(Edges25[[#This Row],[Vertex 1]],GroupVertices[Vertex],0)),1,1,"")</f>
        <v>4</v>
      </c>
      <c r="Q123" s="63" t="str">
        <f>REPLACE(INDEX(GroupVertices[Group],MATCH(Edges25[[#This Row],[Vertex 2]],GroupVertices[Vertex],0)),1,1,"")</f>
        <v>4</v>
      </c>
      <c r="R123" s="66" t="s">
        <v>241</v>
      </c>
      <c r="S123" s="91">
        <v>44877.70642361111</v>
      </c>
      <c r="T123" s="66" t="s">
        <v>380</v>
      </c>
      <c r="U123" s="94" t="str">
        <f>HYPERLINK("http://transvisionmadrid.com")</f>
        <v>http://transvisionmadrid.com</v>
      </c>
      <c r="V123" s="66" t="s">
        <v>407</v>
      </c>
      <c r="W123" s="97" t="s">
        <v>428</v>
      </c>
      <c r="X123" s="94" t="str">
        <f>HYPERLINK("https://pbs.twimg.com/media/FhYOR1_XoAEojoe.jpg")</f>
        <v>https://pbs.twimg.com/media/FhYOR1_XoAEojoe.jpg</v>
      </c>
      <c r="Y123" s="94" t="str">
        <f>HYPERLINK("https://pbs.twimg.com/media/FhYOR1_XoAEojoe.jpg")</f>
        <v>https://pbs.twimg.com/media/FhYOR1_XoAEojoe.jpg</v>
      </c>
      <c r="Z123" s="91">
        <v>44877.70642361111</v>
      </c>
      <c r="AA123" s="100">
        <v>44877</v>
      </c>
      <c r="AB123" s="97" t="s">
        <v>558</v>
      </c>
      <c r="AC123" s="94" t="str">
        <f>HYPERLINK("https://twitter.com/cordeiro/status/1591475222775054336")</f>
        <v>https://twitter.com/cordeiro/status/1591475222775054336</v>
      </c>
      <c r="AD123" s="66"/>
      <c r="AE123" s="66"/>
      <c r="AF123" s="97" t="s">
        <v>694</v>
      </c>
      <c r="AG123" s="66"/>
      <c r="AH123" s="66" t="b">
        <v>0</v>
      </c>
      <c r="AI123" s="66">
        <v>0</v>
      </c>
      <c r="AJ123" s="97" t="s">
        <v>712</v>
      </c>
      <c r="AK123" s="66" t="b">
        <v>0</v>
      </c>
      <c r="AL123" s="66" t="s">
        <v>714</v>
      </c>
      <c r="AM123" s="66"/>
      <c r="AN123" s="97" t="s">
        <v>712</v>
      </c>
      <c r="AO123" s="66" t="b">
        <v>0</v>
      </c>
      <c r="AP123" s="66">
        <v>0</v>
      </c>
      <c r="AQ123" s="97" t="s">
        <v>712</v>
      </c>
      <c r="AR123" s="97" t="s">
        <v>724</v>
      </c>
      <c r="AS123" s="66" t="b">
        <v>0</v>
      </c>
      <c r="AT123" s="97" t="s">
        <v>694</v>
      </c>
      <c r="AU123" s="66" t="s">
        <v>241</v>
      </c>
      <c r="AV123" s="66">
        <v>0</v>
      </c>
      <c r="AW123" s="66">
        <v>0</v>
      </c>
      <c r="AX123" s="66"/>
      <c r="AY123" s="66"/>
      <c r="AZ123" s="66"/>
      <c r="BA123" s="66"/>
      <c r="BB123" s="66"/>
      <c r="BC123" s="66"/>
      <c r="BD123" s="66"/>
      <c r="BE123" s="66"/>
      <c r="BF123" s="45">
        <v>0</v>
      </c>
      <c r="BG123" s="46">
        <v>0</v>
      </c>
      <c r="BH123" s="45">
        <v>0</v>
      </c>
      <c r="BI123" s="46">
        <v>0</v>
      </c>
      <c r="BJ123" s="45">
        <v>0</v>
      </c>
      <c r="BK123" s="46">
        <v>0</v>
      </c>
      <c r="BL123" s="45">
        <v>16</v>
      </c>
      <c r="BM123" s="46">
        <v>84.21052631578948</v>
      </c>
      <c r="BN123" s="45">
        <v>19</v>
      </c>
    </row>
    <row r="124" spans="1:66" ht="15">
      <c r="A124" s="62" t="s">
        <v>305</v>
      </c>
      <c r="B124" s="62" t="s">
        <v>305</v>
      </c>
      <c r="C124" s="64"/>
      <c r="D124" s="67"/>
      <c r="E124" s="68"/>
      <c r="F124" s="69"/>
      <c r="G124" s="64"/>
      <c r="H124" s="70"/>
      <c r="I124" s="71"/>
      <c r="J124" s="71"/>
      <c r="K124" s="31" t="s">
        <v>65</v>
      </c>
      <c r="L124" s="79">
        <v>238</v>
      </c>
      <c r="M124" s="79"/>
      <c r="N124" s="73"/>
      <c r="O124" s="66">
        <v>35</v>
      </c>
      <c r="P124" s="63" t="str">
        <f>REPLACE(INDEX(GroupVertices[Group],MATCH(Edges25[[#This Row],[Vertex 1]],GroupVertices[Vertex],0)),1,1,"")</f>
        <v>4</v>
      </c>
      <c r="Q124" s="63" t="str">
        <f>REPLACE(INDEX(GroupVertices[Group],MATCH(Edges25[[#This Row],[Vertex 2]],GroupVertices[Vertex],0)),1,1,"")</f>
        <v>4</v>
      </c>
      <c r="R124" s="66" t="s">
        <v>241</v>
      </c>
      <c r="S124" s="91">
        <v>44877.88282407408</v>
      </c>
      <c r="T124" s="66" t="s">
        <v>381</v>
      </c>
      <c r="U124" s="94" t="str">
        <f>HYPERLINK("http://transvisionmadrid.com")</f>
        <v>http://transvisionmadrid.com</v>
      </c>
      <c r="V124" s="66" t="s">
        <v>407</v>
      </c>
      <c r="W124" s="97" t="s">
        <v>428</v>
      </c>
      <c r="X124" s="94" t="str">
        <f>HYPERLINK("https://pbs.twimg.com/media/FhZIamdWQAE6U1B.jpg")</f>
        <v>https://pbs.twimg.com/media/FhZIamdWQAE6U1B.jpg</v>
      </c>
      <c r="Y124" s="94" t="str">
        <f>HYPERLINK("https://pbs.twimg.com/media/FhZIamdWQAE6U1B.jpg")</f>
        <v>https://pbs.twimg.com/media/FhZIamdWQAE6U1B.jpg</v>
      </c>
      <c r="Z124" s="91">
        <v>44877.88282407408</v>
      </c>
      <c r="AA124" s="100">
        <v>44877</v>
      </c>
      <c r="AB124" s="97" t="s">
        <v>559</v>
      </c>
      <c r="AC124" s="94" t="str">
        <f>HYPERLINK("https://twitter.com/cordeiro/status/1591539144416698368")</f>
        <v>https://twitter.com/cordeiro/status/1591539144416698368</v>
      </c>
      <c r="AD124" s="66"/>
      <c r="AE124" s="66"/>
      <c r="AF124" s="97" t="s">
        <v>695</v>
      </c>
      <c r="AG124" s="66"/>
      <c r="AH124" s="66" t="b">
        <v>0</v>
      </c>
      <c r="AI124" s="66">
        <v>0</v>
      </c>
      <c r="AJ124" s="97" t="s">
        <v>712</v>
      </c>
      <c r="AK124" s="66" t="b">
        <v>0</v>
      </c>
      <c r="AL124" s="66" t="s">
        <v>714</v>
      </c>
      <c r="AM124" s="66"/>
      <c r="AN124" s="97" t="s">
        <v>712</v>
      </c>
      <c r="AO124" s="66" t="b">
        <v>0</v>
      </c>
      <c r="AP124" s="66">
        <v>0</v>
      </c>
      <c r="AQ124" s="97" t="s">
        <v>712</v>
      </c>
      <c r="AR124" s="97" t="s">
        <v>724</v>
      </c>
      <c r="AS124" s="66" t="b">
        <v>0</v>
      </c>
      <c r="AT124" s="97" t="s">
        <v>695</v>
      </c>
      <c r="AU124" s="66" t="s">
        <v>241</v>
      </c>
      <c r="AV124" s="66">
        <v>0</v>
      </c>
      <c r="AW124" s="66">
        <v>0</v>
      </c>
      <c r="AX124" s="66"/>
      <c r="AY124" s="66"/>
      <c r="AZ124" s="66"/>
      <c r="BA124" s="66"/>
      <c r="BB124" s="66"/>
      <c r="BC124" s="66"/>
      <c r="BD124" s="66"/>
      <c r="BE124" s="66"/>
      <c r="BF124" s="45">
        <v>0</v>
      </c>
      <c r="BG124" s="46">
        <v>0</v>
      </c>
      <c r="BH124" s="45">
        <v>0</v>
      </c>
      <c r="BI124" s="46">
        <v>0</v>
      </c>
      <c r="BJ124" s="45">
        <v>0</v>
      </c>
      <c r="BK124" s="46">
        <v>0</v>
      </c>
      <c r="BL124" s="45">
        <v>16</v>
      </c>
      <c r="BM124" s="46">
        <v>84.21052631578948</v>
      </c>
      <c r="BN124" s="45">
        <v>19</v>
      </c>
    </row>
    <row r="125" spans="1:66" ht="15">
      <c r="A125" s="62" t="s">
        <v>305</v>
      </c>
      <c r="B125" s="62" t="s">
        <v>305</v>
      </c>
      <c r="C125" s="64"/>
      <c r="D125" s="67"/>
      <c r="E125" s="68"/>
      <c r="F125" s="69"/>
      <c r="G125" s="64"/>
      <c r="H125" s="70"/>
      <c r="I125" s="71"/>
      <c r="J125" s="71"/>
      <c r="K125" s="31" t="s">
        <v>65</v>
      </c>
      <c r="L125" s="79">
        <v>239</v>
      </c>
      <c r="M125" s="79"/>
      <c r="N125" s="73"/>
      <c r="O125" s="66">
        <v>35</v>
      </c>
      <c r="P125" s="63" t="str">
        <f>REPLACE(INDEX(GroupVertices[Group],MATCH(Edges25[[#This Row],[Vertex 1]],GroupVertices[Vertex],0)),1,1,"")</f>
        <v>4</v>
      </c>
      <c r="Q125" s="63" t="str">
        <f>REPLACE(INDEX(GroupVertices[Group],MATCH(Edges25[[#This Row],[Vertex 2]],GroupVertices[Vertex],0)),1,1,"")</f>
        <v>4</v>
      </c>
      <c r="R125" s="66" t="s">
        <v>241</v>
      </c>
      <c r="S125" s="91">
        <v>44878.1890625</v>
      </c>
      <c r="T125" s="66" t="s">
        <v>332</v>
      </c>
      <c r="U125" s="94" t="str">
        <f>HYPERLINK("http://transvisionmadrid.com")</f>
        <v>http://transvisionmadrid.com</v>
      </c>
      <c r="V125" s="66" t="s">
        <v>407</v>
      </c>
      <c r="W125" s="97" t="s">
        <v>428</v>
      </c>
      <c r="X125" s="94" t="str">
        <f>HYPERLINK("https://pbs.twimg.com/media/FhatWb1WAAEOUxn.jpg")</f>
        <v>https://pbs.twimg.com/media/FhatWb1WAAEOUxn.jpg</v>
      </c>
      <c r="Y125" s="94" t="str">
        <f>HYPERLINK("https://pbs.twimg.com/media/FhatWb1WAAEOUxn.jpg")</f>
        <v>https://pbs.twimg.com/media/FhatWb1WAAEOUxn.jpg</v>
      </c>
      <c r="Z125" s="91">
        <v>44878.1890625</v>
      </c>
      <c r="AA125" s="100">
        <v>44878</v>
      </c>
      <c r="AB125" s="97" t="s">
        <v>560</v>
      </c>
      <c r="AC125" s="94" t="str">
        <f>HYPERLINK("https://twitter.com/cordeiro/status/1591650123431419905")</f>
        <v>https://twitter.com/cordeiro/status/1591650123431419905</v>
      </c>
      <c r="AD125" s="66"/>
      <c r="AE125" s="66"/>
      <c r="AF125" s="97" t="s">
        <v>696</v>
      </c>
      <c r="AG125" s="66"/>
      <c r="AH125" s="66" t="b">
        <v>0</v>
      </c>
      <c r="AI125" s="66">
        <v>1</v>
      </c>
      <c r="AJ125" s="97" t="s">
        <v>712</v>
      </c>
      <c r="AK125" s="66" t="b">
        <v>0</v>
      </c>
      <c r="AL125" s="66" t="s">
        <v>714</v>
      </c>
      <c r="AM125" s="66"/>
      <c r="AN125" s="97" t="s">
        <v>712</v>
      </c>
      <c r="AO125" s="66" t="b">
        <v>0</v>
      </c>
      <c r="AP125" s="66">
        <v>1</v>
      </c>
      <c r="AQ125" s="97" t="s">
        <v>712</v>
      </c>
      <c r="AR125" s="97" t="s">
        <v>724</v>
      </c>
      <c r="AS125" s="66" t="b">
        <v>0</v>
      </c>
      <c r="AT125" s="97" t="s">
        <v>696</v>
      </c>
      <c r="AU125" s="66" t="s">
        <v>241</v>
      </c>
      <c r="AV125" s="66">
        <v>0</v>
      </c>
      <c r="AW125" s="66">
        <v>0</v>
      </c>
      <c r="AX125" s="66"/>
      <c r="AY125" s="66"/>
      <c r="AZ125" s="66"/>
      <c r="BA125" s="66"/>
      <c r="BB125" s="66"/>
      <c r="BC125" s="66"/>
      <c r="BD125" s="66"/>
      <c r="BE125" s="66"/>
      <c r="BF125" s="45">
        <v>0</v>
      </c>
      <c r="BG125" s="46">
        <v>0</v>
      </c>
      <c r="BH125" s="45">
        <v>0</v>
      </c>
      <c r="BI125" s="46">
        <v>0</v>
      </c>
      <c r="BJ125" s="45">
        <v>0</v>
      </c>
      <c r="BK125" s="46">
        <v>0</v>
      </c>
      <c r="BL125" s="45">
        <v>16</v>
      </c>
      <c r="BM125" s="46">
        <v>84.21052631578948</v>
      </c>
      <c r="BN125" s="45">
        <v>19</v>
      </c>
    </row>
    <row r="126" spans="1:66" ht="15">
      <c r="A126" s="62" t="s">
        <v>305</v>
      </c>
      <c r="B126" s="62" t="s">
        <v>305</v>
      </c>
      <c r="C126" s="64"/>
      <c r="D126" s="67"/>
      <c r="E126" s="68"/>
      <c r="F126" s="69"/>
      <c r="G126" s="64"/>
      <c r="H126" s="70"/>
      <c r="I126" s="71"/>
      <c r="J126" s="71"/>
      <c r="K126" s="31" t="s">
        <v>65</v>
      </c>
      <c r="L126" s="79">
        <v>240</v>
      </c>
      <c r="M126" s="79"/>
      <c r="N126" s="73"/>
      <c r="O126" s="66">
        <v>35</v>
      </c>
      <c r="P126" s="63" t="str">
        <f>REPLACE(INDEX(GroupVertices[Group],MATCH(Edges25[[#This Row],[Vertex 1]],GroupVertices[Vertex],0)),1,1,"")</f>
        <v>4</v>
      </c>
      <c r="Q126" s="63" t="str">
        <f>REPLACE(INDEX(GroupVertices[Group],MATCH(Edges25[[#This Row],[Vertex 2]],GroupVertices[Vertex],0)),1,1,"")</f>
        <v>4</v>
      </c>
      <c r="R126" s="66" t="s">
        <v>241</v>
      </c>
      <c r="S126" s="91">
        <v>44878.253900462965</v>
      </c>
      <c r="T126" s="66" t="s">
        <v>382</v>
      </c>
      <c r="U126" s="94" t="str">
        <f>HYPERLINK("https://www.linkedin.com/feed/update/urn:li:ugcPost:6997439154716307456")</f>
        <v>https://www.linkedin.com/feed/update/urn:li:ugcPost:6997439154716307456</v>
      </c>
      <c r="V126" s="66" t="s">
        <v>417</v>
      </c>
      <c r="W126" s="97" t="s">
        <v>421</v>
      </c>
      <c r="X126" s="66"/>
      <c r="Y126" s="94" t="str">
        <f>HYPERLINK("https://pbs.twimg.com/profile_images/1078408329045725184/ix0-gmNx_normal.jpg")</f>
        <v>https://pbs.twimg.com/profile_images/1078408329045725184/ix0-gmNx_normal.jpg</v>
      </c>
      <c r="Z126" s="91">
        <v>44878.253900462965</v>
      </c>
      <c r="AA126" s="100">
        <v>44878</v>
      </c>
      <c r="AB126" s="97" t="s">
        <v>561</v>
      </c>
      <c r="AC126" s="94" t="str">
        <f>HYPERLINK("https://twitter.com/cordeiro/status/1591673618651840512")</f>
        <v>https://twitter.com/cordeiro/status/1591673618651840512</v>
      </c>
      <c r="AD126" s="66"/>
      <c r="AE126" s="66"/>
      <c r="AF126" s="97" t="s">
        <v>697</v>
      </c>
      <c r="AG126" s="66"/>
      <c r="AH126" s="66" t="b">
        <v>0</v>
      </c>
      <c r="AI126" s="66">
        <v>0</v>
      </c>
      <c r="AJ126" s="97" t="s">
        <v>712</v>
      </c>
      <c r="AK126" s="66" t="b">
        <v>0</v>
      </c>
      <c r="AL126" s="66" t="s">
        <v>715</v>
      </c>
      <c r="AM126" s="66"/>
      <c r="AN126" s="97" t="s">
        <v>712</v>
      </c>
      <c r="AO126" s="66" t="b">
        <v>0</v>
      </c>
      <c r="AP126" s="66">
        <v>0</v>
      </c>
      <c r="AQ126" s="97" t="s">
        <v>712</v>
      </c>
      <c r="AR126" s="97" t="s">
        <v>723</v>
      </c>
      <c r="AS126" s="66" t="b">
        <v>0</v>
      </c>
      <c r="AT126" s="97" t="s">
        <v>697</v>
      </c>
      <c r="AU126" s="66" t="s">
        <v>241</v>
      </c>
      <c r="AV126" s="66">
        <v>0</v>
      </c>
      <c r="AW126" s="66">
        <v>0</v>
      </c>
      <c r="AX126" s="66"/>
      <c r="AY126" s="66"/>
      <c r="AZ126" s="66"/>
      <c r="BA126" s="66"/>
      <c r="BB126" s="66"/>
      <c r="BC126" s="66"/>
      <c r="BD126" s="66"/>
      <c r="BE126" s="66"/>
      <c r="BF126" s="45">
        <v>0</v>
      </c>
      <c r="BG126" s="46">
        <v>0</v>
      </c>
      <c r="BH126" s="45">
        <v>0</v>
      </c>
      <c r="BI126" s="46">
        <v>0</v>
      </c>
      <c r="BJ126" s="45">
        <v>0</v>
      </c>
      <c r="BK126" s="46">
        <v>0</v>
      </c>
      <c r="BL126" s="45">
        <v>29</v>
      </c>
      <c r="BM126" s="46">
        <v>65.9090909090909</v>
      </c>
      <c r="BN126" s="45">
        <v>44</v>
      </c>
    </row>
    <row r="127" spans="1:66" ht="15">
      <c r="A127" s="62" t="s">
        <v>305</v>
      </c>
      <c r="B127" s="62" t="s">
        <v>305</v>
      </c>
      <c r="C127" s="64"/>
      <c r="D127" s="67"/>
      <c r="E127" s="68"/>
      <c r="F127" s="69"/>
      <c r="G127" s="64"/>
      <c r="H127" s="70"/>
      <c r="I127" s="71"/>
      <c r="J127" s="71"/>
      <c r="K127" s="31" t="s">
        <v>65</v>
      </c>
      <c r="L127" s="79">
        <v>241</v>
      </c>
      <c r="M127" s="79"/>
      <c r="N127" s="73"/>
      <c r="O127" s="66">
        <v>35</v>
      </c>
      <c r="P127" s="63" t="str">
        <f>REPLACE(INDEX(GroupVertices[Group],MATCH(Edges25[[#This Row],[Vertex 1]],GroupVertices[Vertex],0)),1,1,"")</f>
        <v>4</v>
      </c>
      <c r="Q127" s="63" t="str">
        <f>REPLACE(INDEX(GroupVertices[Group],MATCH(Edges25[[#This Row],[Vertex 2]],GroupVertices[Vertex],0)),1,1,"")</f>
        <v>4</v>
      </c>
      <c r="R127" s="66" t="s">
        <v>241</v>
      </c>
      <c r="S127" s="91">
        <v>44878.322905092595</v>
      </c>
      <c r="T127" s="66" t="s">
        <v>383</v>
      </c>
      <c r="U127" s="94" t="str">
        <f>HYPERLINK("https://www.niusdiario.es/ciencia-y-tecnologia/ciencia/20221111/precio-criogenizarse-5000-euros-20-anos_18_07953883.html")</f>
        <v>https://www.niusdiario.es/ciencia-y-tecnologia/ciencia/20221111/precio-criogenizarse-5000-euros-20-anos_18_07953883.html</v>
      </c>
      <c r="V127" s="66" t="s">
        <v>413</v>
      </c>
      <c r="W127" s="97" t="s">
        <v>434</v>
      </c>
      <c r="X127" s="66"/>
      <c r="Y127" s="94" t="str">
        <f>HYPERLINK("https://pbs.twimg.com/profile_images/1078408329045725184/ix0-gmNx_normal.jpg")</f>
        <v>https://pbs.twimg.com/profile_images/1078408329045725184/ix0-gmNx_normal.jpg</v>
      </c>
      <c r="Z127" s="91">
        <v>44878.322905092595</v>
      </c>
      <c r="AA127" s="100">
        <v>44878</v>
      </c>
      <c r="AB127" s="97" t="s">
        <v>562</v>
      </c>
      <c r="AC127" s="94" t="str">
        <f>HYPERLINK("https://twitter.com/cordeiro/status/1591698625616564226")</f>
        <v>https://twitter.com/cordeiro/status/1591698625616564226</v>
      </c>
      <c r="AD127" s="66"/>
      <c r="AE127" s="66"/>
      <c r="AF127" s="97" t="s">
        <v>698</v>
      </c>
      <c r="AG127" s="66"/>
      <c r="AH127" s="66" t="b">
        <v>0</v>
      </c>
      <c r="AI127" s="66">
        <v>0</v>
      </c>
      <c r="AJ127" s="97" t="s">
        <v>712</v>
      </c>
      <c r="AK127" s="66" t="b">
        <v>0</v>
      </c>
      <c r="AL127" s="66" t="s">
        <v>715</v>
      </c>
      <c r="AM127" s="66"/>
      <c r="AN127" s="97" t="s">
        <v>712</v>
      </c>
      <c r="AO127" s="66" t="b">
        <v>0</v>
      </c>
      <c r="AP127" s="66">
        <v>0</v>
      </c>
      <c r="AQ127" s="97" t="s">
        <v>712</v>
      </c>
      <c r="AR127" s="97" t="s">
        <v>723</v>
      </c>
      <c r="AS127" s="66" t="b">
        <v>0</v>
      </c>
      <c r="AT127" s="97" t="s">
        <v>698</v>
      </c>
      <c r="AU127" s="66" t="s">
        <v>241</v>
      </c>
      <c r="AV127" s="66">
        <v>0</v>
      </c>
      <c r="AW127" s="66">
        <v>0</v>
      </c>
      <c r="AX127" s="66"/>
      <c r="AY127" s="66"/>
      <c r="AZ127" s="66"/>
      <c r="BA127" s="66"/>
      <c r="BB127" s="66"/>
      <c r="BC127" s="66"/>
      <c r="BD127" s="66"/>
      <c r="BE127" s="66"/>
      <c r="BF127" s="45">
        <v>0</v>
      </c>
      <c r="BG127" s="46">
        <v>0</v>
      </c>
      <c r="BH127" s="45">
        <v>0</v>
      </c>
      <c r="BI127" s="46">
        <v>0</v>
      </c>
      <c r="BJ127" s="45">
        <v>0</v>
      </c>
      <c r="BK127" s="46">
        <v>0</v>
      </c>
      <c r="BL127" s="45">
        <v>12</v>
      </c>
      <c r="BM127" s="46">
        <v>66.66666666666667</v>
      </c>
      <c r="BN127" s="45">
        <v>18</v>
      </c>
    </row>
    <row r="128" spans="1:66" ht="15">
      <c r="A128" s="62" t="s">
        <v>305</v>
      </c>
      <c r="B128" s="62" t="s">
        <v>305</v>
      </c>
      <c r="C128" s="64"/>
      <c r="D128" s="67"/>
      <c r="E128" s="68"/>
      <c r="F128" s="69"/>
      <c r="G128" s="64"/>
      <c r="H128" s="70"/>
      <c r="I128" s="71"/>
      <c r="J128" s="71"/>
      <c r="K128" s="31" t="s">
        <v>65</v>
      </c>
      <c r="L128" s="79">
        <v>242</v>
      </c>
      <c r="M128" s="79"/>
      <c r="N128" s="73"/>
      <c r="O128" s="66">
        <v>35</v>
      </c>
      <c r="P128" s="63" t="str">
        <f>REPLACE(INDEX(GroupVertices[Group],MATCH(Edges25[[#This Row],[Vertex 1]],GroupVertices[Vertex],0)),1,1,"")</f>
        <v>4</v>
      </c>
      <c r="Q128" s="63" t="str">
        <f>REPLACE(INDEX(GroupVertices[Group],MATCH(Edges25[[#This Row],[Vertex 2]],GroupVertices[Vertex],0)),1,1,"")</f>
        <v>4</v>
      </c>
      <c r="R128" s="66" t="s">
        <v>241</v>
      </c>
      <c r="S128" s="91">
        <v>44878.35931712963</v>
      </c>
      <c r="T128" s="66" t="s">
        <v>329</v>
      </c>
      <c r="U128" s="66" t="s">
        <v>394</v>
      </c>
      <c r="V128" s="66" t="s">
        <v>408</v>
      </c>
      <c r="W128" s="97" t="s">
        <v>429</v>
      </c>
      <c r="X128" s="66"/>
      <c r="Y128" s="94" t="str">
        <f>HYPERLINK("https://pbs.twimg.com/profile_images/1078408329045725184/ix0-gmNx_normal.jpg")</f>
        <v>https://pbs.twimg.com/profile_images/1078408329045725184/ix0-gmNx_normal.jpg</v>
      </c>
      <c r="Z128" s="91">
        <v>44878.35931712963</v>
      </c>
      <c r="AA128" s="100">
        <v>44878</v>
      </c>
      <c r="AB128" s="97" t="s">
        <v>563</v>
      </c>
      <c r="AC128" s="94" t="str">
        <f>HYPERLINK("https://twitter.com/cordeiro/status/1591711822561828864")</f>
        <v>https://twitter.com/cordeiro/status/1591711822561828864</v>
      </c>
      <c r="AD128" s="66"/>
      <c r="AE128" s="66"/>
      <c r="AF128" s="97" t="s">
        <v>699</v>
      </c>
      <c r="AG128" s="66"/>
      <c r="AH128" s="66" t="b">
        <v>0</v>
      </c>
      <c r="AI128" s="66">
        <v>7</v>
      </c>
      <c r="AJ128" s="97" t="s">
        <v>712</v>
      </c>
      <c r="AK128" s="66" t="b">
        <v>0</v>
      </c>
      <c r="AL128" s="66" t="s">
        <v>714</v>
      </c>
      <c r="AM128" s="66"/>
      <c r="AN128" s="97" t="s">
        <v>712</v>
      </c>
      <c r="AO128" s="66" t="b">
        <v>0</v>
      </c>
      <c r="AP128" s="66">
        <v>5</v>
      </c>
      <c r="AQ128" s="97" t="s">
        <v>712</v>
      </c>
      <c r="AR128" s="97" t="s">
        <v>723</v>
      </c>
      <c r="AS128" s="66" t="b">
        <v>0</v>
      </c>
      <c r="AT128" s="97" t="s">
        <v>699</v>
      </c>
      <c r="AU128" s="66" t="s">
        <v>241</v>
      </c>
      <c r="AV128" s="66">
        <v>0</v>
      </c>
      <c r="AW128" s="66">
        <v>0</v>
      </c>
      <c r="AX128" s="66"/>
      <c r="AY128" s="66"/>
      <c r="AZ128" s="66"/>
      <c r="BA128" s="66"/>
      <c r="BB128" s="66"/>
      <c r="BC128" s="66"/>
      <c r="BD128" s="66"/>
      <c r="BE128" s="66"/>
      <c r="BF128" s="45">
        <v>0</v>
      </c>
      <c r="BG128" s="46">
        <v>0</v>
      </c>
      <c r="BH128" s="45">
        <v>0</v>
      </c>
      <c r="BI128" s="46">
        <v>0</v>
      </c>
      <c r="BJ128" s="45">
        <v>0</v>
      </c>
      <c r="BK128" s="46">
        <v>0</v>
      </c>
      <c r="BL128" s="45">
        <v>16</v>
      </c>
      <c r="BM128" s="46">
        <v>51.61290322580645</v>
      </c>
      <c r="BN128" s="45">
        <v>31</v>
      </c>
    </row>
    <row r="129" spans="1:66" ht="15">
      <c r="A129" s="62" t="s">
        <v>305</v>
      </c>
      <c r="B129" s="62" t="s">
        <v>305</v>
      </c>
      <c r="C129" s="64"/>
      <c r="D129" s="67"/>
      <c r="E129" s="68"/>
      <c r="F129" s="69"/>
      <c r="G129" s="64"/>
      <c r="H129" s="70"/>
      <c r="I129" s="71"/>
      <c r="J129" s="71"/>
      <c r="K129" s="31" t="s">
        <v>65</v>
      </c>
      <c r="L129" s="79">
        <v>243</v>
      </c>
      <c r="M129" s="79"/>
      <c r="N129" s="73"/>
      <c r="O129" s="66">
        <v>35</v>
      </c>
      <c r="P129" s="63" t="str">
        <f>REPLACE(INDEX(GroupVertices[Group],MATCH(Edges25[[#This Row],[Vertex 1]],GroupVertices[Vertex],0)),1,1,"")</f>
        <v>4</v>
      </c>
      <c r="Q129" s="63" t="str">
        <f>REPLACE(INDEX(GroupVertices[Group],MATCH(Edges25[[#This Row],[Vertex 2]],GroupVertices[Vertex],0)),1,1,"")</f>
        <v>4</v>
      </c>
      <c r="R129" s="66" t="s">
        <v>241</v>
      </c>
      <c r="S129" s="91">
        <v>44878.441203703704</v>
      </c>
      <c r="T129" s="66" t="s">
        <v>384</v>
      </c>
      <c r="U129" s="94" t="str">
        <f>HYPERLINK("http://transvisionmadrid.com")</f>
        <v>http://transvisionmadrid.com</v>
      </c>
      <c r="V129" s="66" t="s">
        <v>407</v>
      </c>
      <c r="W129" s="97" t="s">
        <v>437</v>
      </c>
      <c r="X129" s="94" t="str">
        <f>HYPERLINK("https://pbs.twimg.com/media/FhcAc6PWQAAxUkC.jpg")</f>
        <v>https://pbs.twimg.com/media/FhcAc6PWQAAxUkC.jpg</v>
      </c>
      <c r="Y129" s="94" t="str">
        <f>HYPERLINK("https://pbs.twimg.com/media/FhcAc6PWQAAxUkC.jpg")</f>
        <v>https://pbs.twimg.com/media/FhcAc6PWQAAxUkC.jpg</v>
      </c>
      <c r="Z129" s="91">
        <v>44878.441203703704</v>
      </c>
      <c r="AA129" s="100">
        <v>44878</v>
      </c>
      <c r="AB129" s="97" t="s">
        <v>541</v>
      </c>
      <c r="AC129" s="94" t="str">
        <f>HYPERLINK("https://twitter.com/cordeiro/status/1591741494620307459")</f>
        <v>https://twitter.com/cordeiro/status/1591741494620307459</v>
      </c>
      <c r="AD129" s="66"/>
      <c r="AE129" s="66"/>
      <c r="AF129" s="97" t="s">
        <v>700</v>
      </c>
      <c r="AG129" s="66"/>
      <c r="AH129" s="66" t="b">
        <v>0</v>
      </c>
      <c r="AI129" s="66">
        <v>0</v>
      </c>
      <c r="AJ129" s="97" t="s">
        <v>712</v>
      </c>
      <c r="AK129" s="66" t="b">
        <v>0</v>
      </c>
      <c r="AL129" s="66" t="s">
        <v>714</v>
      </c>
      <c r="AM129" s="66"/>
      <c r="AN129" s="97" t="s">
        <v>712</v>
      </c>
      <c r="AO129" s="66" t="b">
        <v>0</v>
      </c>
      <c r="AP129" s="66">
        <v>0</v>
      </c>
      <c r="AQ129" s="97" t="s">
        <v>712</v>
      </c>
      <c r="AR129" s="97" t="s">
        <v>724</v>
      </c>
      <c r="AS129" s="66" t="b">
        <v>0</v>
      </c>
      <c r="AT129" s="97" t="s">
        <v>700</v>
      </c>
      <c r="AU129" s="66" t="s">
        <v>241</v>
      </c>
      <c r="AV129" s="66">
        <v>0</v>
      </c>
      <c r="AW129" s="66">
        <v>0</v>
      </c>
      <c r="AX129" s="66"/>
      <c r="AY129" s="66"/>
      <c r="AZ129" s="66"/>
      <c r="BA129" s="66"/>
      <c r="BB129" s="66"/>
      <c r="BC129" s="66"/>
      <c r="BD129" s="66"/>
      <c r="BE129" s="66"/>
      <c r="BF129" s="45">
        <v>0</v>
      </c>
      <c r="BG129" s="46">
        <v>0</v>
      </c>
      <c r="BH129" s="45">
        <v>0</v>
      </c>
      <c r="BI129" s="46">
        <v>0</v>
      </c>
      <c r="BJ129" s="45">
        <v>0</v>
      </c>
      <c r="BK129" s="46">
        <v>0</v>
      </c>
      <c r="BL129" s="45">
        <v>28</v>
      </c>
      <c r="BM129" s="46">
        <v>75.67567567567568</v>
      </c>
      <c r="BN129" s="45">
        <v>37</v>
      </c>
    </row>
    <row r="130" spans="1:66" ht="15">
      <c r="A130" s="62" t="s">
        <v>305</v>
      </c>
      <c r="B130" s="62" t="s">
        <v>305</v>
      </c>
      <c r="C130" s="64"/>
      <c r="D130" s="67"/>
      <c r="E130" s="68"/>
      <c r="F130" s="69"/>
      <c r="G130" s="64"/>
      <c r="H130" s="70"/>
      <c r="I130" s="71"/>
      <c r="J130" s="71"/>
      <c r="K130" s="31" t="s">
        <v>65</v>
      </c>
      <c r="L130" s="79">
        <v>244</v>
      </c>
      <c r="M130" s="79"/>
      <c r="N130" s="73"/>
      <c r="O130" s="66">
        <v>35</v>
      </c>
      <c r="P130" s="63" t="str">
        <f>REPLACE(INDEX(GroupVertices[Group],MATCH(Edges25[[#This Row],[Vertex 1]],GroupVertices[Vertex],0)),1,1,"")</f>
        <v>4</v>
      </c>
      <c r="Q130" s="63" t="str">
        <f>REPLACE(INDEX(GroupVertices[Group],MATCH(Edges25[[#This Row],[Vertex 2]],GroupVertices[Vertex],0)),1,1,"")</f>
        <v>4</v>
      </c>
      <c r="R130" s="66" t="s">
        <v>241</v>
      </c>
      <c r="S130" s="91">
        <v>44878.45210648148</v>
      </c>
      <c r="T130" s="66" t="s">
        <v>385</v>
      </c>
      <c r="U130" s="66" t="s">
        <v>400</v>
      </c>
      <c r="V130" s="66" t="s">
        <v>408</v>
      </c>
      <c r="W130" s="97" t="s">
        <v>438</v>
      </c>
      <c r="X130" s="66"/>
      <c r="Y130" s="94" t="str">
        <f>HYPERLINK("https://pbs.twimg.com/profile_images/1078408329045725184/ix0-gmNx_normal.jpg")</f>
        <v>https://pbs.twimg.com/profile_images/1078408329045725184/ix0-gmNx_normal.jpg</v>
      </c>
      <c r="Z130" s="91">
        <v>44878.45210648148</v>
      </c>
      <c r="AA130" s="100">
        <v>44878</v>
      </c>
      <c r="AB130" s="97" t="s">
        <v>564</v>
      </c>
      <c r="AC130" s="94" t="str">
        <f>HYPERLINK("https://twitter.com/cordeiro/status/1591745447479349249")</f>
        <v>https://twitter.com/cordeiro/status/1591745447479349249</v>
      </c>
      <c r="AD130" s="66"/>
      <c r="AE130" s="66"/>
      <c r="AF130" s="97" t="s">
        <v>701</v>
      </c>
      <c r="AG130" s="66"/>
      <c r="AH130" s="66" t="b">
        <v>0</v>
      </c>
      <c r="AI130" s="66">
        <v>0</v>
      </c>
      <c r="AJ130" s="97" t="s">
        <v>712</v>
      </c>
      <c r="AK130" s="66" t="b">
        <v>0</v>
      </c>
      <c r="AL130" s="66" t="s">
        <v>714</v>
      </c>
      <c r="AM130" s="66"/>
      <c r="AN130" s="97" t="s">
        <v>712</v>
      </c>
      <c r="AO130" s="66" t="b">
        <v>0</v>
      </c>
      <c r="AP130" s="66">
        <v>0</v>
      </c>
      <c r="AQ130" s="97" t="s">
        <v>712</v>
      </c>
      <c r="AR130" s="97" t="s">
        <v>723</v>
      </c>
      <c r="AS130" s="66" t="b">
        <v>0</v>
      </c>
      <c r="AT130" s="97" t="s">
        <v>701</v>
      </c>
      <c r="AU130" s="66" t="s">
        <v>241</v>
      </c>
      <c r="AV130" s="66">
        <v>0</v>
      </c>
      <c r="AW130" s="66">
        <v>0</v>
      </c>
      <c r="AX130" s="66"/>
      <c r="AY130" s="66"/>
      <c r="AZ130" s="66"/>
      <c r="BA130" s="66"/>
      <c r="BB130" s="66"/>
      <c r="BC130" s="66"/>
      <c r="BD130" s="66"/>
      <c r="BE130" s="66"/>
      <c r="BF130" s="45">
        <v>0</v>
      </c>
      <c r="BG130" s="46">
        <v>0</v>
      </c>
      <c r="BH130" s="45">
        <v>0</v>
      </c>
      <c r="BI130" s="46">
        <v>0</v>
      </c>
      <c r="BJ130" s="45">
        <v>0</v>
      </c>
      <c r="BK130" s="46">
        <v>0</v>
      </c>
      <c r="BL130" s="45">
        <v>15</v>
      </c>
      <c r="BM130" s="46">
        <v>71.42857142857143</v>
      </c>
      <c r="BN130" s="45">
        <v>21</v>
      </c>
    </row>
    <row r="131" spans="1:66" ht="15">
      <c r="A131" s="62" t="s">
        <v>305</v>
      </c>
      <c r="B131" s="62" t="s">
        <v>305</v>
      </c>
      <c r="C131" s="64"/>
      <c r="D131" s="67"/>
      <c r="E131" s="68"/>
      <c r="F131" s="69"/>
      <c r="G131" s="64"/>
      <c r="H131" s="70"/>
      <c r="I131" s="71"/>
      <c r="J131" s="71"/>
      <c r="K131" s="31" t="s">
        <v>65</v>
      </c>
      <c r="L131" s="79">
        <v>245</v>
      </c>
      <c r="M131" s="79"/>
      <c r="N131" s="73"/>
      <c r="O131" s="66">
        <v>35</v>
      </c>
      <c r="P131" s="63" t="str">
        <f>REPLACE(INDEX(GroupVertices[Group],MATCH(Edges25[[#This Row],[Vertex 1]],GroupVertices[Vertex],0)),1,1,"")</f>
        <v>4</v>
      </c>
      <c r="Q131" s="63" t="str">
        <f>REPLACE(INDEX(GroupVertices[Group],MATCH(Edges25[[#This Row],[Vertex 2]],GroupVertices[Vertex],0)),1,1,"")</f>
        <v>4</v>
      </c>
      <c r="R131" s="66" t="s">
        <v>241</v>
      </c>
      <c r="S131" s="91">
        <v>44878.458182870374</v>
      </c>
      <c r="T131" s="66" t="s">
        <v>386</v>
      </c>
      <c r="U131" s="66" t="s">
        <v>401</v>
      </c>
      <c r="V131" s="66" t="s">
        <v>408</v>
      </c>
      <c r="W131" s="97" t="s">
        <v>430</v>
      </c>
      <c r="X131" s="66"/>
      <c r="Y131" s="94" t="str">
        <f>HYPERLINK("https://pbs.twimg.com/profile_images/1078408329045725184/ix0-gmNx_normal.jpg")</f>
        <v>https://pbs.twimg.com/profile_images/1078408329045725184/ix0-gmNx_normal.jpg</v>
      </c>
      <c r="Z131" s="91">
        <v>44878.458182870374</v>
      </c>
      <c r="AA131" s="100">
        <v>44878</v>
      </c>
      <c r="AB131" s="97" t="s">
        <v>565</v>
      </c>
      <c r="AC131" s="94" t="str">
        <f>HYPERLINK("https://twitter.com/cordeiro/status/1591747648419028992")</f>
        <v>https://twitter.com/cordeiro/status/1591747648419028992</v>
      </c>
      <c r="AD131" s="66"/>
      <c r="AE131" s="66"/>
      <c r="AF131" s="97" t="s">
        <v>702</v>
      </c>
      <c r="AG131" s="66"/>
      <c r="AH131" s="66" t="b">
        <v>0</v>
      </c>
      <c r="AI131" s="66">
        <v>0</v>
      </c>
      <c r="AJ131" s="97" t="s">
        <v>712</v>
      </c>
      <c r="AK131" s="66" t="b">
        <v>0</v>
      </c>
      <c r="AL131" s="66" t="s">
        <v>714</v>
      </c>
      <c r="AM131" s="66"/>
      <c r="AN131" s="97" t="s">
        <v>712</v>
      </c>
      <c r="AO131" s="66" t="b">
        <v>0</v>
      </c>
      <c r="AP131" s="66">
        <v>0</v>
      </c>
      <c r="AQ131" s="97" t="s">
        <v>712</v>
      </c>
      <c r="AR131" s="97" t="s">
        <v>723</v>
      </c>
      <c r="AS131" s="66" t="b">
        <v>0</v>
      </c>
      <c r="AT131" s="97" t="s">
        <v>702</v>
      </c>
      <c r="AU131" s="66" t="s">
        <v>241</v>
      </c>
      <c r="AV131" s="66">
        <v>0</v>
      </c>
      <c r="AW131" s="66">
        <v>0</v>
      </c>
      <c r="AX131" s="66"/>
      <c r="AY131" s="66"/>
      <c r="AZ131" s="66"/>
      <c r="BA131" s="66"/>
      <c r="BB131" s="66"/>
      <c r="BC131" s="66"/>
      <c r="BD131" s="66"/>
      <c r="BE131" s="66"/>
      <c r="BF131" s="45">
        <v>0</v>
      </c>
      <c r="BG131" s="46">
        <v>0</v>
      </c>
      <c r="BH131" s="45">
        <v>0</v>
      </c>
      <c r="BI131" s="46">
        <v>0</v>
      </c>
      <c r="BJ131" s="45">
        <v>0</v>
      </c>
      <c r="BK131" s="46">
        <v>0</v>
      </c>
      <c r="BL131" s="45">
        <v>5</v>
      </c>
      <c r="BM131" s="46">
        <v>62.5</v>
      </c>
      <c r="BN131" s="45">
        <v>8</v>
      </c>
    </row>
    <row r="132" spans="1:66" ht="15">
      <c r="A132" s="62" t="s">
        <v>305</v>
      </c>
      <c r="B132" s="62" t="s">
        <v>305</v>
      </c>
      <c r="C132" s="64"/>
      <c r="D132" s="67"/>
      <c r="E132" s="68"/>
      <c r="F132" s="69"/>
      <c r="G132" s="64"/>
      <c r="H132" s="70"/>
      <c r="I132" s="71"/>
      <c r="J132" s="71"/>
      <c r="K132" s="31" t="s">
        <v>65</v>
      </c>
      <c r="L132" s="79">
        <v>246</v>
      </c>
      <c r="M132" s="79"/>
      <c r="N132" s="73"/>
      <c r="O132" s="66">
        <v>35</v>
      </c>
      <c r="P132" s="63" t="str">
        <f>REPLACE(INDEX(GroupVertices[Group],MATCH(Edges25[[#This Row],[Vertex 1]],GroupVertices[Vertex],0)),1,1,"")</f>
        <v>4</v>
      </c>
      <c r="Q132" s="63" t="str">
        <f>REPLACE(INDEX(GroupVertices[Group],MATCH(Edges25[[#This Row],[Vertex 2]],GroupVertices[Vertex],0)),1,1,"")</f>
        <v>4</v>
      </c>
      <c r="R132" s="66" t="s">
        <v>241</v>
      </c>
      <c r="S132" s="91">
        <v>44878.882835648146</v>
      </c>
      <c r="T132" s="66" t="s">
        <v>334</v>
      </c>
      <c r="U132" s="94" t="str">
        <f>HYPERLINK("http://transvisionmadrid.com")</f>
        <v>http://transvisionmadrid.com</v>
      </c>
      <c r="V132" s="66" t="s">
        <v>407</v>
      </c>
      <c r="W132" s="97" t="s">
        <v>428</v>
      </c>
      <c r="X132" s="94" t="str">
        <f>HYPERLINK("https://pbs.twimg.com/media/FheSAwLXgAkq2lI.jpg")</f>
        <v>https://pbs.twimg.com/media/FheSAwLXgAkq2lI.jpg</v>
      </c>
      <c r="Y132" s="94" t="str">
        <f>HYPERLINK("https://pbs.twimg.com/media/FheSAwLXgAkq2lI.jpg")</f>
        <v>https://pbs.twimg.com/media/FheSAwLXgAkq2lI.jpg</v>
      </c>
      <c r="Z132" s="91">
        <v>44878.882835648146</v>
      </c>
      <c r="AA132" s="100">
        <v>44878</v>
      </c>
      <c r="AB132" s="97" t="s">
        <v>566</v>
      </c>
      <c r="AC132" s="94" t="str">
        <f>HYPERLINK("https://twitter.com/cordeiro/status/1591901539219693568")</f>
        <v>https://twitter.com/cordeiro/status/1591901539219693568</v>
      </c>
      <c r="AD132" s="66"/>
      <c r="AE132" s="66"/>
      <c r="AF132" s="97" t="s">
        <v>703</v>
      </c>
      <c r="AG132" s="66"/>
      <c r="AH132" s="66" t="b">
        <v>0</v>
      </c>
      <c r="AI132" s="66">
        <v>2</v>
      </c>
      <c r="AJ132" s="97" t="s">
        <v>712</v>
      </c>
      <c r="AK132" s="66" t="b">
        <v>0</v>
      </c>
      <c r="AL132" s="66" t="s">
        <v>714</v>
      </c>
      <c r="AM132" s="66"/>
      <c r="AN132" s="97" t="s">
        <v>712</v>
      </c>
      <c r="AO132" s="66" t="b">
        <v>0</v>
      </c>
      <c r="AP132" s="66">
        <v>1</v>
      </c>
      <c r="AQ132" s="97" t="s">
        <v>712</v>
      </c>
      <c r="AR132" s="97" t="s">
        <v>724</v>
      </c>
      <c r="AS132" s="66" t="b">
        <v>0</v>
      </c>
      <c r="AT132" s="97" t="s">
        <v>703</v>
      </c>
      <c r="AU132" s="66" t="s">
        <v>241</v>
      </c>
      <c r="AV132" s="66">
        <v>0</v>
      </c>
      <c r="AW132" s="66">
        <v>0</v>
      </c>
      <c r="AX132" s="66"/>
      <c r="AY132" s="66"/>
      <c r="AZ132" s="66"/>
      <c r="BA132" s="66"/>
      <c r="BB132" s="66"/>
      <c r="BC132" s="66"/>
      <c r="BD132" s="66"/>
      <c r="BE132" s="66"/>
      <c r="BF132" s="45">
        <v>1</v>
      </c>
      <c r="BG132" s="46">
        <v>5.2631578947368425</v>
      </c>
      <c r="BH132" s="45">
        <v>0</v>
      </c>
      <c r="BI132" s="46">
        <v>0</v>
      </c>
      <c r="BJ132" s="45">
        <v>0</v>
      </c>
      <c r="BK132" s="46">
        <v>0</v>
      </c>
      <c r="BL132" s="45">
        <v>15</v>
      </c>
      <c r="BM132" s="46">
        <v>78.94736842105263</v>
      </c>
      <c r="BN132" s="45">
        <v>19</v>
      </c>
    </row>
    <row r="133" spans="1:66" ht="15">
      <c r="A133" s="62" t="s">
        <v>305</v>
      </c>
      <c r="B133" s="62" t="s">
        <v>305</v>
      </c>
      <c r="C133" s="64"/>
      <c r="D133" s="67"/>
      <c r="E133" s="68"/>
      <c r="F133" s="69"/>
      <c r="G133" s="64"/>
      <c r="H133" s="70"/>
      <c r="I133" s="71"/>
      <c r="J133" s="71"/>
      <c r="K133" s="31" t="s">
        <v>65</v>
      </c>
      <c r="L133" s="79">
        <v>247</v>
      </c>
      <c r="M133" s="79"/>
      <c r="N133" s="73"/>
      <c r="O133" s="66">
        <v>35</v>
      </c>
      <c r="P133" s="63" t="str">
        <f>REPLACE(INDEX(GroupVertices[Group],MATCH(Edges25[[#This Row],[Vertex 1]],GroupVertices[Vertex],0)),1,1,"")</f>
        <v>4</v>
      </c>
      <c r="Q133" s="63" t="str">
        <f>REPLACE(INDEX(GroupVertices[Group],MATCH(Edges25[[#This Row],[Vertex 2]],GroupVertices[Vertex],0)),1,1,"")</f>
        <v>4</v>
      </c>
      <c r="R133" s="66" t="s">
        <v>241</v>
      </c>
      <c r="S133" s="91">
        <v>44878.9230787037</v>
      </c>
      <c r="T133" s="66" t="s">
        <v>362</v>
      </c>
      <c r="U133" s="94" t="str">
        <f>HYPERLINK("https://okdiario.com/salud/madrid-acogera-cumbre-internacional-sobre-criopreservacion-pacientes-futura-reanimacion-9945365")</f>
        <v>https://okdiario.com/salud/madrid-acogera-cumbre-internacional-sobre-criopreservacion-pacientes-futura-reanimacion-9945365</v>
      </c>
      <c r="V133" s="66" t="s">
        <v>414</v>
      </c>
      <c r="W133" s="97" t="s">
        <v>435</v>
      </c>
      <c r="X133" s="66"/>
      <c r="Y133" s="94" t="str">
        <f>HYPERLINK("https://pbs.twimg.com/profile_images/1078408329045725184/ix0-gmNx_normal.jpg")</f>
        <v>https://pbs.twimg.com/profile_images/1078408329045725184/ix0-gmNx_normal.jpg</v>
      </c>
      <c r="Z133" s="91">
        <v>44878.9230787037</v>
      </c>
      <c r="AA133" s="100">
        <v>44878</v>
      </c>
      <c r="AB133" s="97" t="s">
        <v>567</v>
      </c>
      <c r="AC133" s="94" t="str">
        <f>HYPERLINK("https://twitter.com/cordeiro/status/1591916121413804039")</f>
        <v>https://twitter.com/cordeiro/status/1591916121413804039</v>
      </c>
      <c r="AD133" s="66"/>
      <c r="AE133" s="66"/>
      <c r="AF133" s="97" t="s">
        <v>704</v>
      </c>
      <c r="AG133" s="66"/>
      <c r="AH133" s="66" t="b">
        <v>0</v>
      </c>
      <c r="AI133" s="66">
        <v>6</v>
      </c>
      <c r="AJ133" s="97" t="s">
        <v>712</v>
      </c>
      <c r="AK133" s="66" t="b">
        <v>0</v>
      </c>
      <c r="AL133" s="66" t="s">
        <v>715</v>
      </c>
      <c r="AM133" s="66"/>
      <c r="AN133" s="97" t="s">
        <v>712</v>
      </c>
      <c r="AO133" s="66" t="b">
        <v>0</v>
      </c>
      <c r="AP133" s="66">
        <v>1</v>
      </c>
      <c r="AQ133" s="97" t="s">
        <v>712</v>
      </c>
      <c r="AR133" s="97" t="s">
        <v>724</v>
      </c>
      <c r="AS133" s="66" t="b">
        <v>0</v>
      </c>
      <c r="AT133" s="97" t="s">
        <v>704</v>
      </c>
      <c r="AU133" s="66" t="s">
        <v>241</v>
      </c>
      <c r="AV133" s="66">
        <v>0</v>
      </c>
      <c r="AW133" s="66">
        <v>0</v>
      </c>
      <c r="AX133" s="66"/>
      <c r="AY133" s="66"/>
      <c r="AZ133" s="66"/>
      <c r="BA133" s="66"/>
      <c r="BB133" s="66"/>
      <c r="BC133" s="66"/>
      <c r="BD133" s="66"/>
      <c r="BE133" s="66"/>
      <c r="BF133" s="45">
        <v>0</v>
      </c>
      <c r="BG133" s="46">
        <v>0</v>
      </c>
      <c r="BH133" s="45">
        <v>0</v>
      </c>
      <c r="BI133" s="46">
        <v>0</v>
      </c>
      <c r="BJ133" s="45">
        <v>0</v>
      </c>
      <c r="BK133" s="46">
        <v>0</v>
      </c>
      <c r="BL133" s="45">
        <v>15</v>
      </c>
      <c r="BM133" s="46">
        <v>71.42857142857143</v>
      </c>
      <c r="BN133" s="45">
        <v>21</v>
      </c>
    </row>
    <row r="134" spans="1:66" ht="15">
      <c r="A134" s="62" t="s">
        <v>305</v>
      </c>
      <c r="B134" s="62" t="s">
        <v>305</v>
      </c>
      <c r="C134" s="64"/>
      <c r="D134" s="67"/>
      <c r="E134" s="68"/>
      <c r="F134" s="69"/>
      <c r="G134" s="64"/>
      <c r="H134" s="70"/>
      <c r="I134" s="71"/>
      <c r="J134" s="71"/>
      <c r="K134" s="31" t="s">
        <v>65</v>
      </c>
      <c r="L134" s="79">
        <v>248</v>
      </c>
      <c r="M134" s="79"/>
      <c r="N134" s="73"/>
      <c r="O134" s="66">
        <v>35</v>
      </c>
      <c r="P134" s="63" t="str">
        <f>REPLACE(INDEX(GroupVertices[Group],MATCH(Edges25[[#This Row],[Vertex 1]],GroupVertices[Vertex],0)),1,1,"")</f>
        <v>4</v>
      </c>
      <c r="Q134" s="63" t="str">
        <f>REPLACE(INDEX(GroupVertices[Group],MATCH(Edges25[[#This Row],[Vertex 2]],GroupVertices[Vertex],0)),1,1,"")</f>
        <v>4</v>
      </c>
      <c r="R134" s="66" t="s">
        <v>241</v>
      </c>
      <c r="S134" s="91">
        <v>44878.934895833336</v>
      </c>
      <c r="T134" s="66" t="s">
        <v>387</v>
      </c>
      <c r="U134" s="94" t="str">
        <f>HYPERLINK("http://transvisionmadrid.com")</f>
        <v>http://transvisionmadrid.com</v>
      </c>
      <c r="V134" s="66" t="s">
        <v>407</v>
      </c>
      <c r="W134" s="97" t="s">
        <v>428</v>
      </c>
      <c r="X134" s="94" t="str">
        <f>HYPERLINK("https://pbs.twimg.com/media/FhejK3HXwAACp-G.jpg")</f>
        <v>https://pbs.twimg.com/media/FhejK3HXwAACp-G.jpg</v>
      </c>
      <c r="Y134" s="94" t="str">
        <f>HYPERLINK("https://pbs.twimg.com/media/FhejK3HXwAACp-G.jpg")</f>
        <v>https://pbs.twimg.com/media/FhejK3HXwAACp-G.jpg</v>
      </c>
      <c r="Z134" s="91">
        <v>44878.934895833336</v>
      </c>
      <c r="AA134" s="100">
        <v>44878</v>
      </c>
      <c r="AB134" s="97" t="s">
        <v>568</v>
      </c>
      <c r="AC134" s="94" t="str">
        <f>HYPERLINK("https://twitter.com/cordeiro/status/1591920404662308866")</f>
        <v>https://twitter.com/cordeiro/status/1591920404662308866</v>
      </c>
      <c r="AD134" s="66"/>
      <c r="AE134" s="66"/>
      <c r="AF134" s="97" t="s">
        <v>705</v>
      </c>
      <c r="AG134" s="66"/>
      <c r="AH134" s="66" t="b">
        <v>0</v>
      </c>
      <c r="AI134" s="66">
        <v>0</v>
      </c>
      <c r="AJ134" s="97" t="s">
        <v>712</v>
      </c>
      <c r="AK134" s="66" t="b">
        <v>0</v>
      </c>
      <c r="AL134" s="66" t="s">
        <v>714</v>
      </c>
      <c r="AM134" s="66"/>
      <c r="AN134" s="97" t="s">
        <v>712</v>
      </c>
      <c r="AO134" s="66" t="b">
        <v>0</v>
      </c>
      <c r="AP134" s="66">
        <v>0</v>
      </c>
      <c r="AQ134" s="97" t="s">
        <v>712</v>
      </c>
      <c r="AR134" s="97" t="s">
        <v>724</v>
      </c>
      <c r="AS134" s="66" t="b">
        <v>0</v>
      </c>
      <c r="AT134" s="97" t="s">
        <v>705</v>
      </c>
      <c r="AU134" s="66" t="s">
        <v>241</v>
      </c>
      <c r="AV134" s="66">
        <v>0</v>
      </c>
      <c r="AW134" s="66">
        <v>0</v>
      </c>
      <c r="AX134" s="66"/>
      <c r="AY134" s="66"/>
      <c r="AZ134" s="66"/>
      <c r="BA134" s="66"/>
      <c r="BB134" s="66"/>
      <c r="BC134" s="66"/>
      <c r="BD134" s="66"/>
      <c r="BE134" s="66"/>
      <c r="BF134" s="45">
        <v>0</v>
      </c>
      <c r="BG134" s="46">
        <v>0</v>
      </c>
      <c r="BH134" s="45">
        <v>0</v>
      </c>
      <c r="BI134" s="46">
        <v>0</v>
      </c>
      <c r="BJ134" s="45">
        <v>0</v>
      </c>
      <c r="BK134" s="46">
        <v>0</v>
      </c>
      <c r="BL134" s="45">
        <v>17</v>
      </c>
      <c r="BM134" s="46">
        <v>85</v>
      </c>
      <c r="BN134" s="45">
        <v>20</v>
      </c>
    </row>
    <row r="135" spans="1:66" ht="15">
      <c r="A135" s="62" t="s">
        <v>305</v>
      </c>
      <c r="B135" s="62" t="s">
        <v>305</v>
      </c>
      <c r="C135" s="64"/>
      <c r="D135" s="67"/>
      <c r="E135" s="68"/>
      <c r="F135" s="69"/>
      <c r="G135" s="64"/>
      <c r="H135" s="70"/>
      <c r="I135" s="71"/>
      <c r="J135" s="71"/>
      <c r="K135" s="31" t="s">
        <v>65</v>
      </c>
      <c r="L135" s="79">
        <v>249</v>
      </c>
      <c r="M135" s="79"/>
      <c r="N135" s="73"/>
      <c r="O135" s="66">
        <v>35</v>
      </c>
      <c r="P135" s="63" t="str">
        <f>REPLACE(INDEX(GroupVertices[Group],MATCH(Edges25[[#This Row],[Vertex 1]],GroupVertices[Vertex],0)),1,1,"")</f>
        <v>4</v>
      </c>
      <c r="Q135" s="63" t="str">
        <f>REPLACE(INDEX(GroupVertices[Group],MATCH(Edges25[[#This Row],[Vertex 2]],GroupVertices[Vertex],0)),1,1,"")</f>
        <v>4</v>
      </c>
      <c r="R135" s="66" t="s">
        <v>241</v>
      </c>
      <c r="S135" s="91">
        <v>44879.38159722222</v>
      </c>
      <c r="T135" s="66" t="s">
        <v>388</v>
      </c>
      <c r="U135" s="94" t="str">
        <f>HYPERLINK("https://institutoeuropeo.es/prensa/madrid-acogera-la-cumbre-internacional-transvision-con-un-enfoque-en-la-biostasis-humana-que-permitira-la-criopreservacion-de-pacientes-para-su-futura-reanimacion/")</f>
        <v>https://institutoeuropeo.es/prensa/madrid-acogera-la-cumbre-internacional-transvision-con-un-enfoque-en-la-biostasis-humana-que-permitira-la-criopreservacion-de-pacientes-para-su-futura-reanimacion/</v>
      </c>
      <c r="V135" s="66" t="s">
        <v>418</v>
      </c>
      <c r="W135" s="97" t="s">
        <v>439</v>
      </c>
      <c r="X135" s="66"/>
      <c r="Y135" s="94" t="str">
        <f>HYPERLINK("https://pbs.twimg.com/profile_images/1078408329045725184/ix0-gmNx_normal.jpg")</f>
        <v>https://pbs.twimg.com/profile_images/1078408329045725184/ix0-gmNx_normal.jpg</v>
      </c>
      <c r="Z135" s="91">
        <v>44879.38159722222</v>
      </c>
      <c r="AA135" s="100">
        <v>44879</v>
      </c>
      <c r="AB135" s="97" t="s">
        <v>569</v>
      </c>
      <c r="AC135" s="94" t="str">
        <f>HYPERLINK("https://twitter.com/cordeiro/status/1592082283854499841")</f>
        <v>https://twitter.com/cordeiro/status/1592082283854499841</v>
      </c>
      <c r="AD135" s="66"/>
      <c r="AE135" s="66"/>
      <c r="AF135" s="97" t="s">
        <v>706</v>
      </c>
      <c r="AG135" s="66"/>
      <c r="AH135" s="66" t="b">
        <v>0</v>
      </c>
      <c r="AI135" s="66">
        <v>0</v>
      </c>
      <c r="AJ135" s="97" t="s">
        <v>712</v>
      </c>
      <c r="AK135" s="66" t="b">
        <v>0</v>
      </c>
      <c r="AL135" s="66" t="s">
        <v>715</v>
      </c>
      <c r="AM135" s="66"/>
      <c r="AN135" s="97" t="s">
        <v>712</v>
      </c>
      <c r="AO135" s="66" t="b">
        <v>0</v>
      </c>
      <c r="AP135" s="66">
        <v>0</v>
      </c>
      <c r="AQ135" s="97" t="s">
        <v>712</v>
      </c>
      <c r="AR135" s="97" t="s">
        <v>724</v>
      </c>
      <c r="AS135" s="66" t="b">
        <v>0</v>
      </c>
      <c r="AT135" s="97" t="s">
        <v>706</v>
      </c>
      <c r="AU135" s="66" t="s">
        <v>241</v>
      </c>
      <c r="AV135" s="66">
        <v>0</v>
      </c>
      <c r="AW135" s="66">
        <v>0</v>
      </c>
      <c r="AX135" s="66"/>
      <c r="AY135" s="66"/>
      <c r="AZ135" s="66"/>
      <c r="BA135" s="66"/>
      <c r="BB135" s="66"/>
      <c r="BC135" s="66"/>
      <c r="BD135" s="66"/>
      <c r="BE135" s="66"/>
      <c r="BF135" s="45">
        <v>0</v>
      </c>
      <c r="BG135" s="46">
        <v>0</v>
      </c>
      <c r="BH135" s="45">
        <v>0</v>
      </c>
      <c r="BI135" s="46">
        <v>0</v>
      </c>
      <c r="BJ135" s="45">
        <v>0</v>
      </c>
      <c r="BK135" s="46">
        <v>0</v>
      </c>
      <c r="BL135" s="45">
        <v>22</v>
      </c>
      <c r="BM135" s="46">
        <v>62.857142857142854</v>
      </c>
      <c r="BN135" s="45">
        <v>35</v>
      </c>
    </row>
    <row r="136" spans="1:66" ht="15">
      <c r="A136" s="62" t="s">
        <v>305</v>
      </c>
      <c r="B136" s="62" t="s">
        <v>305</v>
      </c>
      <c r="C136" s="64"/>
      <c r="D136" s="67"/>
      <c r="E136" s="68"/>
      <c r="F136" s="69"/>
      <c r="G136" s="64"/>
      <c r="H136" s="70"/>
      <c r="I136" s="71"/>
      <c r="J136" s="71"/>
      <c r="K136" s="31" t="s">
        <v>65</v>
      </c>
      <c r="L136" s="79">
        <v>250</v>
      </c>
      <c r="M136" s="79"/>
      <c r="N136" s="73"/>
      <c r="O136" s="66">
        <v>35</v>
      </c>
      <c r="P136" s="63" t="str">
        <f>REPLACE(INDEX(GroupVertices[Group],MATCH(Edges25[[#This Row],[Vertex 1]],GroupVertices[Vertex],0)),1,1,"")</f>
        <v>4</v>
      </c>
      <c r="Q136" s="63" t="str">
        <f>REPLACE(INDEX(GroupVertices[Group],MATCH(Edges25[[#This Row],[Vertex 2]],GroupVertices[Vertex],0)),1,1,"")</f>
        <v>4</v>
      </c>
      <c r="R136" s="66" t="s">
        <v>241</v>
      </c>
      <c r="S136" s="91">
        <v>44879.923101851855</v>
      </c>
      <c r="T136" s="66" t="s">
        <v>389</v>
      </c>
      <c r="U136" s="94" t="str">
        <f>HYPERLINK("https://www.eldebate.com/salud-y-bienestar/salud/20221114/ramon-risco-criopreservacion-viable-humanos_72431.html#utm_source=rrss-comp&amp;utm_medium=wh&amp;utm_campaign=fixed-btn")</f>
        <v>https://www.eldebate.com/salud-y-bienestar/salud/20221114/ramon-risco-criopreservacion-viable-humanos_72431.html#utm_source=rrss-comp&amp;utm_medium=wh&amp;utm_campaign=fixed-btn</v>
      </c>
      <c r="V136" s="66" t="s">
        <v>415</v>
      </c>
      <c r="W136" s="97" t="s">
        <v>436</v>
      </c>
      <c r="X136" s="66"/>
      <c r="Y136" s="94" t="str">
        <f>HYPERLINK("https://pbs.twimg.com/profile_images/1078408329045725184/ix0-gmNx_normal.jpg")</f>
        <v>https://pbs.twimg.com/profile_images/1078408329045725184/ix0-gmNx_normal.jpg</v>
      </c>
      <c r="Z136" s="91">
        <v>44879.923101851855</v>
      </c>
      <c r="AA136" s="100">
        <v>44879</v>
      </c>
      <c r="AB136" s="97" t="s">
        <v>570</v>
      </c>
      <c r="AC136" s="94" t="str">
        <f>HYPERLINK("https://twitter.com/cordeiro/status/1592278517856845827")</f>
        <v>https://twitter.com/cordeiro/status/1592278517856845827</v>
      </c>
      <c r="AD136" s="66"/>
      <c r="AE136" s="66"/>
      <c r="AF136" s="97" t="s">
        <v>707</v>
      </c>
      <c r="AG136" s="66"/>
      <c r="AH136" s="66" t="b">
        <v>0</v>
      </c>
      <c r="AI136" s="66">
        <v>1</v>
      </c>
      <c r="AJ136" s="97" t="s">
        <v>712</v>
      </c>
      <c r="AK136" s="66" t="b">
        <v>0</v>
      </c>
      <c r="AL136" s="66" t="s">
        <v>715</v>
      </c>
      <c r="AM136" s="66"/>
      <c r="AN136" s="97" t="s">
        <v>712</v>
      </c>
      <c r="AO136" s="66" t="b">
        <v>0</v>
      </c>
      <c r="AP136" s="66">
        <v>1</v>
      </c>
      <c r="AQ136" s="97" t="s">
        <v>712</v>
      </c>
      <c r="AR136" s="97" t="s">
        <v>724</v>
      </c>
      <c r="AS136" s="66" t="b">
        <v>0</v>
      </c>
      <c r="AT136" s="97" t="s">
        <v>707</v>
      </c>
      <c r="AU136" s="66" t="s">
        <v>241</v>
      </c>
      <c r="AV136" s="66">
        <v>0</v>
      </c>
      <c r="AW136" s="66">
        <v>0</v>
      </c>
      <c r="AX136" s="66"/>
      <c r="AY136" s="66"/>
      <c r="AZ136" s="66"/>
      <c r="BA136" s="66"/>
      <c r="BB136" s="66"/>
      <c r="BC136" s="66"/>
      <c r="BD136" s="66"/>
      <c r="BE136" s="66"/>
      <c r="BF136" s="45">
        <v>0</v>
      </c>
      <c r="BG136" s="46">
        <v>0</v>
      </c>
      <c r="BH136" s="45">
        <v>0</v>
      </c>
      <c r="BI136" s="46">
        <v>0</v>
      </c>
      <c r="BJ136" s="45">
        <v>0</v>
      </c>
      <c r="BK136" s="46">
        <v>0</v>
      </c>
      <c r="BL136" s="45">
        <v>13</v>
      </c>
      <c r="BM136" s="46">
        <v>68.42105263157895</v>
      </c>
      <c r="BN136" s="45">
        <v>19</v>
      </c>
    </row>
    <row r="137" spans="1:66" ht="15">
      <c r="A137" s="62" t="s">
        <v>305</v>
      </c>
      <c r="B137" s="62" t="s">
        <v>305</v>
      </c>
      <c r="C137" s="64"/>
      <c r="D137" s="67"/>
      <c r="E137" s="68"/>
      <c r="F137" s="69"/>
      <c r="G137" s="64"/>
      <c r="H137" s="70"/>
      <c r="I137" s="71"/>
      <c r="J137" s="71"/>
      <c r="K137" s="31" t="s">
        <v>65</v>
      </c>
      <c r="L137" s="79">
        <v>251</v>
      </c>
      <c r="M137" s="79"/>
      <c r="N137" s="73"/>
      <c r="O137" s="66">
        <v>35</v>
      </c>
      <c r="P137" s="63" t="str">
        <f>REPLACE(INDEX(GroupVertices[Group],MATCH(Edges25[[#This Row],[Vertex 1]],GroupVertices[Vertex],0)),1,1,"")</f>
        <v>4</v>
      </c>
      <c r="Q137" s="63" t="str">
        <f>REPLACE(INDEX(GroupVertices[Group],MATCH(Edges25[[#This Row],[Vertex 2]],GroupVertices[Vertex],0)),1,1,"")</f>
        <v>4</v>
      </c>
      <c r="R137" s="66" t="s">
        <v>241</v>
      </c>
      <c r="S137" s="91">
        <v>44880.673101851855</v>
      </c>
      <c r="T137" s="66" t="s">
        <v>390</v>
      </c>
      <c r="U137" s="94" t="str">
        <f>HYPERLINK("https://www.eldebate.com/salud-y-bienestar/salud/20221113/criopreservacion-reto-ciencia-siglo-xxi_72373.html")</f>
        <v>https://www.eldebate.com/salud-y-bienestar/salud/20221113/criopreservacion-reto-ciencia-siglo-xxi_72373.html</v>
      </c>
      <c r="V137" s="66" t="s">
        <v>415</v>
      </c>
      <c r="W137" s="97" t="s">
        <v>440</v>
      </c>
      <c r="X137" s="66"/>
      <c r="Y137" s="94" t="str">
        <f>HYPERLINK("https://pbs.twimg.com/profile_images/1078408329045725184/ix0-gmNx_normal.jpg")</f>
        <v>https://pbs.twimg.com/profile_images/1078408329045725184/ix0-gmNx_normal.jpg</v>
      </c>
      <c r="Z137" s="91">
        <v>44880.673101851855</v>
      </c>
      <c r="AA137" s="100">
        <v>44880</v>
      </c>
      <c r="AB137" s="97" t="s">
        <v>571</v>
      </c>
      <c r="AC137" s="94" t="str">
        <f>HYPERLINK("https://twitter.com/cordeiro/status/1592550308684746758")</f>
        <v>https://twitter.com/cordeiro/status/1592550308684746758</v>
      </c>
      <c r="AD137" s="66"/>
      <c r="AE137" s="66"/>
      <c r="AF137" s="97" t="s">
        <v>708</v>
      </c>
      <c r="AG137" s="66"/>
      <c r="AH137" s="66" t="b">
        <v>0</v>
      </c>
      <c r="AI137" s="66">
        <v>1</v>
      </c>
      <c r="AJ137" s="97" t="s">
        <v>712</v>
      </c>
      <c r="AK137" s="66" t="b">
        <v>0</v>
      </c>
      <c r="AL137" s="66" t="s">
        <v>715</v>
      </c>
      <c r="AM137" s="66"/>
      <c r="AN137" s="97" t="s">
        <v>712</v>
      </c>
      <c r="AO137" s="66" t="b">
        <v>0</v>
      </c>
      <c r="AP137" s="66">
        <v>0</v>
      </c>
      <c r="AQ137" s="97" t="s">
        <v>712</v>
      </c>
      <c r="AR137" s="97" t="s">
        <v>724</v>
      </c>
      <c r="AS137" s="66" t="b">
        <v>0</v>
      </c>
      <c r="AT137" s="97" t="s">
        <v>708</v>
      </c>
      <c r="AU137" s="66" t="s">
        <v>241</v>
      </c>
      <c r="AV137" s="66">
        <v>0</v>
      </c>
      <c r="AW137" s="66">
        <v>0</v>
      </c>
      <c r="AX137" s="66"/>
      <c r="AY137" s="66"/>
      <c r="AZ137" s="66"/>
      <c r="BA137" s="66"/>
      <c r="BB137" s="66"/>
      <c r="BC137" s="66"/>
      <c r="BD137" s="66"/>
      <c r="BE137" s="66"/>
      <c r="BF137" s="45">
        <v>0</v>
      </c>
      <c r="BG137" s="46">
        <v>0</v>
      </c>
      <c r="BH137" s="45">
        <v>0</v>
      </c>
      <c r="BI137" s="46">
        <v>0</v>
      </c>
      <c r="BJ137" s="45">
        <v>0</v>
      </c>
      <c r="BK137" s="46">
        <v>0</v>
      </c>
      <c r="BL137" s="45">
        <v>11</v>
      </c>
      <c r="BM137" s="46">
        <v>68.75</v>
      </c>
      <c r="BN137" s="45">
        <v>16</v>
      </c>
    </row>
    <row r="138" spans="1:66" ht="15">
      <c r="A138" s="62" t="s">
        <v>305</v>
      </c>
      <c r="B138" s="62" t="s">
        <v>305</v>
      </c>
      <c r="C138" s="64"/>
      <c r="D138" s="67"/>
      <c r="E138" s="68"/>
      <c r="F138" s="69"/>
      <c r="G138" s="64"/>
      <c r="H138" s="70"/>
      <c r="I138" s="71"/>
      <c r="J138" s="71"/>
      <c r="K138" s="31" t="s">
        <v>65</v>
      </c>
      <c r="L138" s="79">
        <v>252</v>
      </c>
      <c r="M138" s="79"/>
      <c r="N138" s="73"/>
      <c r="O138" s="66">
        <v>35</v>
      </c>
      <c r="P138" s="63" t="str">
        <f>REPLACE(INDEX(GroupVertices[Group],MATCH(Edges25[[#This Row],[Vertex 1]],GroupVertices[Vertex],0)),1,1,"")</f>
        <v>4</v>
      </c>
      <c r="Q138" s="63" t="str">
        <f>REPLACE(INDEX(GroupVertices[Group],MATCH(Edges25[[#This Row],[Vertex 2]],GroupVertices[Vertex],0)),1,1,"")</f>
        <v>4</v>
      </c>
      <c r="R138" s="66" t="s">
        <v>241</v>
      </c>
      <c r="S138" s="91">
        <v>44883.39127314815</v>
      </c>
      <c r="T138" s="66" t="s">
        <v>391</v>
      </c>
      <c r="U138" s="94" t="str">
        <f>HYPERLINK("https://www.epe.es/es/tendencias-21/20221117/quedarian-100-anos-ver-primera-78673460")</f>
        <v>https://www.epe.es/es/tendencias-21/20221117/quedarian-100-anos-ver-primera-78673460</v>
      </c>
      <c r="V138" s="66" t="s">
        <v>419</v>
      </c>
      <c r="W138" s="97" t="s">
        <v>436</v>
      </c>
      <c r="X138" s="66"/>
      <c r="Y138" s="94" t="str">
        <f>HYPERLINK("https://pbs.twimg.com/profile_images/1078408329045725184/ix0-gmNx_normal.jpg")</f>
        <v>https://pbs.twimg.com/profile_images/1078408329045725184/ix0-gmNx_normal.jpg</v>
      </c>
      <c r="Z138" s="91">
        <v>44883.39127314815</v>
      </c>
      <c r="AA138" s="100">
        <v>44883</v>
      </c>
      <c r="AB138" s="97" t="s">
        <v>572</v>
      </c>
      <c r="AC138" s="94" t="str">
        <f>HYPERLINK("https://twitter.com/cordeiro/status/1593535339926274049")</f>
        <v>https://twitter.com/cordeiro/status/1593535339926274049</v>
      </c>
      <c r="AD138" s="66"/>
      <c r="AE138" s="66"/>
      <c r="AF138" s="97" t="s">
        <v>709</v>
      </c>
      <c r="AG138" s="66"/>
      <c r="AH138" s="66" t="b">
        <v>0</v>
      </c>
      <c r="AI138" s="66">
        <v>0</v>
      </c>
      <c r="AJ138" s="97" t="s">
        <v>712</v>
      </c>
      <c r="AK138" s="66" t="b">
        <v>0</v>
      </c>
      <c r="AL138" s="66" t="s">
        <v>715</v>
      </c>
      <c r="AM138" s="66"/>
      <c r="AN138" s="97" t="s">
        <v>712</v>
      </c>
      <c r="AO138" s="66" t="b">
        <v>0</v>
      </c>
      <c r="AP138" s="66">
        <v>0</v>
      </c>
      <c r="AQ138" s="97" t="s">
        <v>712</v>
      </c>
      <c r="AR138" s="97" t="s">
        <v>724</v>
      </c>
      <c r="AS138" s="66" t="b">
        <v>0</v>
      </c>
      <c r="AT138" s="97" t="s">
        <v>709</v>
      </c>
      <c r="AU138" s="66" t="s">
        <v>241</v>
      </c>
      <c r="AV138" s="66">
        <v>0</v>
      </c>
      <c r="AW138" s="66">
        <v>0</v>
      </c>
      <c r="AX138" s="66"/>
      <c r="AY138" s="66"/>
      <c r="AZ138" s="66"/>
      <c r="BA138" s="66"/>
      <c r="BB138" s="66"/>
      <c r="BC138" s="66"/>
      <c r="BD138" s="66"/>
      <c r="BE138" s="66"/>
      <c r="BF138" s="45">
        <v>0</v>
      </c>
      <c r="BG138" s="46">
        <v>0</v>
      </c>
      <c r="BH138" s="45">
        <v>0</v>
      </c>
      <c r="BI138" s="46">
        <v>0</v>
      </c>
      <c r="BJ138" s="45">
        <v>0</v>
      </c>
      <c r="BK138" s="46">
        <v>0</v>
      </c>
      <c r="BL138" s="45">
        <v>11</v>
      </c>
      <c r="BM138" s="46">
        <v>78.57142857142857</v>
      </c>
      <c r="BN138" s="45">
        <v>14</v>
      </c>
    </row>
    <row r="139" spans="1:66" ht="15">
      <c r="A139" s="80" t="s">
        <v>305</v>
      </c>
      <c r="B139" s="80" t="s">
        <v>305</v>
      </c>
      <c r="C139" s="114"/>
      <c r="D139" s="115"/>
      <c r="E139" s="116"/>
      <c r="F139" s="117"/>
      <c r="G139" s="114"/>
      <c r="H139" s="118"/>
      <c r="I139" s="119"/>
      <c r="J139" s="119"/>
      <c r="K139" s="31" t="s">
        <v>65</v>
      </c>
      <c r="L139" s="120">
        <v>253</v>
      </c>
      <c r="M139" s="120"/>
      <c r="N139" s="88"/>
      <c r="O139" s="89">
        <v>35</v>
      </c>
      <c r="P139" s="63" t="str">
        <f>REPLACE(INDEX(GroupVertices[Group],MATCH(Edges25[[#This Row],[Vertex 1]],GroupVertices[Vertex],0)),1,1,"")</f>
        <v>4</v>
      </c>
      <c r="Q139" s="63" t="str">
        <f>REPLACE(INDEX(GroupVertices[Group],MATCH(Edges25[[#This Row],[Vertex 2]],GroupVertices[Vertex],0)),1,1,"")</f>
        <v>4</v>
      </c>
      <c r="R139" s="89" t="s">
        <v>241</v>
      </c>
      <c r="S139" s="92">
        <v>44883.67327546296</v>
      </c>
      <c r="T139" s="89" t="s">
        <v>392</v>
      </c>
      <c r="U139" s="95" t="str">
        <f>HYPERLINK("https://www.cuatro.com/horizonte/20221110/ambulancias-futuro-criopreservar-cuerpos-asi-son_18_07948877.html")</f>
        <v>https://www.cuatro.com/horizonte/20221110/ambulancias-futuro-criopreservar-cuerpos-asi-son_18_07948877.html</v>
      </c>
      <c r="V139" s="89" t="s">
        <v>420</v>
      </c>
      <c r="W139" s="98" t="s">
        <v>441</v>
      </c>
      <c r="X139" s="89"/>
      <c r="Y139" s="95" t="str">
        <f>HYPERLINK("https://pbs.twimg.com/profile_images/1078408329045725184/ix0-gmNx_normal.jpg")</f>
        <v>https://pbs.twimg.com/profile_images/1078408329045725184/ix0-gmNx_normal.jpg</v>
      </c>
      <c r="Z139" s="92">
        <v>44883.67327546296</v>
      </c>
      <c r="AA139" s="101">
        <v>44883</v>
      </c>
      <c r="AB139" s="98" t="s">
        <v>573</v>
      </c>
      <c r="AC139" s="95" t="str">
        <f>HYPERLINK("https://twitter.com/cordeiro/status/1593637537586839556")</f>
        <v>https://twitter.com/cordeiro/status/1593637537586839556</v>
      </c>
      <c r="AD139" s="89"/>
      <c r="AE139" s="89"/>
      <c r="AF139" s="98" t="s">
        <v>710</v>
      </c>
      <c r="AG139" s="89"/>
      <c r="AH139" s="89" t="b">
        <v>0</v>
      </c>
      <c r="AI139" s="89">
        <v>0</v>
      </c>
      <c r="AJ139" s="98" t="s">
        <v>712</v>
      </c>
      <c r="AK139" s="89" t="b">
        <v>0</v>
      </c>
      <c r="AL139" s="89" t="s">
        <v>715</v>
      </c>
      <c r="AM139" s="89"/>
      <c r="AN139" s="98" t="s">
        <v>712</v>
      </c>
      <c r="AO139" s="89" t="b">
        <v>0</v>
      </c>
      <c r="AP139" s="89">
        <v>0</v>
      </c>
      <c r="AQ139" s="98" t="s">
        <v>712</v>
      </c>
      <c r="AR139" s="98" t="s">
        <v>724</v>
      </c>
      <c r="AS139" s="89" t="b">
        <v>0</v>
      </c>
      <c r="AT139" s="98" t="s">
        <v>710</v>
      </c>
      <c r="AU139" s="89" t="s">
        <v>241</v>
      </c>
      <c r="AV139" s="89">
        <v>0</v>
      </c>
      <c r="AW139" s="89">
        <v>0</v>
      </c>
      <c r="AX139" s="89"/>
      <c r="AY139" s="89"/>
      <c r="AZ139" s="89"/>
      <c r="BA139" s="89"/>
      <c r="BB139" s="89"/>
      <c r="BC139" s="89"/>
      <c r="BD139" s="89"/>
      <c r="BE139" s="89"/>
      <c r="BF139" s="45">
        <v>0</v>
      </c>
      <c r="BG139" s="46">
        <v>0</v>
      </c>
      <c r="BH139" s="45">
        <v>0</v>
      </c>
      <c r="BI139" s="46">
        <v>0</v>
      </c>
      <c r="BJ139" s="45">
        <v>0</v>
      </c>
      <c r="BK139" s="46">
        <v>0</v>
      </c>
      <c r="BL139" s="45">
        <v>9</v>
      </c>
      <c r="BM139" s="46">
        <v>75</v>
      </c>
      <c r="BN139" s="45">
        <v>12</v>
      </c>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allowBlank="1" showInputMessage="1" showErrorMessage="1" promptTitle="Vertex 2 Name" prompt="Enter the name of the edge's second vertex." sqref="B3:B139"/>
    <dataValidation allowBlank="1" showInputMessage="1" showErrorMessage="1" promptTitle="Vertex 1 Name" prompt="Enter the name of the edge's first vertex." sqref="A3:A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Color" prompt="To select an optional edge color, right-click and select Select Color on the right-click menu." sqref="C3:C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ErrorMessage="1" sqref="N2:N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A8CAA-0AE2-4890-A74D-86E6FB9E430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1469</v>
      </c>
      <c r="B1" s="7" t="s">
        <v>34</v>
      </c>
    </row>
    <row r="2" spans="1:2" ht="15">
      <c r="A2" s="61" t="s">
        <v>298</v>
      </c>
      <c r="B2" s="63">
        <v>542.296825</v>
      </c>
    </row>
    <row r="3" spans="1:2" ht="15">
      <c r="A3" s="103" t="s">
        <v>305</v>
      </c>
      <c r="B3" s="63">
        <v>231.185714</v>
      </c>
    </row>
    <row r="4" spans="1:2" ht="15">
      <c r="A4" s="103" t="s">
        <v>297</v>
      </c>
      <c r="B4" s="63">
        <v>190.65873</v>
      </c>
    </row>
    <row r="5" spans="1:2" ht="15">
      <c r="A5" s="103" t="s">
        <v>304</v>
      </c>
      <c r="B5" s="63">
        <v>83.380952</v>
      </c>
    </row>
    <row r="6" spans="1:2" ht="15">
      <c r="A6" s="103" t="s">
        <v>296</v>
      </c>
      <c r="B6" s="63">
        <v>38.992063</v>
      </c>
    </row>
    <row r="7" spans="1:2" ht="15">
      <c r="A7" s="103" t="s">
        <v>283</v>
      </c>
      <c r="B7" s="63">
        <v>30.111111</v>
      </c>
    </row>
    <row r="8" spans="1:2" ht="15">
      <c r="A8" s="103" t="s">
        <v>282</v>
      </c>
      <c r="B8" s="63">
        <v>30.111111</v>
      </c>
    </row>
    <row r="9" spans="1:2" ht="15">
      <c r="A9" s="103" t="s">
        <v>290</v>
      </c>
      <c r="B9" s="63">
        <v>30.111111</v>
      </c>
    </row>
    <row r="10" spans="1:2" ht="15">
      <c r="A10" s="103" t="s">
        <v>310</v>
      </c>
      <c r="B10" s="63">
        <v>15.428571</v>
      </c>
    </row>
    <row r="11" spans="1:2" ht="15">
      <c r="A11" s="103" t="s">
        <v>301</v>
      </c>
      <c r="B11" s="63">
        <v>13.368254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A7751-F2BE-4220-8DF5-4AE4B92E5698}">
  <dimension ref="A25:B91"/>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2" t="s">
        <v>1471</v>
      </c>
      <c r="B25" t="s">
        <v>1470</v>
      </c>
    </row>
    <row r="26" spans="1:2" ht="15">
      <c r="A26" s="123" t="s">
        <v>1473</v>
      </c>
      <c r="B26" s="121">
        <v>137</v>
      </c>
    </row>
    <row r="27" spans="1:2" ht="15">
      <c r="A27" s="124" t="s">
        <v>1474</v>
      </c>
      <c r="B27" s="121">
        <v>137</v>
      </c>
    </row>
    <row r="28" spans="1:2" ht="15">
      <c r="A28" s="125" t="s">
        <v>1475</v>
      </c>
      <c r="B28" s="121">
        <v>6</v>
      </c>
    </row>
    <row r="29" spans="1:2" ht="15">
      <c r="A29" s="126" t="s">
        <v>1476</v>
      </c>
      <c r="B29" s="121">
        <v>1</v>
      </c>
    </row>
    <row r="30" spans="1:2" ht="15">
      <c r="A30" s="126" t="s">
        <v>1477</v>
      </c>
      <c r="B30" s="121">
        <v>1</v>
      </c>
    </row>
    <row r="31" spans="1:2" ht="15">
      <c r="A31" s="126" t="s">
        <v>1478</v>
      </c>
      <c r="B31" s="121">
        <v>1</v>
      </c>
    </row>
    <row r="32" spans="1:2" ht="15">
      <c r="A32" s="126" t="s">
        <v>1479</v>
      </c>
      <c r="B32" s="121">
        <v>2</v>
      </c>
    </row>
    <row r="33" spans="1:2" ht="15">
      <c r="A33" s="126" t="s">
        <v>1480</v>
      </c>
      <c r="B33" s="121">
        <v>1</v>
      </c>
    </row>
    <row r="34" spans="1:2" ht="15">
      <c r="A34" s="125" t="s">
        <v>1481</v>
      </c>
      <c r="B34" s="121">
        <v>10</v>
      </c>
    </row>
    <row r="35" spans="1:2" ht="15">
      <c r="A35" s="126" t="s">
        <v>1476</v>
      </c>
      <c r="B35" s="121">
        <v>1</v>
      </c>
    </row>
    <row r="36" spans="1:2" ht="15">
      <c r="A36" s="126" t="s">
        <v>1477</v>
      </c>
      <c r="B36" s="121">
        <v>3</v>
      </c>
    </row>
    <row r="37" spans="1:2" ht="15">
      <c r="A37" s="126" t="s">
        <v>1482</v>
      </c>
      <c r="B37" s="121">
        <v>1</v>
      </c>
    </row>
    <row r="38" spans="1:2" ht="15">
      <c r="A38" s="126" t="s">
        <v>1478</v>
      </c>
      <c r="B38" s="121">
        <v>1</v>
      </c>
    </row>
    <row r="39" spans="1:2" ht="15">
      <c r="A39" s="126" t="s">
        <v>1479</v>
      </c>
      <c r="B39" s="121">
        <v>1</v>
      </c>
    </row>
    <row r="40" spans="1:2" ht="15">
      <c r="A40" s="126" t="s">
        <v>1483</v>
      </c>
      <c r="B40" s="121">
        <v>1</v>
      </c>
    </row>
    <row r="41" spans="1:2" ht="15">
      <c r="A41" s="126" t="s">
        <v>1484</v>
      </c>
      <c r="B41" s="121">
        <v>1</v>
      </c>
    </row>
    <row r="42" spans="1:2" ht="15">
      <c r="A42" s="126" t="s">
        <v>1480</v>
      </c>
      <c r="B42" s="121">
        <v>1</v>
      </c>
    </row>
    <row r="43" spans="1:2" ht="15">
      <c r="A43" s="125" t="s">
        <v>1485</v>
      </c>
      <c r="B43" s="121">
        <v>65</v>
      </c>
    </row>
    <row r="44" spans="1:2" ht="15">
      <c r="A44" s="126" t="s">
        <v>1486</v>
      </c>
      <c r="B44" s="121">
        <v>1</v>
      </c>
    </row>
    <row r="45" spans="1:2" ht="15">
      <c r="A45" s="126" t="s">
        <v>1487</v>
      </c>
      <c r="B45" s="121">
        <v>1</v>
      </c>
    </row>
    <row r="46" spans="1:2" ht="15">
      <c r="A46" s="126" t="s">
        <v>1488</v>
      </c>
      <c r="B46" s="121">
        <v>1</v>
      </c>
    </row>
    <row r="47" spans="1:2" ht="15">
      <c r="A47" s="126" t="s">
        <v>1476</v>
      </c>
      <c r="B47" s="121">
        <v>11</v>
      </c>
    </row>
    <row r="48" spans="1:2" ht="15">
      <c r="A48" s="126" t="s">
        <v>1477</v>
      </c>
      <c r="B48" s="121">
        <v>13</v>
      </c>
    </row>
    <row r="49" spans="1:2" ht="15">
      <c r="A49" s="126" t="s">
        <v>1489</v>
      </c>
      <c r="B49" s="121">
        <v>4</v>
      </c>
    </row>
    <row r="50" spans="1:2" ht="15">
      <c r="A50" s="126" t="s">
        <v>1490</v>
      </c>
      <c r="B50" s="121">
        <v>4</v>
      </c>
    </row>
    <row r="51" spans="1:2" ht="15">
      <c r="A51" s="126" t="s">
        <v>1482</v>
      </c>
      <c r="B51" s="121">
        <v>7</v>
      </c>
    </row>
    <row r="52" spans="1:2" ht="15">
      <c r="A52" s="126" t="s">
        <v>1491</v>
      </c>
      <c r="B52" s="121">
        <v>14</v>
      </c>
    </row>
    <row r="53" spans="1:2" ht="15">
      <c r="A53" s="126" t="s">
        <v>1478</v>
      </c>
      <c r="B53" s="121">
        <v>4</v>
      </c>
    </row>
    <row r="54" spans="1:2" ht="15">
      <c r="A54" s="126" t="s">
        <v>1479</v>
      </c>
      <c r="B54" s="121">
        <v>1</v>
      </c>
    </row>
    <row r="55" spans="1:2" ht="15">
      <c r="A55" s="126" t="s">
        <v>1483</v>
      </c>
      <c r="B55" s="121">
        <v>1</v>
      </c>
    </row>
    <row r="56" spans="1:2" ht="15">
      <c r="A56" s="126" t="s">
        <v>1484</v>
      </c>
      <c r="B56" s="121">
        <v>1</v>
      </c>
    </row>
    <row r="57" spans="1:2" ht="15">
      <c r="A57" s="126" t="s">
        <v>1480</v>
      </c>
      <c r="B57" s="121">
        <v>1</v>
      </c>
    </row>
    <row r="58" spans="1:2" ht="15">
      <c r="A58" s="126" t="s">
        <v>1492</v>
      </c>
      <c r="B58" s="121">
        <v>1</v>
      </c>
    </row>
    <row r="59" spans="1:2" ht="15">
      <c r="A59" s="125" t="s">
        <v>1493</v>
      </c>
      <c r="B59" s="121">
        <v>31</v>
      </c>
    </row>
    <row r="60" spans="1:2" ht="15">
      <c r="A60" s="126" t="s">
        <v>1487</v>
      </c>
      <c r="B60" s="121">
        <v>1</v>
      </c>
    </row>
    <row r="61" spans="1:2" ht="15">
      <c r="A61" s="126" t="s">
        <v>1494</v>
      </c>
      <c r="B61" s="121">
        <v>1</v>
      </c>
    </row>
    <row r="62" spans="1:2" ht="15">
      <c r="A62" s="126" t="s">
        <v>1495</v>
      </c>
      <c r="B62" s="121">
        <v>5</v>
      </c>
    </row>
    <row r="63" spans="1:2" ht="15">
      <c r="A63" s="126" t="s">
        <v>1488</v>
      </c>
      <c r="B63" s="121">
        <v>4</v>
      </c>
    </row>
    <row r="64" spans="1:2" ht="15">
      <c r="A64" s="126" t="s">
        <v>1476</v>
      </c>
      <c r="B64" s="121">
        <v>1</v>
      </c>
    </row>
    <row r="65" spans="1:2" ht="15">
      <c r="A65" s="126" t="s">
        <v>1477</v>
      </c>
      <c r="B65" s="121">
        <v>6</v>
      </c>
    </row>
    <row r="66" spans="1:2" ht="15">
      <c r="A66" s="126" t="s">
        <v>1489</v>
      </c>
      <c r="B66" s="121">
        <v>1</v>
      </c>
    </row>
    <row r="67" spans="1:2" ht="15">
      <c r="A67" s="126" t="s">
        <v>1478</v>
      </c>
      <c r="B67" s="121">
        <v>5</v>
      </c>
    </row>
    <row r="68" spans="1:2" ht="15">
      <c r="A68" s="126" t="s">
        <v>1496</v>
      </c>
      <c r="B68" s="121">
        <v>1</v>
      </c>
    </row>
    <row r="69" spans="1:2" ht="15">
      <c r="A69" s="126" t="s">
        <v>1483</v>
      </c>
      <c r="B69" s="121">
        <v>1</v>
      </c>
    </row>
    <row r="70" spans="1:2" ht="15">
      <c r="A70" s="126" t="s">
        <v>1484</v>
      </c>
      <c r="B70" s="121">
        <v>2</v>
      </c>
    </row>
    <row r="71" spans="1:2" ht="15">
      <c r="A71" s="126" t="s">
        <v>1480</v>
      </c>
      <c r="B71" s="121">
        <v>3</v>
      </c>
    </row>
    <row r="72" spans="1:2" ht="15">
      <c r="A72" s="125" t="s">
        <v>1497</v>
      </c>
      <c r="B72" s="121">
        <v>17</v>
      </c>
    </row>
    <row r="73" spans="1:2" ht="15">
      <c r="A73" s="126" t="s">
        <v>1495</v>
      </c>
      <c r="B73" s="121">
        <v>1</v>
      </c>
    </row>
    <row r="74" spans="1:2" ht="15">
      <c r="A74" s="126" t="s">
        <v>1488</v>
      </c>
      <c r="B74" s="121">
        <v>4</v>
      </c>
    </row>
    <row r="75" spans="1:2" ht="15">
      <c r="A75" s="126" t="s">
        <v>1476</v>
      </c>
      <c r="B75" s="121">
        <v>7</v>
      </c>
    </row>
    <row r="76" spans="1:2" ht="15">
      <c r="A76" s="126" t="s">
        <v>1490</v>
      </c>
      <c r="B76" s="121">
        <v>1</v>
      </c>
    </row>
    <row r="77" spans="1:2" ht="15">
      <c r="A77" s="126" t="s">
        <v>1479</v>
      </c>
      <c r="B77" s="121">
        <v>1</v>
      </c>
    </row>
    <row r="78" spans="1:2" ht="15">
      <c r="A78" s="126" t="s">
        <v>1498</v>
      </c>
      <c r="B78" s="121">
        <v>2</v>
      </c>
    </row>
    <row r="79" spans="1:2" ht="15">
      <c r="A79" s="126" t="s">
        <v>1480</v>
      </c>
      <c r="B79" s="121">
        <v>1</v>
      </c>
    </row>
    <row r="80" spans="1:2" ht="15">
      <c r="A80" s="125" t="s">
        <v>1499</v>
      </c>
      <c r="B80" s="121">
        <v>2</v>
      </c>
    </row>
    <row r="81" spans="1:2" ht="15">
      <c r="A81" s="126" t="s">
        <v>1490</v>
      </c>
      <c r="B81" s="121">
        <v>1</v>
      </c>
    </row>
    <row r="82" spans="1:2" ht="15">
      <c r="A82" s="126" t="s">
        <v>1479</v>
      </c>
      <c r="B82" s="121">
        <v>1</v>
      </c>
    </row>
    <row r="83" spans="1:2" ht="15">
      <c r="A83" s="125" t="s">
        <v>1500</v>
      </c>
      <c r="B83" s="121">
        <v>1</v>
      </c>
    </row>
    <row r="84" spans="1:2" ht="15">
      <c r="A84" s="126" t="s">
        <v>1496</v>
      </c>
      <c r="B84" s="121">
        <v>1</v>
      </c>
    </row>
    <row r="85" spans="1:2" ht="15">
      <c r="A85" s="125" t="s">
        <v>1501</v>
      </c>
      <c r="B85" s="121">
        <v>2</v>
      </c>
    </row>
    <row r="86" spans="1:2" ht="15">
      <c r="A86" s="126" t="s">
        <v>1502</v>
      </c>
      <c r="B86" s="121">
        <v>2</v>
      </c>
    </row>
    <row r="87" spans="1:2" ht="15">
      <c r="A87" s="125" t="s">
        <v>1503</v>
      </c>
      <c r="B87" s="121">
        <v>3</v>
      </c>
    </row>
    <row r="88" spans="1:2" ht="15">
      <c r="A88" s="126" t="s">
        <v>1476</v>
      </c>
      <c r="B88" s="121">
        <v>1</v>
      </c>
    </row>
    <row r="89" spans="1:2" ht="15">
      <c r="A89" s="126" t="s">
        <v>1490</v>
      </c>
      <c r="B89" s="121">
        <v>1</v>
      </c>
    </row>
    <row r="90" spans="1:2" ht="15">
      <c r="A90" s="126" t="s">
        <v>1479</v>
      </c>
      <c r="B90" s="121">
        <v>1</v>
      </c>
    </row>
    <row r="91" spans="1:2" ht="15">
      <c r="A91" s="123" t="s">
        <v>1472</v>
      </c>
      <c r="B91" s="121">
        <v>137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15.140625" style="0" customWidth="1"/>
    <col min="32" max="32" width="8.57421875" style="0" customWidth="1"/>
    <col min="33" max="33" width="9.57421875" style="0" customWidth="1"/>
    <col min="34" max="34" width="11.57421875" style="0" customWidth="1"/>
    <col min="35" max="35" width="12.00390625" style="0" customWidth="1"/>
    <col min="36" max="36" width="8.8515625" style="0" customWidth="1"/>
    <col min="37" max="37" width="11.421875" style="0" customWidth="1"/>
    <col min="38" max="38" width="18.00390625" style="0" customWidth="1"/>
    <col min="39" max="39" width="13.421875" style="0" customWidth="1"/>
    <col min="40" max="40" width="10.7109375" style="0" customWidth="1"/>
    <col min="41" max="41" width="7.421875" style="0" customWidth="1"/>
    <col min="42" max="42" width="8.140625" style="0" customWidth="1"/>
    <col min="43" max="43" width="16.421875" style="0" customWidth="1"/>
    <col min="44" max="44" width="12.57421875" style="0" customWidth="1"/>
    <col min="45" max="45" width="10.28125" style="0" customWidth="1"/>
    <col min="46" max="46" width="16.7109375" style="0" customWidth="1"/>
    <col min="47" max="47" width="10.421875" style="0" customWidth="1"/>
    <col min="48" max="48" width="11.57421875" style="0" customWidth="1"/>
    <col min="49" max="49" width="9.00390625" style="0" customWidth="1"/>
    <col min="50" max="50" width="20.57421875" style="0" customWidth="1"/>
    <col min="51" max="51" width="10.57421875" style="0" customWidth="1"/>
    <col min="52" max="53" width="16.00390625" style="0" customWidth="1"/>
    <col min="54" max="54" width="15.140625" style="0" customWidth="1"/>
    <col min="55" max="55" width="17.140625" style="0" customWidth="1"/>
    <col min="56" max="56" width="19.421875" style="0" customWidth="1"/>
    <col min="57" max="57" width="17.28125" style="0" customWidth="1"/>
    <col min="58" max="58" width="19.421875" style="0" customWidth="1"/>
    <col min="59" max="59" width="17.421875" style="0" customWidth="1"/>
    <col min="60" max="60" width="19.421875" style="0" customWidth="1"/>
    <col min="61" max="61" width="17.140625" style="0" customWidth="1"/>
    <col min="62" max="62" width="19.421875" style="0" customWidth="1"/>
    <col min="63" max="63" width="19.28125" style="0" customWidth="1"/>
    <col min="64" max="64" width="19.421875" style="0" customWidth="1"/>
    <col min="65" max="65" width="19.57421875" style="0" customWidth="1"/>
    <col min="66" max="66" width="24.140625" style="0" customWidth="1"/>
    <col min="67" max="67" width="19.57421875" style="0" customWidth="1"/>
    <col min="68" max="68" width="24.140625" style="0" customWidth="1"/>
    <col min="69" max="69" width="19.57421875" style="0" customWidth="1"/>
    <col min="70" max="70" width="24.140625" style="0" customWidth="1"/>
    <col min="71" max="71" width="18.57421875" style="0" customWidth="1"/>
    <col min="72" max="72" width="22.140625" style="0" customWidth="1"/>
    <col min="73" max="73" width="17.2812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73" ht="30" customHeight="1">
      <c r="A2" s="10" t="s">
        <v>5</v>
      </c>
      <c r="B2" t="s">
        <v>1517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176</v>
      </c>
      <c r="AF2" s="7" t="s">
        <v>725</v>
      </c>
      <c r="AG2" s="7" t="s">
        <v>726</v>
      </c>
      <c r="AH2" s="7" t="s">
        <v>727</v>
      </c>
      <c r="AI2" s="7" t="s">
        <v>728</v>
      </c>
      <c r="AJ2" s="7" t="s">
        <v>729</v>
      </c>
      <c r="AK2" s="7" t="s">
        <v>730</v>
      </c>
      <c r="AL2" s="7" t="s">
        <v>731</v>
      </c>
      <c r="AM2" s="7" t="s">
        <v>732</v>
      </c>
      <c r="AN2" s="7" t="s">
        <v>733</v>
      </c>
      <c r="AO2" s="7" t="s">
        <v>734</v>
      </c>
      <c r="AP2" s="7" t="s">
        <v>735</v>
      </c>
      <c r="AQ2" s="7" t="s">
        <v>736</v>
      </c>
      <c r="AR2" s="7" t="s">
        <v>737</v>
      </c>
      <c r="AS2" s="7" t="s">
        <v>738</v>
      </c>
      <c r="AT2" s="7" t="s">
        <v>739</v>
      </c>
      <c r="AU2" s="7" t="s">
        <v>740</v>
      </c>
      <c r="AV2" s="7" t="s">
        <v>259</v>
      </c>
      <c r="AW2" s="7" t="s">
        <v>741</v>
      </c>
      <c r="AX2" s="7" t="s">
        <v>742</v>
      </c>
      <c r="AY2" s="7" t="s">
        <v>743</v>
      </c>
      <c r="AZ2" s="7" t="s">
        <v>744</v>
      </c>
      <c r="BA2" s="7" t="s">
        <v>745</v>
      </c>
      <c r="BB2" s="7" t="s">
        <v>746</v>
      </c>
      <c r="BC2" s="107" t="s">
        <v>1112</v>
      </c>
      <c r="BD2" s="107" t="s">
        <v>1124</v>
      </c>
      <c r="BE2" s="107" t="s">
        <v>1133</v>
      </c>
      <c r="BF2" s="107" t="s">
        <v>1141</v>
      </c>
      <c r="BG2" s="107" t="s">
        <v>1147</v>
      </c>
      <c r="BH2" s="107" t="s">
        <v>1157</v>
      </c>
      <c r="BI2" s="107" t="s">
        <v>1174</v>
      </c>
      <c r="BJ2" s="107" t="s">
        <v>1199</v>
      </c>
      <c r="BK2" s="107" t="s">
        <v>1210</v>
      </c>
      <c r="BL2" s="107" t="s">
        <v>1235</v>
      </c>
      <c r="BM2" s="107" t="s">
        <v>1449</v>
      </c>
      <c r="BN2" s="107" t="s">
        <v>1450</v>
      </c>
      <c r="BO2" s="107" t="s">
        <v>1451</v>
      </c>
      <c r="BP2" s="107" t="s">
        <v>1452</v>
      </c>
      <c r="BQ2" s="107" t="s">
        <v>1453</v>
      </c>
      <c r="BR2" s="107" t="s">
        <v>1454</v>
      </c>
      <c r="BS2" s="107" t="s">
        <v>1455</v>
      </c>
      <c r="BT2" s="107" t="s">
        <v>1456</v>
      </c>
      <c r="BU2" s="107" t="s">
        <v>1458</v>
      </c>
    </row>
    <row r="3" spans="1:73" ht="41.45" customHeight="1">
      <c r="A3" s="62" t="s">
        <v>306</v>
      </c>
      <c r="C3" s="64"/>
      <c r="D3" s="64" t="s">
        <v>64</v>
      </c>
      <c r="E3" s="67">
        <v>443.7602316848068</v>
      </c>
      <c r="F3" s="69"/>
      <c r="G3" s="104" t="str">
        <f>HYPERLINK("https://pbs.twimg.com/profile_images/944497387678175233/rbfWk3yS_normal.jpg")</f>
        <v>https://pbs.twimg.com/profile_images/944497387678175233/rbfWk3yS_normal.jpg</v>
      </c>
      <c r="H3" s="64"/>
      <c r="I3" s="70" t="s">
        <v>306</v>
      </c>
      <c r="J3" s="71"/>
      <c r="K3" s="71"/>
      <c r="L3" s="70" t="s">
        <v>912</v>
      </c>
      <c r="M3" s="74">
        <v>1096.6328765986577</v>
      </c>
      <c r="N3" s="75">
        <v>8710.0927734375</v>
      </c>
      <c r="O3" s="75">
        <v>1138.5565185546875</v>
      </c>
      <c r="P3" s="76"/>
      <c r="Q3" s="77"/>
      <c r="R3" s="77"/>
      <c r="S3" s="45"/>
      <c r="T3" s="45">
        <v>0</v>
      </c>
      <c r="U3" s="45">
        <v>1</v>
      </c>
      <c r="V3" s="46">
        <v>0</v>
      </c>
      <c r="W3" s="46">
        <v>0.393258</v>
      </c>
      <c r="X3" s="46">
        <v>0.02148</v>
      </c>
      <c r="Y3" s="46">
        <v>0.023982</v>
      </c>
      <c r="Z3" s="46">
        <v>0</v>
      </c>
      <c r="AA3" s="46">
        <v>0</v>
      </c>
      <c r="AB3" s="72">
        <v>3</v>
      </c>
      <c r="AC3" s="72"/>
      <c r="AD3" s="73"/>
      <c r="AE3" s="63" t="str">
        <f>REPLACE(INDEX(GroupVertices[Group],MATCH(Vertices[[#This Row],[Vertex]],GroupVertices[Vertex],0)),1,1,"")</f>
        <v>4</v>
      </c>
      <c r="AF3" s="63" t="s">
        <v>782</v>
      </c>
      <c r="AG3" s="96" t="s">
        <v>817</v>
      </c>
      <c r="AH3" s="63">
        <v>11329</v>
      </c>
      <c r="AI3" s="63">
        <v>10604</v>
      </c>
      <c r="AJ3" s="63">
        <v>62305</v>
      </c>
      <c r="AK3" s="63">
        <v>43552</v>
      </c>
      <c r="AL3" s="63"/>
      <c r="AM3" s="63" t="s">
        <v>852</v>
      </c>
      <c r="AN3" s="63" t="s">
        <v>875</v>
      </c>
      <c r="AO3" s="63"/>
      <c r="AP3" s="63"/>
      <c r="AQ3" s="90">
        <v>43074.94635416667</v>
      </c>
      <c r="AR3" s="93" t="str">
        <f>HYPERLINK("https://pbs.twimg.com/profile_banners/938176846541279242/1515973936")</f>
        <v>https://pbs.twimg.com/profile_banners/938176846541279242/1515973936</v>
      </c>
      <c r="AS3" s="63" t="b">
        <v>1</v>
      </c>
      <c r="AT3" s="63" t="b">
        <v>0</v>
      </c>
      <c r="AU3" s="63" t="b">
        <v>1</v>
      </c>
      <c r="AV3" s="63"/>
      <c r="AW3" s="63">
        <v>17</v>
      </c>
      <c r="AX3" s="63"/>
      <c r="AY3" s="63" t="b">
        <v>0</v>
      </c>
      <c r="AZ3" s="63" t="s">
        <v>876</v>
      </c>
      <c r="BA3" s="93" t="str">
        <f>HYPERLINK("https://twitter.com/augustofenollar")</f>
        <v>https://twitter.com/augustofenollar</v>
      </c>
      <c r="BB3" s="63" t="s">
        <v>66</v>
      </c>
      <c r="BC3" s="45" t="s">
        <v>933</v>
      </c>
      <c r="BD3" s="45" t="s">
        <v>933</v>
      </c>
      <c r="BE3" s="45" t="s">
        <v>404</v>
      </c>
      <c r="BF3" s="45" t="s">
        <v>404</v>
      </c>
      <c r="BG3" s="45" t="s">
        <v>425</v>
      </c>
      <c r="BH3" s="45" t="s">
        <v>425</v>
      </c>
      <c r="BI3" s="108" t="s">
        <v>1175</v>
      </c>
      <c r="BJ3" s="108" t="s">
        <v>1175</v>
      </c>
      <c r="BK3" s="108" t="s">
        <v>1211</v>
      </c>
      <c r="BL3" s="108" t="s">
        <v>1211</v>
      </c>
      <c r="BM3" s="108">
        <v>0</v>
      </c>
      <c r="BN3" s="111">
        <v>0</v>
      </c>
      <c r="BO3" s="108">
        <v>0</v>
      </c>
      <c r="BP3" s="111">
        <v>0</v>
      </c>
      <c r="BQ3" s="108">
        <v>0</v>
      </c>
      <c r="BR3" s="111">
        <v>0</v>
      </c>
      <c r="BS3" s="108">
        <v>10</v>
      </c>
      <c r="BT3" s="111">
        <v>76.92307692307692</v>
      </c>
      <c r="BU3" s="108">
        <v>13</v>
      </c>
    </row>
    <row r="4" spans="1:73" ht="41.45" customHeight="1">
      <c r="A4" s="62" t="s">
        <v>305</v>
      </c>
      <c r="C4" s="64"/>
      <c r="D4" s="64" t="s">
        <v>64</v>
      </c>
      <c r="E4" s="67">
        <v>287.9586913627395</v>
      </c>
      <c r="F4" s="69"/>
      <c r="G4" s="104" t="str">
        <f>HYPERLINK("https://pbs.twimg.com/profile_images/1078408329045725184/ix0-gmNx_normal.jpg")</f>
        <v>https://pbs.twimg.com/profile_images/1078408329045725184/ix0-gmNx_normal.jpg</v>
      </c>
      <c r="H4" s="64"/>
      <c r="I4" s="70" t="s">
        <v>305</v>
      </c>
      <c r="J4" s="71"/>
      <c r="K4" s="71"/>
      <c r="L4" s="70" t="s">
        <v>877</v>
      </c>
      <c r="M4" s="74">
        <v>490.7940441245112</v>
      </c>
      <c r="N4" s="75">
        <v>7311.5615234375</v>
      </c>
      <c r="O4" s="75">
        <v>2418.53076171875</v>
      </c>
      <c r="P4" s="76"/>
      <c r="Q4" s="77"/>
      <c r="R4" s="77"/>
      <c r="S4" s="102"/>
      <c r="T4" s="45">
        <v>15</v>
      </c>
      <c r="U4" s="45">
        <v>4</v>
      </c>
      <c r="V4" s="46">
        <v>231.185714</v>
      </c>
      <c r="W4" s="46">
        <v>0.636364</v>
      </c>
      <c r="X4" s="46">
        <v>0.258002</v>
      </c>
      <c r="Y4" s="46">
        <v>0.042086</v>
      </c>
      <c r="Z4" s="46">
        <v>0.19166666666666668</v>
      </c>
      <c r="AA4" s="46">
        <v>0.0625</v>
      </c>
      <c r="AB4" s="72">
        <v>4</v>
      </c>
      <c r="AC4" s="72"/>
      <c r="AD4" s="73"/>
      <c r="AE4" s="63" t="str">
        <f>REPLACE(INDEX(GroupVertices[Group],MATCH(Vertices[[#This Row],[Vertex]],GroupVertices[Vertex],0)),1,1,"")</f>
        <v>4</v>
      </c>
      <c r="AF4" s="63" t="s">
        <v>747</v>
      </c>
      <c r="AG4" s="96" t="s">
        <v>783</v>
      </c>
      <c r="AH4" s="63">
        <v>2311</v>
      </c>
      <c r="AI4" s="63">
        <v>4762</v>
      </c>
      <c r="AJ4" s="63">
        <v>14464</v>
      </c>
      <c r="AK4" s="63">
        <v>16335</v>
      </c>
      <c r="AL4" s="63"/>
      <c r="AM4" s="63" t="s">
        <v>818</v>
      </c>
      <c r="AN4" s="63" t="s">
        <v>853</v>
      </c>
      <c r="AO4" s="93" t="str">
        <f>HYPERLINK("https://t.co/17JV01nyUT")</f>
        <v>https://t.co/17JV01nyUT</v>
      </c>
      <c r="AP4" s="63"/>
      <c r="AQ4" s="90">
        <v>39509.37490740741</v>
      </c>
      <c r="AR4" s="93" t="str">
        <f>HYPERLINK("https://pbs.twimg.com/profile_banners/14068117/1636601808")</f>
        <v>https://pbs.twimg.com/profile_banners/14068117/1636601808</v>
      </c>
      <c r="AS4" s="63" t="b">
        <v>0</v>
      </c>
      <c r="AT4" s="63" t="b">
        <v>0</v>
      </c>
      <c r="AU4" s="63" t="b">
        <v>0</v>
      </c>
      <c r="AV4" s="63"/>
      <c r="AW4" s="63">
        <v>95</v>
      </c>
      <c r="AX4" s="93" t="str">
        <f>HYPERLINK("https://abs.twimg.com/images/themes/theme1/bg.png")</f>
        <v>https://abs.twimg.com/images/themes/theme1/bg.png</v>
      </c>
      <c r="AY4" s="63" t="b">
        <v>0</v>
      </c>
      <c r="AZ4" s="63" t="s">
        <v>876</v>
      </c>
      <c r="BA4" s="93" t="str">
        <f>HYPERLINK("https://twitter.com/cordeiro")</f>
        <v>https://twitter.com/cordeiro</v>
      </c>
      <c r="BB4" s="63" t="s">
        <v>66</v>
      </c>
      <c r="BC4" s="45" t="s">
        <v>1113</v>
      </c>
      <c r="BD4" s="45" t="s">
        <v>1125</v>
      </c>
      <c r="BE4" s="45" t="s">
        <v>1134</v>
      </c>
      <c r="BF4" s="45" t="s">
        <v>1142</v>
      </c>
      <c r="BG4" s="45" t="s">
        <v>1148</v>
      </c>
      <c r="BH4" s="45" t="s">
        <v>1158</v>
      </c>
      <c r="BI4" s="108" t="s">
        <v>1176</v>
      </c>
      <c r="BJ4" s="108" t="s">
        <v>1200</v>
      </c>
      <c r="BK4" s="108" t="s">
        <v>1212</v>
      </c>
      <c r="BL4" s="108" t="s">
        <v>1236</v>
      </c>
      <c r="BM4" s="108">
        <v>1</v>
      </c>
      <c r="BN4" s="111">
        <v>0.1272264631043257</v>
      </c>
      <c r="BO4" s="108">
        <v>0</v>
      </c>
      <c r="BP4" s="111">
        <v>0</v>
      </c>
      <c r="BQ4" s="108">
        <v>0</v>
      </c>
      <c r="BR4" s="111">
        <v>0</v>
      </c>
      <c r="BS4" s="108">
        <v>578</v>
      </c>
      <c r="BT4" s="111">
        <v>73.53689567430025</v>
      </c>
      <c r="BU4" s="108">
        <v>786</v>
      </c>
    </row>
    <row r="5" spans="1:73" ht="41.45" customHeight="1">
      <c r="A5" s="62" t="s">
        <v>279</v>
      </c>
      <c r="C5" s="64"/>
      <c r="D5" s="64" t="s">
        <v>64</v>
      </c>
      <c r="E5" s="67">
        <v>165.41365921965502</v>
      </c>
      <c r="F5" s="69"/>
      <c r="G5" s="104" t="str">
        <f>HYPERLINK("https://pbs.twimg.com/profile_images/1447011197794938885/E6PEU0Fw_normal.jpg")</f>
        <v>https://pbs.twimg.com/profile_images/1447011197794938885/E6PEU0Fw_normal.jpg</v>
      </c>
      <c r="H5" s="64"/>
      <c r="I5" s="70" t="s">
        <v>279</v>
      </c>
      <c r="J5" s="71"/>
      <c r="K5" s="71"/>
      <c r="L5" s="70" t="s">
        <v>878</v>
      </c>
      <c r="M5" s="74">
        <v>14.274113412648196</v>
      </c>
      <c r="N5" s="75">
        <v>8909.408203125</v>
      </c>
      <c r="O5" s="75">
        <v>623.0427856445312</v>
      </c>
      <c r="P5" s="76"/>
      <c r="Q5" s="77"/>
      <c r="R5" s="77"/>
      <c r="S5" s="102"/>
      <c r="T5" s="45">
        <v>0</v>
      </c>
      <c r="U5" s="45">
        <v>1</v>
      </c>
      <c r="V5" s="46">
        <v>0</v>
      </c>
      <c r="W5" s="46">
        <v>0.364583</v>
      </c>
      <c r="X5" s="46">
        <v>0.017496</v>
      </c>
      <c r="Y5" s="46">
        <v>0.024021</v>
      </c>
      <c r="Z5" s="46">
        <v>0</v>
      </c>
      <c r="AA5" s="46">
        <v>0</v>
      </c>
      <c r="AB5" s="72">
        <v>5</v>
      </c>
      <c r="AC5" s="72"/>
      <c r="AD5" s="73"/>
      <c r="AE5" s="63" t="str">
        <f>REPLACE(INDEX(GroupVertices[Group],MATCH(Vertices[[#This Row],[Vertex]],GroupVertices[Vertex],0)),1,1,"")</f>
        <v>5</v>
      </c>
      <c r="AF5" s="63" t="s">
        <v>748</v>
      </c>
      <c r="AG5" s="96" t="s">
        <v>784</v>
      </c>
      <c r="AH5" s="63">
        <v>967</v>
      </c>
      <c r="AI5" s="63">
        <v>167</v>
      </c>
      <c r="AJ5" s="63">
        <v>3518</v>
      </c>
      <c r="AK5" s="63">
        <v>3999</v>
      </c>
      <c r="AL5" s="63"/>
      <c r="AM5" s="63" t="s">
        <v>819</v>
      </c>
      <c r="AN5" s="63"/>
      <c r="AO5" s="63"/>
      <c r="AP5" s="63"/>
      <c r="AQ5" s="90">
        <v>42729.07431712963</v>
      </c>
      <c r="AR5" s="93" t="str">
        <f>HYPERLINK("https://pbs.twimg.com/profile_banners/812837015490203649/1649587852")</f>
        <v>https://pbs.twimg.com/profile_banners/812837015490203649/1649587852</v>
      </c>
      <c r="AS5" s="63" t="b">
        <v>1</v>
      </c>
      <c r="AT5" s="63" t="b">
        <v>0</v>
      </c>
      <c r="AU5" s="63" t="b">
        <v>0</v>
      </c>
      <c r="AV5" s="63"/>
      <c r="AW5" s="63">
        <v>5</v>
      </c>
      <c r="AX5" s="63"/>
      <c r="AY5" s="63" t="b">
        <v>0</v>
      </c>
      <c r="AZ5" s="63" t="s">
        <v>876</v>
      </c>
      <c r="BA5" s="93" t="str">
        <f>HYPERLINK("https://twitter.com/steelearcher")</f>
        <v>https://twitter.com/steelearcher</v>
      </c>
      <c r="BB5" s="63" t="s">
        <v>66</v>
      </c>
      <c r="BC5" s="45"/>
      <c r="BD5" s="45"/>
      <c r="BE5" s="45"/>
      <c r="BF5" s="45"/>
      <c r="BG5" s="45" t="s">
        <v>421</v>
      </c>
      <c r="BH5" s="45" t="s">
        <v>421</v>
      </c>
      <c r="BI5" s="108" t="s">
        <v>1177</v>
      </c>
      <c r="BJ5" s="108" t="s">
        <v>1177</v>
      </c>
      <c r="BK5" s="108" t="s">
        <v>1213</v>
      </c>
      <c r="BL5" s="108" t="s">
        <v>1213</v>
      </c>
      <c r="BM5" s="108">
        <v>0</v>
      </c>
      <c r="BN5" s="111">
        <v>0</v>
      </c>
      <c r="BO5" s="108">
        <v>0</v>
      </c>
      <c r="BP5" s="111">
        <v>0</v>
      </c>
      <c r="BQ5" s="108">
        <v>0</v>
      </c>
      <c r="BR5" s="111">
        <v>0</v>
      </c>
      <c r="BS5" s="108">
        <v>5</v>
      </c>
      <c r="BT5" s="111">
        <v>83.33333333333333</v>
      </c>
      <c r="BU5" s="108">
        <v>6</v>
      </c>
    </row>
    <row r="6" spans="1:73" ht="41.45" customHeight="1">
      <c r="A6" s="62" t="s">
        <v>304</v>
      </c>
      <c r="C6" s="64"/>
      <c r="D6" s="64" t="s">
        <v>64</v>
      </c>
      <c r="E6" s="67">
        <v>390.28846031442936</v>
      </c>
      <c r="F6" s="69"/>
      <c r="G6" s="104" t="str">
        <f>HYPERLINK("https://pbs.twimg.com/profile_images/981928163239448577/_VzMAWMU_normal.jpg")</f>
        <v>https://pbs.twimg.com/profile_images/981928163239448577/_VzMAWMU_normal.jpg</v>
      </c>
      <c r="H6" s="64"/>
      <c r="I6" s="70" t="s">
        <v>304</v>
      </c>
      <c r="J6" s="71"/>
      <c r="K6" s="71"/>
      <c r="L6" s="70" t="s">
        <v>879</v>
      </c>
      <c r="M6" s="74">
        <v>888.7063344708481</v>
      </c>
      <c r="N6" s="75">
        <v>9280.3505859375</v>
      </c>
      <c r="O6" s="75">
        <v>4256.5419921875</v>
      </c>
      <c r="P6" s="76"/>
      <c r="Q6" s="77"/>
      <c r="R6" s="77"/>
      <c r="S6" s="102"/>
      <c r="T6" s="45">
        <v>12</v>
      </c>
      <c r="U6" s="45">
        <v>1</v>
      </c>
      <c r="V6" s="46">
        <v>83.380952</v>
      </c>
      <c r="W6" s="46">
        <v>0.564516</v>
      </c>
      <c r="X6" s="46">
        <v>0.210147</v>
      </c>
      <c r="Y6" s="46">
        <v>0.032819</v>
      </c>
      <c r="Z6" s="46">
        <v>0.2727272727272727</v>
      </c>
      <c r="AA6" s="46">
        <v>0</v>
      </c>
      <c r="AB6" s="72">
        <v>6</v>
      </c>
      <c r="AC6" s="72"/>
      <c r="AD6" s="73"/>
      <c r="AE6" s="63" t="str">
        <f>REPLACE(INDEX(GroupVertices[Group],MATCH(Vertices[[#This Row],[Vertex]],GroupVertices[Vertex],0)),1,1,"")</f>
        <v>5</v>
      </c>
      <c r="AF6" s="63" t="s">
        <v>749</v>
      </c>
      <c r="AG6" s="96" t="s">
        <v>785</v>
      </c>
      <c r="AH6" s="63">
        <v>4288</v>
      </c>
      <c r="AI6" s="63">
        <v>8599</v>
      </c>
      <c r="AJ6" s="63">
        <v>16893</v>
      </c>
      <c r="AK6" s="63">
        <v>805</v>
      </c>
      <c r="AL6" s="63"/>
      <c r="AM6" s="63" t="s">
        <v>820</v>
      </c>
      <c r="AN6" s="63"/>
      <c r="AO6" s="93" t="str">
        <f>HYPERLINK("https://t.co/9NKwXwr12h")</f>
        <v>https://t.co/9NKwXwr12h</v>
      </c>
      <c r="AP6" s="63"/>
      <c r="AQ6" s="90">
        <v>39828.04846064815</v>
      </c>
      <c r="AR6" s="93" t="str">
        <f>HYPERLINK("https://pbs.twimg.com/profile_banners/19004791/1624631112")</f>
        <v>https://pbs.twimg.com/profile_banners/19004791/1624631112</v>
      </c>
      <c r="AS6" s="63" t="b">
        <v>0</v>
      </c>
      <c r="AT6" s="63" t="b">
        <v>0</v>
      </c>
      <c r="AU6" s="63" t="b">
        <v>1</v>
      </c>
      <c r="AV6" s="63"/>
      <c r="AW6" s="63">
        <v>0</v>
      </c>
      <c r="AX6" s="93" t="str">
        <f>HYPERLINK("https://abs.twimg.com/images/themes/theme1/bg.png")</f>
        <v>https://abs.twimg.com/images/themes/theme1/bg.png</v>
      </c>
      <c r="AY6" s="63" t="b">
        <v>0</v>
      </c>
      <c r="AZ6" s="63" t="s">
        <v>876</v>
      </c>
      <c r="BA6" s="93" t="str">
        <f>HYPERLINK("https://twitter.com/dw2")</f>
        <v>https://twitter.com/dw2</v>
      </c>
      <c r="BB6" s="63" t="s">
        <v>66</v>
      </c>
      <c r="BC6" s="45" t="s">
        <v>956</v>
      </c>
      <c r="BD6" s="45" t="s">
        <v>956</v>
      </c>
      <c r="BE6" s="45" t="s">
        <v>407</v>
      </c>
      <c r="BF6" s="45" t="s">
        <v>407</v>
      </c>
      <c r="BG6" s="45" t="s">
        <v>421</v>
      </c>
      <c r="BH6" s="45" t="s">
        <v>421</v>
      </c>
      <c r="BI6" s="108" t="s">
        <v>1178</v>
      </c>
      <c r="BJ6" s="108" t="s">
        <v>1201</v>
      </c>
      <c r="BK6" s="108" t="s">
        <v>1214</v>
      </c>
      <c r="BL6" s="108" t="s">
        <v>1214</v>
      </c>
      <c r="BM6" s="108">
        <v>1</v>
      </c>
      <c r="BN6" s="111">
        <v>2.1739130434782608</v>
      </c>
      <c r="BO6" s="108">
        <v>0</v>
      </c>
      <c r="BP6" s="111">
        <v>0</v>
      </c>
      <c r="BQ6" s="108">
        <v>0</v>
      </c>
      <c r="BR6" s="111">
        <v>0</v>
      </c>
      <c r="BS6" s="108">
        <v>29</v>
      </c>
      <c r="BT6" s="111">
        <v>63.04347826086956</v>
      </c>
      <c r="BU6" s="108">
        <v>46</v>
      </c>
    </row>
    <row r="7" spans="1:73" ht="41.45" customHeight="1">
      <c r="A7" s="62" t="s">
        <v>280</v>
      </c>
      <c r="C7" s="64"/>
      <c r="D7" s="64" t="s">
        <v>64</v>
      </c>
      <c r="E7" s="67">
        <v>163.0134300808351</v>
      </c>
      <c r="F7" s="69"/>
      <c r="G7" s="104" t="str">
        <f>HYPERLINK("https://pbs.twimg.com/profile_images/1257305529614909447/tpcVvGbz_normal.jpg")</f>
        <v>https://pbs.twimg.com/profile_images/1257305529614909447/tpcVvGbz_normal.jpg</v>
      </c>
      <c r="H7" s="64"/>
      <c r="I7" s="70" t="s">
        <v>280</v>
      </c>
      <c r="J7" s="71"/>
      <c r="K7" s="71"/>
      <c r="L7" s="70" t="s">
        <v>880</v>
      </c>
      <c r="M7" s="74">
        <v>4.940752419379933</v>
      </c>
      <c r="N7" s="75">
        <v>8265.2197265625</v>
      </c>
      <c r="O7" s="75">
        <v>4295.59912109375</v>
      </c>
      <c r="P7" s="76"/>
      <c r="Q7" s="77"/>
      <c r="R7" s="77"/>
      <c r="S7" s="102"/>
      <c r="T7" s="45">
        <v>0</v>
      </c>
      <c r="U7" s="45">
        <v>1</v>
      </c>
      <c r="V7" s="46">
        <v>0</v>
      </c>
      <c r="W7" s="46">
        <v>0.393258</v>
      </c>
      <c r="X7" s="46">
        <v>0.02148</v>
      </c>
      <c r="Y7" s="46">
        <v>0.023982</v>
      </c>
      <c r="Z7" s="46">
        <v>0</v>
      </c>
      <c r="AA7" s="46">
        <v>0</v>
      </c>
      <c r="AB7" s="72">
        <v>7</v>
      </c>
      <c r="AC7" s="72"/>
      <c r="AD7" s="73"/>
      <c r="AE7" s="63" t="str">
        <f>REPLACE(INDEX(GroupVertices[Group],MATCH(Vertices[[#This Row],[Vertex]],GroupVertices[Vertex],0)),1,1,"")</f>
        <v>4</v>
      </c>
      <c r="AF7" s="63" t="s">
        <v>750</v>
      </c>
      <c r="AG7" s="96" t="s">
        <v>786</v>
      </c>
      <c r="AH7" s="63">
        <v>381</v>
      </c>
      <c r="AI7" s="63">
        <v>77</v>
      </c>
      <c r="AJ7" s="63">
        <v>1738</v>
      </c>
      <c r="AK7" s="63">
        <v>1706</v>
      </c>
      <c r="AL7" s="63"/>
      <c r="AM7" s="63" t="s">
        <v>821</v>
      </c>
      <c r="AN7" s="63" t="s">
        <v>854</v>
      </c>
      <c r="AO7" s="93" t="str">
        <f>HYPERLINK("https://t.co/7JDyfAWI4K")</f>
        <v>https://t.co/7JDyfAWI4K</v>
      </c>
      <c r="AP7" s="63"/>
      <c r="AQ7" s="90">
        <v>42001.55601851852</v>
      </c>
      <c r="AR7" s="93" t="str">
        <f>HYPERLINK("https://pbs.twimg.com/profile_banners/2945783429/1569283195")</f>
        <v>https://pbs.twimg.com/profile_banners/2945783429/1569283195</v>
      </c>
      <c r="AS7" s="63" t="b">
        <v>0</v>
      </c>
      <c r="AT7" s="63" t="b">
        <v>0</v>
      </c>
      <c r="AU7" s="63" t="b">
        <v>1</v>
      </c>
      <c r="AV7" s="63"/>
      <c r="AW7" s="63">
        <v>2</v>
      </c>
      <c r="AX7" s="93" t="str">
        <f>HYPERLINK("https://abs.twimg.com/images/themes/theme1/bg.png")</f>
        <v>https://abs.twimg.com/images/themes/theme1/bg.png</v>
      </c>
      <c r="AY7" s="63" t="b">
        <v>0</v>
      </c>
      <c r="AZ7" s="63" t="s">
        <v>876</v>
      </c>
      <c r="BA7" s="93" t="str">
        <f>HYPERLINK("https://twitter.com/martin_heyam")</f>
        <v>https://twitter.com/martin_heyam</v>
      </c>
      <c r="BB7" s="63" t="s">
        <v>66</v>
      </c>
      <c r="BC7" s="45" t="s">
        <v>932</v>
      </c>
      <c r="BD7" s="45" t="s">
        <v>932</v>
      </c>
      <c r="BE7" s="45" t="s">
        <v>402</v>
      </c>
      <c r="BF7" s="45" t="s">
        <v>402</v>
      </c>
      <c r="BG7" s="45" t="s">
        <v>422</v>
      </c>
      <c r="BH7" s="45" t="s">
        <v>1159</v>
      </c>
      <c r="BI7" s="108" t="s">
        <v>1179</v>
      </c>
      <c r="BJ7" s="108" t="s">
        <v>1179</v>
      </c>
      <c r="BK7" s="108" t="s">
        <v>1215</v>
      </c>
      <c r="BL7" s="108" t="s">
        <v>1215</v>
      </c>
      <c r="BM7" s="108">
        <v>0</v>
      </c>
      <c r="BN7" s="111">
        <v>0</v>
      </c>
      <c r="BO7" s="108">
        <v>0</v>
      </c>
      <c r="BP7" s="111">
        <v>0</v>
      </c>
      <c r="BQ7" s="108">
        <v>0</v>
      </c>
      <c r="BR7" s="111">
        <v>0</v>
      </c>
      <c r="BS7" s="108">
        <v>23</v>
      </c>
      <c r="BT7" s="111">
        <v>67.6470588235294</v>
      </c>
      <c r="BU7" s="108">
        <v>34</v>
      </c>
    </row>
    <row r="8" spans="1:73" ht="41.45" customHeight="1">
      <c r="A8" s="62" t="s">
        <v>281</v>
      </c>
      <c r="C8" s="64"/>
      <c r="D8" s="64" t="s">
        <v>64</v>
      </c>
      <c r="E8" s="67">
        <v>175.0412449875883</v>
      </c>
      <c r="F8" s="69"/>
      <c r="G8" s="104" t="str">
        <f>HYPERLINK("https://pbs.twimg.com/profile_images/902525090990100480/ixRpVLQm_normal.jpg")</f>
        <v>https://pbs.twimg.com/profile_images/902525090990100480/ixRpVLQm_normal.jpg</v>
      </c>
      <c r="H8" s="64"/>
      <c r="I8" s="70" t="s">
        <v>281</v>
      </c>
      <c r="J8" s="71"/>
      <c r="K8" s="71"/>
      <c r="L8" s="70" t="s">
        <v>881</v>
      </c>
      <c r="M8" s="74">
        <v>51.711261396757564</v>
      </c>
      <c r="N8" s="75">
        <v>5913.02978515625</v>
      </c>
      <c r="O8" s="75">
        <v>6183.68798828125</v>
      </c>
      <c r="P8" s="76"/>
      <c r="Q8" s="77"/>
      <c r="R8" s="77"/>
      <c r="S8" s="102"/>
      <c r="T8" s="45">
        <v>0</v>
      </c>
      <c r="U8" s="45">
        <v>6</v>
      </c>
      <c r="V8" s="46">
        <v>1.111111</v>
      </c>
      <c r="W8" s="46">
        <v>0.522388</v>
      </c>
      <c r="X8" s="46">
        <v>0.117745</v>
      </c>
      <c r="Y8" s="46">
        <v>0.026015</v>
      </c>
      <c r="Z8" s="46">
        <v>0.5666666666666667</v>
      </c>
      <c r="AA8" s="46">
        <v>0</v>
      </c>
      <c r="AB8" s="72">
        <v>8</v>
      </c>
      <c r="AC8" s="72"/>
      <c r="AD8" s="73"/>
      <c r="AE8" s="63" t="str">
        <f>REPLACE(INDEX(GroupVertices[Group],MATCH(Vertices[[#This Row],[Vertex]],GroupVertices[Vertex],0)),1,1,"")</f>
        <v>3</v>
      </c>
      <c r="AF8" s="63" t="s">
        <v>751</v>
      </c>
      <c r="AG8" s="96" t="s">
        <v>787</v>
      </c>
      <c r="AH8" s="63">
        <v>5003</v>
      </c>
      <c r="AI8" s="63">
        <v>528</v>
      </c>
      <c r="AJ8" s="63">
        <v>26932</v>
      </c>
      <c r="AK8" s="63">
        <v>20162</v>
      </c>
      <c r="AL8" s="63"/>
      <c r="AM8" s="63"/>
      <c r="AN8" s="63" t="s">
        <v>855</v>
      </c>
      <c r="AO8" s="63"/>
      <c r="AP8" s="63"/>
      <c r="AQ8" s="90">
        <v>42490.619039351855</v>
      </c>
      <c r="AR8" s="93" t="str">
        <f>HYPERLINK("https://pbs.twimg.com/profile_banners/726423717497167873/1462029732")</f>
        <v>https://pbs.twimg.com/profile_banners/726423717497167873/1462029732</v>
      </c>
      <c r="AS8" s="63" t="b">
        <v>1</v>
      </c>
      <c r="AT8" s="63" t="b">
        <v>0</v>
      </c>
      <c r="AU8" s="63" t="b">
        <v>1</v>
      </c>
      <c r="AV8" s="63"/>
      <c r="AW8" s="63">
        <v>0</v>
      </c>
      <c r="AX8" s="63"/>
      <c r="AY8" s="63" t="b">
        <v>0</v>
      </c>
      <c r="AZ8" s="63" t="s">
        <v>876</v>
      </c>
      <c r="BA8" s="93" t="str">
        <f>HYPERLINK("https://twitter.com/larkkarles")</f>
        <v>https://twitter.com/larkkarles</v>
      </c>
      <c r="BB8" s="63" t="s">
        <v>66</v>
      </c>
      <c r="BC8" s="45" t="s">
        <v>926</v>
      </c>
      <c r="BD8" s="45" t="s">
        <v>926</v>
      </c>
      <c r="BE8" s="45" t="s">
        <v>403</v>
      </c>
      <c r="BF8" s="45" t="s">
        <v>403</v>
      </c>
      <c r="BG8" s="45" t="s">
        <v>423</v>
      </c>
      <c r="BH8" s="45" t="s">
        <v>423</v>
      </c>
      <c r="BI8" s="108" t="s">
        <v>1180</v>
      </c>
      <c r="BJ8" s="108" t="s">
        <v>1180</v>
      </c>
      <c r="BK8" s="108" t="s">
        <v>1216</v>
      </c>
      <c r="BL8" s="108" t="s">
        <v>1216</v>
      </c>
      <c r="BM8" s="108">
        <v>0</v>
      </c>
      <c r="BN8" s="111">
        <v>0</v>
      </c>
      <c r="BO8" s="108">
        <v>0</v>
      </c>
      <c r="BP8" s="111">
        <v>0</v>
      </c>
      <c r="BQ8" s="108">
        <v>0</v>
      </c>
      <c r="BR8" s="111">
        <v>0</v>
      </c>
      <c r="BS8" s="108">
        <v>15</v>
      </c>
      <c r="BT8" s="111">
        <v>83.33333333333333</v>
      </c>
      <c r="BU8" s="108">
        <v>18</v>
      </c>
    </row>
    <row r="9" spans="1:73" ht="41.45" customHeight="1">
      <c r="A9" s="62" t="s">
        <v>300</v>
      </c>
      <c r="C9" s="64"/>
      <c r="D9" s="64" t="s">
        <v>64</v>
      </c>
      <c r="E9" s="67">
        <v>523.2078161797467</v>
      </c>
      <c r="F9" s="69"/>
      <c r="G9" s="104" t="str">
        <f>HYPERLINK("https://pbs.twimg.com/profile_images/1099791910158454784/KX-oUMzr_normal.jpg")</f>
        <v>https://pbs.twimg.com/profile_images/1099791910158454784/KX-oUMzr_normal.jpg</v>
      </c>
      <c r="H9" s="64"/>
      <c r="I9" s="70" t="s">
        <v>300</v>
      </c>
      <c r="J9" s="71"/>
      <c r="K9" s="71"/>
      <c r="L9" s="70" t="s">
        <v>882</v>
      </c>
      <c r="M9" s="74">
        <v>1405.5671254758374</v>
      </c>
      <c r="N9" s="75">
        <v>6577.9501953125</v>
      </c>
      <c r="O9" s="75">
        <v>8206.7734375</v>
      </c>
      <c r="P9" s="76"/>
      <c r="Q9" s="77"/>
      <c r="R9" s="77"/>
      <c r="S9" s="102"/>
      <c r="T9" s="45">
        <v>6</v>
      </c>
      <c r="U9" s="45">
        <v>5</v>
      </c>
      <c r="V9" s="46">
        <v>2.444444</v>
      </c>
      <c r="W9" s="46">
        <v>0.555556</v>
      </c>
      <c r="X9" s="46">
        <v>0.168927</v>
      </c>
      <c r="Y9" s="46">
        <v>0.026707</v>
      </c>
      <c r="Z9" s="46">
        <v>0.5</v>
      </c>
      <c r="AA9" s="46">
        <v>0.375</v>
      </c>
      <c r="AB9" s="72">
        <v>9</v>
      </c>
      <c r="AC9" s="72"/>
      <c r="AD9" s="73"/>
      <c r="AE9" s="63" t="str">
        <f>REPLACE(INDEX(GroupVertices[Group],MATCH(Vertices[[#This Row],[Vertex]],GroupVertices[Vertex],0)),1,1,"")</f>
        <v>3</v>
      </c>
      <c r="AF9" s="63" t="s">
        <v>752</v>
      </c>
      <c r="AG9" s="96" t="s">
        <v>788</v>
      </c>
      <c r="AH9" s="63">
        <v>58</v>
      </c>
      <c r="AI9" s="63">
        <v>13583</v>
      </c>
      <c r="AJ9" s="63">
        <v>8315</v>
      </c>
      <c r="AK9" s="63">
        <v>94</v>
      </c>
      <c r="AL9" s="63"/>
      <c r="AM9" s="63" t="s">
        <v>822</v>
      </c>
      <c r="AN9" s="63" t="s">
        <v>856</v>
      </c>
      <c r="AO9" s="93" t="str">
        <f>HYPERLINK("https://t.co/tK9waTbzQU")</f>
        <v>https://t.co/tK9waTbzQU</v>
      </c>
      <c r="AP9" s="63"/>
      <c r="AQ9" s="90">
        <v>40651.480416666665</v>
      </c>
      <c r="AR9" s="93" t="str">
        <f>HYPERLINK("https://pbs.twimg.com/profile_banners/283976692/1600537321")</f>
        <v>https://pbs.twimg.com/profile_banners/283976692/1600537321</v>
      </c>
      <c r="AS9" s="63" t="b">
        <v>1</v>
      </c>
      <c r="AT9" s="63" t="b">
        <v>0</v>
      </c>
      <c r="AU9" s="63" t="b">
        <v>1</v>
      </c>
      <c r="AV9" s="63"/>
      <c r="AW9" s="63">
        <v>217</v>
      </c>
      <c r="AX9" s="93" t="str">
        <f>HYPERLINK("https://abs.twimg.com/images/themes/theme1/bg.png")</f>
        <v>https://abs.twimg.com/images/themes/theme1/bg.png</v>
      </c>
      <c r="AY9" s="63" t="b">
        <v>0</v>
      </c>
      <c r="AZ9" s="63" t="s">
        <v>876</v>
      </c>
      <c r="BA9" s="93" t="str">
        <f>HYPERLINK("https://twitter.com/javiercremades")</f>
        <v>https://twitter.com/javiercremades</v>
      </c>
      <c r="BB9" s="63" t="s">
        <v>66</v>
      </c>
      <c r="BC9" s="45" t="s">
        <v>926</v>
      </c>
      <c r="BD9" s="45" t="s">
        <v>926</v>
      </c>
      <c r="BE9" s="45" t="s">
        <v>403</v>
      </c>
      <c r="BF9" s="45" t="s">
        <v>403</v>
      </c>
      <c r="BG9" s="45" t="s">
        <v>423</v>
      </c>
      <c r="BH9" s="45" t="s">
        <v>423</v>
      </c>
      <c r="BI9" s="108" t="s">
        <v>1180</v>
      </c>
      <c r="BJ9" s="108" t="s">
        <v>1180</v>
      </c>
      <c r="BK9" s="108" t="s">
        <v>1216</v>
      </c>
      <c r="BL9" s="108" t="s">
        <v>1216</v>
      </c>
      <c r="BM9" s="108">
        <v>0</v>
      </c>
      <c r="BN9" s="111">
        <v>0</v>
      </c>
      <c r="BO9" s="108">
        <v>0</v>
      </c>
      <c r="BP9" s="111">
        <v>0</v>
      </c>
      <c r="BQ9" s="108">
        <v>0</v>
      </c>
      <c r="BR9" s="111">
        <v>0</v>
      </c>
      <c r="BS9" s="108">
        <v>15</v>
      </c>
      <c r="BT9" s="111">
        <v>83.33333333333333</v>
      </c>
      <c r="BU9" s="108">
        <v>18</v>
      </c>
    </row>
    <row r="10" spans="1:73" ht="41.45" customHeight="1">
      <c r="A10" s="62" t="s">
        <v>301</v>
      </c>
      <c r="C10" s="64"/>
      <c r="D10" s="64" t="s">
        <v>64</v>
      </c>
      <c r="E10" s="67">
        <v>455.84138501686715</v>
      </c>
      <c r="F10" s="69"/>
      <c r="G10" s="104" t="str">
        <f>HYPERLINK("https://pbs.twimg.com/profile_images/1583010428514344960/3R3Ud3F4_normal.png")</f>
        <v>https://pbs.twimg.com/profile_images/1583010428514344960/3R3Ud3F4_normal.png</v>
      </c>
      <c r="H10" s="64"/>
      <c r="I10" s="70" t="s">
        <v>301</v>
      </c>
      <c r="J10" s="71"/>
      <c r="K10" s="71"/>
      <c r="L10" s="70" t="s">
        <v>883</v>
      </c>
      <c r="M10" s="74">
        <v>1143.610793598108</v>
      </c>
      <c r="N10" s="75">
        <v>8045.17138671875</v>
      </c>
      <c r="O10" s="75">
        <v>6087.826171875</v>
      </c>
      <c r="P10" s="76"/>
      <c r="Q10" s="77"/>
      <c r="R10" s="77"/>
      <c r="S10" s="102"/>
      <c r="T10" s="45">
        <v>8</v>
      </c>
      <c r="U10" s="45">
        <v>6</v>
      </c>
      <c r="V10" s="46">
        <v>13.368254</v>
      </c>
      <c r="W10" s="46">
        <v>0.603448</v>
      </c>
      <c r="X10" s="46">
        <v>0.241766</v>
      </c>
      <c r="Y10" s="46">
        <v>0.028224</v>
      </c>
      <c r="Z10" s="46">
        <v>0.38636363636363635</v>
      </c>
      <c r="AA10" s="46">
        <v>0.16666666666666666</v>
      </c>
      <c r="AB10" s="72">
        <v>10</v>
      </c>
      <c r="AC10" s="72"/>
      <c r="AD10" s="73"/>
      <c r="AE10" s="63" t="str">
        <f>REPLACE(INDEX(GroupVertices[Group],MATCH(Vertices[[#This Row],[Vertex]],GroupVertices[Vertex],0)),1,1,"")</f>
        <v>3</v>
      </c>
      <c r="AF10" s="63" t="s">
        <v>753</v>
      </c>
      <c r="AG10" s="96" t="s">
        <v>789</v>
      </c>
      <c r="AH10" s="63">
        <v>800</v>
      </c>
      <c r="AI10" s="63">
        <v>11057</v>
      </c>
      <c r="AJ10" s="63">
        <v>12040</v>
      </c>
      <c r="AK10" s="63">
        <v>70147</v>
      </c>
      <c r="AL10" s="63"/>
      <c r="AM10" s="63" t="s">
        <v>823</v>
      </c>
      <c r="AN10" s="63" t="s">
        <v>857</v>
      </c>
      <c r="AO10" s="93" t="str">
        <f>HYPERLINK("https://t.co/y8RUAgfCT9")</f>
        <v>https://t.co/y8RUAgfCT9</v>
      </c>
      <c r="AP10" s="63"/>
      <c r="AQ10" s="90">
        <v>40618.67283564815</v>
      </c>
      <c r="AR10" s="93" t="str">
        <f>HYPERLINK("https://pbs.twimg.com/profile_banners/267258370/1396597837")</f>
        <v>https://pbs.twimg.com/profile_banners/267258370/1396597837</v>
      </c>
      <c r="AS10" s="63" t="b">
        <v>0</v>
      </c>
      <c r="AT10" s="63" t="b">
        <v>0</v>
      </c>
      <c r="AU10" s="63" t="b">
        <v>1</v>
      </c>
      <c r="AV10" s="63"/>
      <c r="AW10" s="63">
        <v>293</v>
      </c>
      <c r="AX10" s="93" t="str">
        <f>HYPERLINK("https://abs.twimg.com/images/themes/theme1/bg.png")</f>
        <v>https://abs.twimg.com/images/themes/theme1/bg.png</v>
      </c>
      <c r="AY10" s="63" t="b">
        <v>0</v>
      </c>
      <c r="AZ10" s="63" t="s">
        <v>876</v>
      </c>
      <c r="BA10" s="93" t="str">
        <f>HYPERLINK("https://twitter.com/ieuropeo")</f>
        <v>https://twitter.com/ieuropeo</v>
      </c>
      <c r="BB10" s="63" t="s">
        <v>66</v>
      </c>
      <c r="BC10" s="45" t="s">
        <v>1114</v>
      </c>
      <c r="BD10" s="45" t="s">
        <v>1126</v>
      </c>
      <c r="BE10" s="45" t="s">
        <v>408</v>
      </c>
      <c r="BF10" s="45" t="s">
        <v>405</v>
      </c>
      <c r="BG10" s="45" t="s">
        <v>1149</v>
      </c>
      <c r="BH10" s="45" t="s">
        <v>1160</v>
      </c>
      <c r="BI10" s="108" t="s">
        <v>1181</v>
      </c>
      <c r="BJ10" s="108" t="s">
        <v>1202</v>
      </c>
      <c r="BK10" s="108" t="s">
        <v>1217</v>
      </c>
      <c r="BL10" s="108" t="s">
        <v>1217</v>
      </c>
      <c r="BM10" s="108">
        <v>1</v>
      </c>
      <c r="BN10" s="111">
        <v>0.9259259259259259</v>
      </c>
      <c r="BO10" s="108">
        <v>0</v>
      </c>
      <c r="BP10" s="111">
        <v>0</v>
      </c>
      <c r="BQ10" s="108">
        <v>0</v>
      </c>
      <c r="BR10" s="111">
        <v>0</v>
      </c>
      <c r="BS10" s="108">
        <v>67</v>
      </c>
      <c r="BT10" s="111">
        <v>62.03703703703704</v>
      </c>
      <c r="BU10" s="108">
        <v>108</v>
      </c>
    </row>
    <row r="11" spans="1:73" ht="41.45" customHeight="1">
      <c r="A11" s="62" t="s">
        <v>307</v>
      </c>
      <c r="C11" s="64"/>
      <c r="D11" s="64" t="s">
        <v>64</v>
      </c>
      <c r="E11" s="67">
        <v>211.87142766214754</v>
      </c>
      <c r="F11" s="69"/>
      <c r="G11" s="104" t="str">
        <f>HYPERLINK("https://pbs.twimg.com/profile_images/1556794665663229952/UwbIWY8n_normal.jpg")</f>
        <v>https://pbs.twimg.com/profile_images/1556794665663229952/UwbIWY8n_normal.jpg</v>
      </c>
      <c r="H11" s="64"/>
      <c r="I11" s="70" t="s">
        <v>307</v>
      </c>
      <c r="J11" s="71"/>
      <c r="K11" s="71"/>
      <c r="L11" s="70" t="s">
        <v>884</v>
      </c>
      <c r="M11" s="74">
        <v>194.92650063790725</v>
      </c>
      <c r="N11" s="75">
        <v>6845.474609375</v>
      </c>
      <c r="O11" s="75">
        <v>4837.0615234375</v>
      </c>
      <c r="P11" s="76"/>
      <c r="Q11" s="77"/>
      <c r="R11" s="77"/>
      <c r="S11" s="102"/>
      <c r="T11" s="45">
        <v>9</v>
      </c>
      <c r="U11" s="45">
        <v>0</v>
      </c>
      <c r="V11" s="46">
        <v>6.114286</v>
      </c>
      <c r="W11" s="46">
        <v>0.538462</v>
      </c>
      <c r="X11" s="46">
        <v>0.189565</v>
      </c>
      <c r="Y11" s="46">
        <v>0.026937</v>
      </c>
      <c r="Z11" s="46">
        <v>0.4027777777777778</v>
      </c>
      <c r="AA11" s="46">
        <v>0</v>
      </c>
      <c r="AB11" s="72">
        <v>11</v>
      </c>
      <c r="AC11" s="72"/>
      <c r="AD11" s="73"/>
      <c r="AE11" s="63" t="str">
        <f>REPLACE(INDEX(GroupVertices[Group],MATCH(Vertices[[#This Row],[Vertex]],GroupVertices[Vertex],0)),1,1,"")</f>
        <v>3</v>
      </c>
      <c r="AF11" s="63" t="s">
        <v>754</v>
      </c>
      <c r="AG11" s="96" t="s">
        <v>790</v>
      </c>
      <c r="AH11" s="63">
        <v>98</v>
      </c>
      <c r="AI11" s="63">
        <v>1909</v>
      </c>
      <c r="AJ11" s="63">
        <v>91</v>
      </c>
      <c r="AK11" s="63">
        <v>24</v>
      </c>
      <c r="AL11" s="63"/>
      <c r="AM11" s="63" t="s">
        <v>824</v>
      </c>
      <c r="AN11" s="63" t="s">
        <v>858</v>
      </c>
      <c r="AO11" s="93" t="str">
        <f>HYPERLINK("https://t.co/0ApOS1Cfis")</f>
        <v>https://t.co/0ApOS1Cfis</v>
      </c>
      <c r="AP11" s="63"/>
      <c r="AQ11" s="90">
        <v>39902.78376157407</v>
      </c>
      <c r="AR11" s="93" t="str">
        <f>HYPERLINK("https://pbs.twimg.com/profile_banners/27702217/1660003747")</f>
        <v>https://pbs.twimg.com/profile_banners/27702217/1660003747</v>
      </c>
      <c r="AS11" s="63" t="b">
        <v>1</v>
      </c>
      <c r="AT11" s="63" t="b">
        <v>0</v>
      </c>
      <c r="AU11" s="63" t="b">
        <v>0</v>
      </c>
      <c r="AV11" s="63"/>
      <c r="AW11" s="63">
        <v>110</v>
      </c>
      <c r="AX11" s="93" t="str">
        <f>HYPERLINK("https://abs.twimg.com/images/themes/theme1/bg.png")</f>
        <v>https://abs.twimg.com/images/themes/theme1/bg.png</v>
      </c>
      <c r="AY11" s="63" t="b">
        <v>0</v>
      </c>
      <c r="AZ11" s="63" t="s">
        <v>876</v>
      </c>
      <c r="BA11" s="93" t="str">
        <f>HYPERLINK("https://twitter.com/natashavitamore")</f>
        <v>https://twitter.com/natashavitamore</v>
      </c>
      <c r="BB11" s="63" t="s">
        <v>65</v>
      </c>
      <c r="BC11" s="45"/>
      <c r="BD11" s="45"/>
      <c r="BE11" s="45"/>
      <c r="BF11" s="45"/>
      <c r="BG11" s="45"/>
      <c r="BH11" s="45"/>
      <c r="BI11" s="45"/>
      <c r="BJ11" s="45"/>
      <c r="BK11" s="45"/>
      <c r="BL11" s="45"/>
      <c r="BM11" s="45"/>
      <c r="BN11" s="46"/>
      <c r="BO11" s="45"/>
      <c r="BP11" s="46"/>
      <c r="BQ11" s="45"/>
      <c r="BR11" s="46"/>
      <c r="BS11" s="45"/>
      <c r="BT11" s="46"/>
      <c r="BU11" s="45"/>
    </row>
    <row r="12" spans="1:73" ht="41.45" customHeight="1">
      <c r="A12" s="62" t="s">
        <v>308</v>
      </c>
      <c r="C12" s="64"/>
      <c r="D12" s="64" t="s">
        <v>64</v>
      </c>
      <c r="E12" s="67">
        <v>164.32022150085928</v>
      </c>
      <c r="F12" s="69"/>
      <c r="G12" s="104" t="str">
        <f>HYPERLINK("https://pbs.twimg.com/profile_images/1212345708/PAS_Iquitos__09.small_normal.jpg")</f>
        <v>https://pbs.twimg.com/profile_images/1212345708/PAS_Iquitos__09.small_normal.jpg</v>
      </c>
      <c r="H12" s="64"/>
      <c r="I12" s="70" t="s">
        <v>308</v>
      </c>
      <c r="J12" s="71"/>
      <c r="K12" s="71"/>
      <c r="L12" s="70" t="s">
        <v>885</v>
      </c>
      <c r="M12" s="74">
        <v>10.022248960159322</v>
      </c>
      <c r="N12" s="75">
        <v>8710.0927734375</v>
      </c>
      <c r="O12" s="75">
        <v>8110.91064453125</v>
      </c>
      <c r="P12" s="76"/>
      <c r="Q12" s="77"/>
      <c r="R12" s="77"/>
      <c r="S12" s="102"/>
      <c r="T12" s="45">
        <v>10</v>
      </c>
      <c r="U12" s="45">
        <v>0</v>
      </c>
      <c r="V12" s="46">
        <v>6.114286</v>
      </c>
      <c r="W12" s="46">
        <v>0.57377</v>
      </c>
      <c r="X12" s="46">
        <v>0.211045</v>
      </c>
      <c r="Y12" s="46">
        <v>0.027308</v>
      </c>
      <c r="Z12" s="46">
        <v>0.43333333333333335</v>
      </c>
      <c r="AA12" s="46">
        <v>0</v>
      </c>
      <c r="AB12" s="72">
        <v>12</v>
      </c>
      <c r="AC12" s="72"/>
      <c r="AD12" s="73"/>
      <c r="AE12" s="63" t="str">
        <f>REPLACE(INDEX(GroupVertices[Group],MATCH(Vertices[[#This Row],[Vertex]],GroupVertices[Vertex],0)),1,1,"")</f>
        <v>3</v>
      </c>
      <c r="AF12" s="63" t="s">
        <v>755</v>
      </c>
      <c r="AG12" s="96" t="s">
        <v>791</v>
      </c>
      <c r="AH12" s="63">
        <v>253</v>
      </c>
      <c r="AI12" s="63">
        <v>126</v>
      </c>
      <c r="AJ12" s="63">
        <v>148</v>
      </c>
      <c r="AK12" s="63">
        <v>89</v>
      </c>
      <c r="AL12" s="63"/>
      <c r="AM12" s="63" t="s">
        <v>825</v>
      </c>
      <c r="AN12" s="63" t="s">
        <v>859</v>
      </c>
      <c r="AO12" s="93" t="str">
        <f>HYPERLINK("http://t.co/vwIxrAPvbG")</f>
        <v>http://t.co/vwIxrAPvbG</v>
      </c>
      <c r="AP12" s="63"/>
      <c r="AQ12" s="90">
        <v>40005.840787037036</v>
      </c>
      <c r="AR12" s="63"/>
      <c r="AS12" s="63" t="b">
        <v>1</v>
      </c>
      <c r="AT12" s="63" t="b">
        <v>0</v>
      </c>
      <c r="AU12" s="63" t="b">
        <v>0</v>
      </c>
      <c r="AV12" s="63"/>
      <c r="AW12" s="63">
        <v>1</v>
      </c>
      <c r="AX12" s="93" t="str">
        <f>HYPERLINK("https://abs.twimg.com/images/themes/theme1/bg.png")</f>
        <v>https://abs.twimg.com/images/themes/theme1/bg.png</v>
      </c>
      <c r="AY12" s="63" t="b">
        <v>0</v>
      </c>
      <c r="AZ12" s="63" t="s">
        <v>876</v>
      </c>
      <c r="BA12" s="93" t="str">
        <f>HYPERLINK("https://twitter.com/paulspiegel")</f>
        <v>https://twitter.com/paulspiegel</v>
      </c>
      <c r="BB12" s="63" t="s">
        <v>65</v>
      </c>
      <c r="BC12" s="45"/>
      <c r="BD12" s="45"/>
      <c r="BE12" s="45"/>
      <c r="BF12" s="45"/>
      <c r="BG12" s="45"/>
      <c r="BH12" s="45"/>
      <c r="BI12" s="45"/>
      <c r="BJ12" s="45"/>
      <c r="BK12" s="45"/>
      <c r="BL12" s="45"/>
      <c r="BM12" s="45"/>
      <c r="BN12" s="46"/>
      <c r="BO12" s="45"/>
      <c r="BP12" s="46"/>
      <c r="BQ12" s="45"/>
      <c r="BR12" s="46"/>
      <c r="BS12" s="45"/>
      <c r="BT12" s="46"/>
      <c r="BU12" s="45"/>
    </row>
    <row r="13" spans="1:73" ht="41.45" customHeight="1">
      <c r="A13" s="62" t="s">
        <v>298</v>
      </c>
      <c r="C13" s="64"/>
      <c r="D13" s="64" t="s">
        <v>64</v>
      </c>
      <c r="E13" s="67">
        <v>169.14734899115268</v>
      </c>
      <c r="F13" s="69"/>
      <c r="G13" s="104" t="str">
        <f>HYPERLINK("https://pbs.twimg.com/profile_images/1416462775400927235/DSrY8TK-_normal.jpg")</f>
        <v>https://pbs.twimg.com/profile_images/1416462775400927235/DSrY8TK-_normal.jpg</v>
      </c>
      <c r="H13" s="64"/>
      <c r="I13" s="70" t="s">
        <v>298</v>
      </c>
      <c r="J13" s="71"/>
      <c r="K13" s="71"/>
      <c r="L13" s="70" t="s">
        <v>886</v>
      </c>
      <c r="M13" s="74">
        <v>28.792674957732164</v>
      </c>
      <c r="N13" s="75">
        <v>4574.48876953125</v>
      </c>
      <c r="O13" s="75">
        <v>4889.7578125</v>
      </c>
      <c r="P13" s="76"/>
      <c r="Q13" s="77"/>
      <c r="R13" s="77"/>
      <c r="S13" s="102"/>
      <c r="T13" s="45">
        <v>16</v>
      </c>
      <c r="U13" s="45">
        <v>18</v>
      </c>
      <c r="V13" s="46">
        <v>542.296825</v>
      </c>
      <c r="W13" s="46">
        <v>0.813953</v>
      </c>
      <c r="X13" s="46">
        <v>0.344948</v>
      </c>
      <c r="Y13" s="46">
        <v>0.059838</v>
      </c>
      <c r="Z13" s="46">
        <v>0.09544159544159544</v>
      </c>
      <c r="AA13" s="46">
        <v>0.18518518518518517</v>
      </c>
      <c r="AB13" s="72">
        <v>13</v>
      </c>
      <c r="AC13" s="72"/>
      <c r="AD13" s="73"/>
      <c r="AE13" s="63" t="str">
        <f>REPLACE(INDEX(GroupVertices[Group],MATCH(Vertices[[#This Row],[Vertex]],GroupVertices[Vertex],0)),1,1,"")</f>
        <v>2</v>
      </c>
      <c r="AF13" s="63" t="s">
        <v>756</v>
      </c>
      <c r="AG13" s="96" t="s">
        <v>713</v>
      </c>
      <c r="AH13" s="63">
        <v>232</v>
      </c>
      <c r="AI13" s="63">
        <v>307</v>
      </c>
      <c r="AJ13" s="63">
        <v>831</v>
      </c>
      <c r="AK13" s="63">
        <v>400</v>
      </c>
      <c r="AL13" s="63"/>
      <c r="AM13" s="63" t="s">
        <v>826</v>
      </c>
      <c r="AN13" s="63" t="s">
        <v>856</v>
      </c>
      <c r="AO13" s="93" t="str">
        <f>HYPERLINK("https://t.co/0JMOGjtaHo")</f>
        <v>https://t.co/0JMOGjtaHo</v>
      </c>
      <c r="AP13" s="63"/>
      <c r="AQ13" s="90">
        <v>44249.71810185185</v>
      </c>
      <c r="AR13" s="93" t="str">
        <f>HYPERLINK("https://pbs.twimg.com/profile_banners/1363899590647439365/1667139944")</f>
        <v>https://pbs.twimg.com/profile_banners/1363899590647439365/1667139944</v>
      </c>
      <c r="AS13" s="63" t="b">
        <v>1</v>
      </c>
      <c r="AT13" s="63" t="b">
        <v>0</v>
      </c>
      <c r="AU13" s="63" t="b">
        <v>0</v>
      </c>
      <c r="AV13" s="63"/>
      <c r="AW13" s="63">
        <v>7</v>
      </c>
      <c r="AX13" s="63"/>
      <c r="AY13" s="63" t="b">
        <v>0</v>
      </c>
      <c r="AZ13" s="63" t="s">
        <v>876</v>
      </c>
      <c r="BA13" s="93" t="str">
        <f>HYPERLINK("https://twitter.com/transvisionmad1")</f>
        <v>https://twitter.com/transvisionmad1</v>
      </c>
      <c r="BB13" s="63" t="s">
        <v>66</v>
      </c>
      <c r="BC13" s="45" t="s">
        <v>1115</v>
      </c>
      <c r="BD13" s="45" t="s">
        <v>1127</v>
      </c>
      <c r="BE13" s="45" t="s">
        <v>1135</v>
      </c>
      <c r="BF13" s="45" t="s">
        <v>1143</v>
      </c>
      <c r="BG13" s="45" t="s">
        <v>1150</v>
      </c>
      <c r="BH13" s="45" t="s">
        <v>1161</v>
      </c>
      <c r="BI13" s="108" t="s">
        <v>1182</v>
      </c>
      <c r="BJ13" s="108" t="s">
        <v>1203</v>
      </c>
      <c r="BK13" s="108" t="s">
        <v>1218</v>
      </c>
      <c r="BL13" s="108" t="s">
        <v>1237</v>
      </c>
      <c r="BM13" s="108">
        <v>6</v>
      </c>
      <c r="BN13" s="111">
        <v>0.6993006993006993</v>
      </c>
      <c r="BO13" s="108">
        <v>0</v>
      </c>
      <c r="BP13" s="111">
        <v>0</v>
      </c>
      <c r="BQ13" s="108">
        <v>0</v>
      </c>
      <c r="BR13" s="111">
        <v>0</v>
      </c>
      <c r="BS13" s="108">
        <v>622</v>
      </c>
      <c r="BT13" s="111">
        <v>72.49417249417249</v>
      </c>
      <c r="BU13" s="108">
        <v>858</v>
      </c>
    </row>
    <row r="14" spans="1:73" ht="41.45" customHeight="1">
      <c r="A14" s="62" t="s">
        <v>282</v>
      </c>
      <c r="C14" s="64"/>
      <c r="D14" s="64" t="s">
        <v>64</v>
      </c>
      <c r="E14" s="67">
        <v>1000</v>
      </c>
      <c r="F14" s="69"/>
      <c r="G14" s="104" t="str">
        <f>HYPERLINK("https://pbs.twimg.com/profile_images/1060178682403266561/Kuf9_hvx_normal.jpg")</f>
        <v>https://pbs.twimg.com/profile_images/1060178682403266561/Kuf9_hvx_normal.jpg</v>
      </c>
      <c r="H14" s="64"/>
      <c r="I14" s="70" t="s">
        <v>282</v>
      </c>
      <c r="J14" s="71"/>
      <c r="K14" s="71"/>
      <c r="L14" s="70" t="s">
        <v>887</v>
      </c>
      <c r="M14" s="74">
        <v>9999</v>
      </c>
      <c r="N14" s="75">
        <v>2089.9150390625</v>
      </c>
      <c r="O14" s="75">
        <v>6344.55517578125</v>
      </c>
      <c r="P14" s="76"/>
      <c r="Q14" s="77"/>
      <c r="R14" s="77"/>
      <c r="S14" s="102"/>
      <c r="T14" s="45">
        <v>0</v>
      </c>
      <c r="U14" s="45">
        <v>15</v>
      </c>
      <c r="V14" s="46">
        <v>30.111111</v>
      </c>
      <c r="W14" s="46">
        <v>0.636364</v>
      </c>
      <c r="X14" s="46">
        <v>0.264998</v>
      </c>
      <c r="Y14" s="46">
        <v>0.030718</v>
      </c>
      <c r="Z14" s="46">
        <v>0.24285714285714285</v>
      </c>
      <c r="AA14" s="46">
        <v>0</v>
      </c>
      <c r="AB14" s="72">
        <v>14</v>
      </c>
      <c r="AC14" s="72"/>
      <c r="AD14" s="73"/>
      <c r="AE14" s="63" t="str">
        <f>REPLACE(INDEX(GroupVertices[Group],MATCH(Vertices[[#This Row],[Vertex]],GroupVertices[Vertex],0)),1,1,"")</f>
        <v>1</v>
      </c>
      <c r="AF14" s="63" t="s">
        <v>757</v>
      </c>
      <c r="AG14" s="96" t="s">
        <v>792</v>
      </c>
      <c r="AH14" s="63">
        <v>95933</v>
      </c>
      <c r="AI14" s="63">
        <v>96448</v>
      </c>
      <c r="AJ14" s="63">
        <v>2132787</v>
      </c>
      <c r="AK14" s="63">
        <v>1405150</v>
      </c>
      <c r="AL14" s="63"/>
      <c r="AM14" s="63" t="s">
        <v>827</v>
      </c>
      <c r="AN14" s="63"/>
      <c r="AO14" s="63"/>
      <c r="AP14" s="63"/>
      <c r="AQ14" s="90">
        <v>41374.39542824074</v>
      </c>
      <c r="AR14" s="93" t="str">
        <f>HYPERLINK("https://pbs.twimg.com/profile_banners/1341462944/1638569733")</f>
        <v>https://pbs.twimg.com/profile_banners/1341462944/1638569733</v>
      </c>
      <c r="AS14" s="63" t="b">
        <v>1</v>
      </c>
      <c r="AT14" s="63" t="b">
        <v>0</v>
      </c>
      <c r="AU14" s="63" t="b">
        <v>1</v>
      </c>
      <c r="AV14" s="63"/>
      <c r="AW14" s="63">
        <v>6667</v>
      </c>
      <c r="AX14" s="93" t="str">
        <f>HYPERLINK("https://abs.twimg.com/images/themes/theme1/bg.png")</f>
        <v>https://abs.twimg.com/images/themes/theme1/bg.png</v>
      </c>
      <c r="AY14" s="63" t="b">
        <v>0</v>
      </c>
      <c r="AZ14" s="63" t="s">
        <v>876</v>
      </c>
      <c r="BA14" s="93" t="str">
        <f>HYPERLINK("https://twitter.com/paoloigna1")</f>
        <v>https://twitter.com/paoloigna1</v>
      </c>
      <c r="BB14" s="63" t="s">
        <v>66</v>
      </c>
      <c r="BC14" s="45" t="s">
        <v>1116</v>
      </c>
      <c r="BD14" s="45" t="s">
        <v>1128</v>
      </c>
      <c r="BE14" s="45" t="s">
        <v>1136</v>
      </c>
      <c r="BF14" s="45" t="s">
        <v>1144</v>
      </c>
      <c r="BG14" s="45" t="s">
        <v>1151</v>
      </c>
      <c r="BH14" s="45" t="s">
        <v>1162</v>
      </c>
      <c r="BI14" s="108" t="s">
        <v>1183</v>
      </c>
      <c r="BJ14" s="108" t="s">
        <v>1204</v>
      </c>
      <c r="BK14" s="108" t="s">
        <v>1219</v>
      </c>
      <c r="BL14" s="108" t="s">
        <v>1219</v>
      </c>
      <c r="BM14" s="108">
        <v>0</v>
      </c>
      <c r="BN14" s="111">
        <v>0</v>
      </c>
      <c r="BO14" s="108">
        <v>0</v>
      </c>
      <c r="BP14" s="111">
        <v>0</v>
      </c>
      <c r="BQ14" s="108">
        <v>0</v>
      </c>
      <c r="BR14" s="111">
        <v>0</v>
      </c>
      <c r="BS14" s="108">
        <v>55</v>
      </c>
      <c r="BT14" s="111">
        <v>77.46478873239437</v>
      </c>
      <c r="BU14" s="108">
        <v>71</v>
      </c>
    </row>
    <row r="15" spans="1:73" ht="41.45" customHeight="1">
      <c r="A15" s="62" t="s">
        <v>309</v>
      </c>
      <c r="C15" s="64"/>
      <c r="D15" s="64" t="s">
        <v>64</v>
      </c>
      <c r="E15" s="67">
        <v>504.08599070714786</v>
      </c>
      <c r="F15" s="69"/>
      <c r="G15" s="104" t="str">
        <f>HYPERLINK("https://pbs.twimg.com/profile_images/1572676006254723074/g4q3n9OF_normal.jpg")</f>
        <v>https://pbs.twimg.com/profile_images/1572676006254723074/g4q3n9OF_normal.jpg</v>
      </c>
      <c r="H15" s="64"/>
      <c r="I15" s="70" t="s">
        <v>309</v>
      </c>
      <c r="J15" s="71"/>
      <c r="K15" s="71"/>
      <c r="L15" s="70" t="s">
        <v>888</v>
      </c>
      <c r="M15" s="74">
        <v>1331.2113495628003</v>
      </c>
      <c r="N15" s="75">
        <v>1682.561279296875</v>
      </c>
      <c r="O15" s="75">
        <v>887.2759399414062</v>
      </c>
      <c r="P15" s="76"/>
      <c r="Q15" s="77"/>
      <c r="R15" s="77"/>
      <c r="S15" s="102"/>
      <c r="T15" s="45">
        <v>6</v>
      </c>
      <c r="U15" s="45">
        <v>0</v>
      </c>
      <c r="V15" s="46">
        <v>2.428571</v>
      </c>
      <c r="W15" s="46">
        <v>0.514706</v>
      </c>
      <c r="X15" s="46">
        <v>0.145569</v>
      </c>
      <c r="Y15" s="46">
        <v>0.025433</v>
      </c>
      <c r="Z15" s="46">
        <v>0.43333333333333335</v>
      </c>
      <c r="AA15" s="46">
        <v>0</v>
      </c>
      <c r="AB15" s="72">
        <v>15</v>
      </c>
      <c r="AC15" s="72"/>
      <c r="AD15" s="73"/>
      <c r="AE15" s="63" t="str">
        <f>REPLACE(INDEX(GroupVertices[Group],MATCH(Vertices[[#This Row],[Vertex]],GroupVertices[Vertex],0)),1,1,"")</f>
        <v>1</v>
      </c>
      <c r="AF15" s="63" t="s">
        <v>758</v>
      </c>
      <c r="AG15" s="96" t="s">
        <v>793</v>
      </c>
      <c r="AH15" s="63">
        <v>2202</v>
      </c>
      <c r="AI15" s="63">
        <v>12866</v>
      </c>
      <c r="AJ15" s="63">
        <v>13464</v>
      </c>
      <c r="AK15" s="63">
        <v>9802</v>
      </c>
      <c r="AL15" s="63"/>
      <c r="AM15" s="63" t="s">
        <v>828</v>
      </c>
      <c r="AN15" s="63" t="s">
        <v>860</v>
      </c>
      <c r="AO15" s="93" t="str">
        <f>HYPERLINK("https://t.co/YH92JBvZsv")</f>
        <v>https://t.co/YH92JBvZsv</v>
      </c>
      <c r="AP15" s="63"/>
      <c r="AQ15" s="90">
        <v>42048.47858796296</v>
      </c>
      <c r="AR15" s="93" t="str">
        <f>HYPERLINK("https://pbs.twimg.com/profile_banners/3034438655/1662898243")</f>
        <v>https://pbs.twimg.com/profile_banners/3034438655/1662898243</v>
      </c>
      <c r="AS15" s="63" t="b">
        <v>0</v>
      </c>
      <c r="AT15" s="63" t="b">
        <v>0</v>
      </c>
      <c r="AU15" s="63" t="b">
        <v>1</v>
      </c>
      <c r="AV15" s="63"/>
      <c r="AW15" s="63">
        <v>69</v>
      </c>
      <c r="AX15" s="93" t="str">
        <f>HYPERLINK("https://abs.twimg.com/images/themes/theme1/bg.png")</f>
        <v>https://abs.twimg.com/images/themes/theme1/bg.png</v>
      </c>
      <c r="AY15" s="63" t="b">
        <v>1</v>
      </c>
      <c r="AZ15" s="63" t="s">
        <v>876</v>
      </c>
      <c r="BA15" s="93" t="str">
        <f>HYPERLINK("https://twitter.com/angelninoq")</f>
        <v>https://twitter.com/angelninoq</v>
      </c>
      <c r="BB15" s="63" t="s">
        <v>65</v>
      </c>
      <c r="BC15" s="45"/>
      <c r="BD15" s="45"/>
      <c r="BE15" s="45"/>
      <c r="BF15" s="45"/>
      <c r="BG15" s="45"/>
      <c r="BH15" s="45"/>
      <c r="BI15" s="45"/>
      <c r="BJ15" s="45"/>
      <c r="BK15" s="45"/>
      <c r="BL15" s="45"/>
      <c r="BM15" s="45"/>
      <c r="BN15" s="46"/>
      <c r="BO15" s="45"/>
      <c r="BP15" s="46"/>
      <c r="BQ15" s="45"/>
      <c r="BR15" s="46"/>
      <c r="BS15" s="45"/>
      <c r="BT15" s="46"/>
      <c r="BU15" s="45"/>
    </row>
    <row r="16" spans="1:73" ht="41.45" customHeight="1">
      <c r="A16" s="62" t="s">
        <v>310</v>
      </c>
      <c r="C16" s="64"/>
      <c r="D16" s="64" t="s">
        <v>64</v>
      </c>
      <c r="E16" s="67">
        <v>1000</v>
      </c>
      <c r="F16" s="69"/>
      <c r="G16" s="104" t="str">
        <f>HYPERLINK("https://pbs.twimg.com/profile_images/543332302/AdG-TED_normal.jpg")</f>
        <v>https://pbs.twimg.com/profile_images/543332302/AdG-TED_normal.jpg</v>
      </c>
      <c r="H16" s="64"/>
      <c r="I16" s="70" t="s">
        <v>310</v>
      </c>
      <c r="J16" s="71"/>
      <c r="K16" s="71"/>
      <c r="L16" s="70" t="s">
        <v>889</v>
      </c>
      <c r="M16" s="74">
        <v>5544.9127259903125</v>
      </c>
      <c r="N16" s="75">
        <v>4817.85888671875</v>
      </c>
      <c r="O16" s="75">
        <v>1140.4996337890625</v>
      </c>
      <c r="P16" s="76"/>
      <c r="Q16" s="77"/>
      <c r="R16" s="77"/>
      <c r="S16" s="102"/>
      <c r="T16" s="45">
        <v>8</v>
      </c>
      <c r="U16" s="45">
        <v>0</v>
      </c>
      <c r="V16" s="46">
        <v>15.428571</v>
      </c>
      <c r="W16" s="46">
        <v>0.555556</v>
      </c>
      <c r="X16" s="46">
        <v>0.170623</v>
      </c>
      <c r="Y16" s="46">
        <v>0.027638</v>
      </c>
      <c r="Z16" s="46">
        <v>0.35714285714285715</v>
      </c>
      <c r="AA16" s="46">
        <v>0</v>
      </c>
      <c r="AB16" s="72">
        <v>16</v>
      </c>
      <c r="AC16" s="72"/>
      <c r="AD16" s="73"/>
      <c r="AE16" s="63" t="str">
        <f>REPLACE(INDEX(GroupVertices[Group],MATCH(Vertices[[#This Row],[Vertex]],GroupVertices[Vertex],0)),1,1,"")</f>
        <v>2</v>
      </c>
      <c r="AF16" s="63" t="s">
        <v>759</v>
      </c>
      <c r="AG16" s="96" t="s">
        <v>794</v>
      </c>
      <c r="AH16" s="63">
        <v>8</v>
      </c>
      <c r="AI16" s="63">
        <v>53498</v>
      </c>
      <c r="AJ16" s="63">
        <v>1943</v>
      </c>
      <c r="AK16" s="63">
        <v>147</v>
      </c>
      <c r="AL16" s="63"/>
      <c r="AM16" s="63" t="s">
        <v>829</v>
      </c>
      <c r="AN16" s="63" t="s">
        <v>861</v>
      </c>
      <c r="AO16" s="93" t="str">
        <f>HYPERLINK("https://t.co/a9ZsQef3HH")</f>
        <v>https://t.co/a9ZsQef3HH</v>
      </c>
      <c r="AP16" s="63"/>
      <c r="AQ16" s="90">
        <v>40142.5284375</v>
      </c>
      <c r="AR16" s="63"/>
      <c r="AS16" s="63" t="b">
        <v>0</v>
      </c>
      <c r="AT16" s="63" t="b">
        <v>0</v>
      </c>
      <c r="AU16" s="63" t="b">
        <v>0</v>
      </c>
      <c r="AV16" s="63"/>
      <c r="AW16" s="63">
        <v>1146</v>
      </c>
      <c r="AX16" s="93" t="str">
        <f>HYPERLINK("https://abs.twimg.com/images/themes/theme10/bg.gif")</f>
        <v>https://abs.twimg.com/images/themes/theme10/bg.gif</v>
      </c>
      <c r="AY16" s="63" t="b">
        <v>0</v>
      </c>
      <c r="AZ16" s="63" t="s">
        <v>876</v>
      </c>
      <c r="BA16" s="93" t="str">
        <f>HYPERLINK("https://twitter.com/aubreydegrey")</f>
        <v>https://twitter.com/aubreydegrey</v>
      </c>
      <c r="BB16" s="63" t="s">
        <v>65</v>
      </c>
      <c r="BC16" s="45"/>
      <c r="BD16" s="45"/>
      <c r="BE16" s="45"/>
      <c r="BF16" s="45"/>
      <c r="BG16" s="45"/>
      <c r="BH16" s="45"/>
      <c r="BI16" s="45"/>
      <c r="BJ16" s="45"/>
      <c r="BK16" s="45"/>
      <c r="BL16" s="45"/>
      <c r="BM16" s="45"/>
      <c r="BN16" s="46"/>
      <c r="BO16" s="45"/>
      <c r="BP16" s="46"/>
      <c r="BQ16" s="45"/>
      <c r="BR16" s="46"/>
      <c r="BS16" s="45"/>
      <c r="BT16" s="46"/>
      <c r="BU16" s="45"/>
    </row>
    <row r="17" spans="1:73" ht="41.45" customHeight="1">
      <c r="A17" s="62" t="s">
        <v>299</v>
      </c>
      <c r="C17" s="64"/>
      <c r="D17" s="64" t="s">
        <v>64</v>
      </c>
      <c r="E17" s="67">
        <v>378.36732225829036</v>
      </c>
      <c r="F17" s="69"/>
      <c r="G17" s="104" t="str">
        <f>HYPERLINK("https://pbs.twimg.com/profile_images/1253854829807636483/llwZYkj9_normal.jpg")</f>
        <v>https://pbs.twimg.com/profile_images/1253854829807636483/llwZYkj9_normal.jpg</v>
      </c>
      <c r="H17" s="64"/>
      <c r="I17" s="70" t="s">
        <v>299</v>
      </c>
      <c r="J17" s="71"/>
      <c r="K17" s="71"/>
      <c r="L17" s="70" t="s">
        <v>890</v>
      </c>
      <c r="M17" s="74">
        <v>842.3506415376157</v>
      </c>
      <c r="N17" s="75">
        <v>3268.776123046875</v>
      </c>
      <c r="O17" s="75">
        <v>3328.994384765625</v>
      </c>
      <c r="P17" s="76"/>
      <c r="Q17" s="77"/>
      <c r="R17" s="77"/>
      <c r="S17" s="102"/>
      <c r="T17" s="45">
        <v>6</v>
      </c>
      <c r="U17" s="45">
        <v>1</v>
      </c>
      <c r="V17" s="46">
        <v>2.428571</v>
      </c>
      <c r="W17" s="46">
        <v>0.530303</v>
      </c>
      <c r="X17" s="46">
        <v>0.163065</v>
      </c>
      <c r="Y17" s="46">
        <v>0.025843</v>
      </c>
      <c r="Z17" s="46">
        <v>0.4523809523809524</v>
      </c>
      <c r="AA17" s="46">
        <v>0</v>
      </c>
      <c r="AB17" s="72">
        <v>17</v>
      </c>
      <c r="AC17" s="72"/>
      <c r="AD17" s="73"/>
      <c r="AE17" s="63" t="str">
        <f>REPLACE(INDEX(GroupVertices[Group],MATCH(Vertices[[#This Row],[Vertex]],GroupVertices[Vertex],0)),1,1,"")</f>
        <v>1</v>
      </c>
      <c r="AF17" s="63" t="s">
        <v>760</v>
      </c>
      <c r="AG17" s="96" t="s">
        <v>795</v>
      </c>
      <c r="AH17" s="63">
        <v>196</v>
      </c>
      <c r="AI17" s="63">
        <v>8152</v>
      </c>
      <c r="AJ17" s="63">
        <v>1185</v>
      </c>
      <c r="AK17" s="63">
        <v>613</v>
      </c>
      <c r="AL17" s="63"/>
      <c r="AM17" s="63" t="s">
        <v>830</v>
      </c>
      <c r="AN17" s="63" t="s">
        <v>862</v>
      </c>
      <c r="AO17" s="93" t="str">
        <f>HYPERLINK("https://t.co/UJQHrJX0OI")</f>
        <v>https://t.co/UJQHrJX0OI</v>
      </c>
      <c r="AP17" s="63"/>
      <c r="AQ17" s="90">
        <v>39820.06138888889</v>
      </c>
      <c r="AR17" s="93" t="str">
        <f>HYPERLINK("https://pbs.twimg.com/profile_banners/18705065/1587760322")</f>
        <v>https://pbs.twimg.com/profile_banners/18705065/1587760322</v>
      </c>
      <c r="AS17" s="63" t="b">
        <v>0</v>
      </c>
      <c r="AT17" s="63" t="b">
        <v>0</v>
      </c>
      <c r="AU17" s="63" t="b">
        <v>1</v>
      </c>
      <c r="AV17" s="63"/>
      <c r="AW17" s="63">
        <v>476</v>
      </c>
      <c r="AX17" s="93" t="str">
        <f>HYPERLINK("https://abs.twimg.com/images/themes/theme1/bg.png")</f>
        <v>https://abs.twimg.com/images/themes/theme1/bg.png</v>
      </c>
      <c r="AY17" s="63" t="b">
        <v>0</v>
      </c>
      <c r="AZ17" s="63" t="s">
        <v>876</v>
      </c>
      <c r="BA17" s="93" t="str">
        <f>HYPERLINK("https://twitter.com/humanityplus")</f>
        <v>https://twitter.com/humanityplus</v>
      </c>
      <c r="BB17" s="63" t="s">
        <v>66</v>
      </c>
      <c r="BC17" s="45"/>
      <c r="BD17" s="45"/>
      <c r="BE17" s="45"/>
      <c r="BF17" s="45"/>
      <c r="BG17" s="45" t="s">
        <v>421</v>
      </c>
      <c r="BH17" s="45" t="s">
        <v>421</v>
      </c>
      <c r="BI17" s="108" t="s">
        <v>1184</v>
      </c>
      <c r="BJ17" s="108" t="s">
        <v>1184</v>
      </c>
      <c r="BK17" s="108" t="s">
        <v>1220</v>
      </c>
      <c r="BL17" s="108" t="s">
        <v>1220</v>
      </c>
      <c r="BM17" s="108">
        <v>1</v>
      </c>
      <c r="BN17" s="111">
        <v>7.6923076923076925</v>
      </c>
      <c r="BO17" s="108">
        <v>0</v>
      </c>
      <c r="BP17" s="111">
        <v>0</v>
      </c>
      <c r="BQ17" s="108">
        <v>0</v>
      </c>
      <c r="BR17" s="111">
        <v>0</v>
      </c>
      <c r="BS17" s="108">
        <v>7</v>
      </c>
      <c r="BT17" s="111">
        <v>53.84615384615385</v>
      </c>
      <c r="BU17" s="108">
        <v>13</v>
      </c>
    </row>
    <row r="18" spans="1:73" ht="41.45" customHeight="1">
      <c r="A18" s="62" t="s">
        <v>311</v>
      </c>
      <c r="C18" s="64"/>
      <c r="D18" s="64" t="s">
        <v>64</v>
      </c>
      <c r="E18" s="67">
        <v>208.21774552861052</v>
      </c>
      <c r="F18" s="69"/>
      <c r="G18" s="104" t="str">
        <f>HYPERLINK("https://pbs.twimg.com/profile_images/1552199187256774657/7skXXTMX_normal.jpg")</f>
        <v>https://pbs.twimg.com/profile_images/1552199187256774657/7skXXTMX_normal.jpg</v>
      </c>
      <c r="H18" s="64"/>
      <c r="I18" s="70" t="s">
        <v>311</v>
      </c>
      <c r="J18" s="71"/>
      <c r="K18" s="71"/>
      <c r="L18" s="70" t="s">
        <v>891</v>
      </c>
      <c r="M18" s="74">
        <v>180.71905112593222</v>
      </c>
      <c r="N18" s="75">
        <v>2970.304931640625</v>
      </c>
      <c r="O18" s="75">
        <v>8083.99658203125</v>
      </c>
      <c r="P18" s="76"/>
      <c r="Q18" s="77"/>
      <c r="R18" s="77"/>
      <c r="S18" s="102"/>
      <c r="T18" s="45">
        <v>6</v>
      </c>
      <c r="U18" s="45">
        <v>0</v>
      </c>
      <c r="V18" s="46">
        <v>2.428571</v>
      </c>
      <c r="W18" s="46">
        <v>0.514706</v>
      </c>
      <c r="X18" s="46">
        <v>0.145569</v>
      </c>
      <c r="Y18" s="46">
        <v>0.025433</v>
      </c>
      <c r="Z18" s="46">
        <v>0.43333333333333335</v>
      </c>
      <c r="AA18" s="46">
        <v>0</v>
      </c>
      <c r="AB18" s="72">
        <v>18</v>
      </c>
      <c r="AC18" s="72"/>
      <c r="AD18" s="73"/>
      <c r="AE18" s="63" t="str">
        <f>REPLACE(INDEX(GroupVertices[Group],MATCH(Vertices[[#This Row],[Vertex]],GroupVertices[Vertex],0)),1,1,"")</f>
        <v>1</v>
      </c>
      <c r="AF18" s="63" t="s">
        <v>761</v>
      </c>
      <c r="AG18" s="96" t="s">
        <v>796</v>
      </c>
      <c r="AH18" s="63">
        <v>125</v>
      </c>
      <c r="AI18" s="63">
        <v>1772</v>
      </c>
      <c r="AJ18" s="63">
        <v>4078</v>
      </c>
      <c r="AK18" s="63">
        <v>56213</v>
      </c>
      <c r="AL18" s="63"/>
      <c r="AM18" s="63" t="s">
        <v>831</v>
      </c>
      <c r="AN18" s="63" t="s">
        <v>863</v>
      </c>
      <c r="AO18" s="93" t="str">
        <f>HYPERLINK("https://t.co/Q7pEe8Y5UI")</f>
        <v>https://t.co/Q7pEe8Y5UI</v>
      </c>
      <c r="AP18" s="63"/>
      <c r="AQ18" s="90">
        <v>41886.48725694444</v>
      </c>
      <c r="AR18" s="93" t="str">
        <f>HYPERLINK("https://pbs.twimg.com/profile_banners/2789646026/1658907589")</f>
        <v>https://pbs.twimg.com/profile_banners/2789646026/1658907589</v>
      </c>
      <c r="AS18" s="63" t="b">
        <v>0</v>
      </c>
      <c r="AT18" s="63" t="b">
        <v>0</v>
      </c>
      <c r="AU18" s="63" t="b">
        <v>0</v>
      </c>
      <c r="AV18" s="63"/>
      <c r="AW18" s="63">
        <v>34</v>
      </c>
      <c r="AX18" s="93" t="str">
        <f>HYPERLINK("https://abs.twimg.com/images/themes/theme1/bg.png")</f>
        <v>https://abs.twimg.com/images/themes/theme1/bg.png</v>
      </c>
      <c r="AY18" s="63" t="b">
        <v>0</v>
      </c>
      <c r="AZ18" s="63" t="s">
        <v>876</v>
      </c>
      <c r="BA18" s="93" t="str">
        <f>HYPERLINK("https://twitter.com/elpoderdecurar")</f>
        <v>https://twitter.com/elpoderdecurar</v>
      </c>
      <c r="BB18" s="63" t="s">
        <v>65</v>
      </c>
      <c r="BC18" s="45"/>
      <c r="BD18" s="45"/>
      <c r="BE18" s="45"/>
      <c r="BF18" s="45"/>
      <c r="BG18" s="45"/>
      <c r="BH18" s="45"/>
      <c r="BI18" s="45"/>
      <c r="BJ18" s="45"/>
      <c r="BK18" s="45"/>
      <c r="BL18" s="45"/>
      <c r="BM18" s="45"/>
      <c r="BN18" s="46"/>
      <c r="BO18" s="45"/>
      <c r="BP18" s="46"/>
      <c r="BQ18" s="45"/>
      <c r="BR18" s="46"/>
      <c r="BS18" s="45"/>
      <c r="BT18" s="46"/>
      <c r="BU18" s="45"/>
    </row>
    <row r="19" spans="1:73" ht="41.45" customHeight="1">
      <c r="A19" s="62" t="s">
        <v>302</v>
      </c>
      <c r="C19" s="64"/>
      <c r="D19" s="64" t="s">
        <v>64</v>
      </c>
      <c r="E19" s="67">
        <v>208.75112978168164</v>
      </c>
      <c r="F19" s="69"/>
      <c r="G19" s="104" t="str">
        <f>HYPERLINK("https://pbs.twimg.com/profile_images/1054503139993440256/anuZLkr5_normal.jpg")</f>
        <v>https://pbs.twimg.com/profile_images/1054503139993440256/anuZLkr5_normal.jpg</v>
      </c>
      <c r="H19" s="64"/>
      <c r="I19" s="70" t="s">
        <v>302</v>
      </c>
      <c r="J19" s="71"/>
      <c r="K19" s="71"/>
      <c r="L19" s="70" t="s">
        <v>892</v>
      </c>
      <c r="M19" s="74">
        <v>182.7931313466585</v>
      </c>
      <c r="N19" s="75">
        <v>1242.010498046875</v>
      </c>
      <c r="O19" s="75">
        <v>7798.69873046875</v>
      </c>
      <c r="P19" s="76"/>
      <c r="Q19" s="77"/>
      <c r="R19" s="77"/>
      <c r="S19" s="102"/>
      <c r="T19" s="45">
        <v>6</v>
      </c>
      <c r="U19" s="45">
        <v>1</v>
      </c>
      <c r="V19" s="46">
        <v>2.428571</v>
      </c>
      <c r="W19" s="46">
        <v>0.514706</v>
      </c>
      <c r="X19" s="46">
        <v>0.145569</v>
      </c>
      <c r="Y19" s="46">
        <v>0.025433</v>
      </c>
      <c r="Z19" s="46">
        <v>0.43333333333333335</v>
      </c>
      <c r="AA19" s="46">
        <v>0.16666666666666666</v>
      </c>
      <c r="AB19" s="72">
        <v>19</v>
      </c>
      <c r="AC19" s="72"/>
      <c r="AD19" s="73"/>
      <c r="AE19" s="63" t="str">
        <f>REPLACE(INDEX(GroupVertices[Group],MATCH(Vertices[[#This Row],[Vertex]],GroupVertices[Vertex],0)),1,1,"")</f>
        <v>1</v>
      </c>
      <c r="AF19" s="63" t="s">
        <v>762</v>
      </c>
      <c r="AG19" s="96" t="s">
        <v>797</v>
      </c>
      <c r="AH19" s="63">
        <v>1211</v>
      </c>
      <c r="AI19" s="63">
        <v>1792</v>
      </c>
      <c r="AJ19" s="63">
        <v>11528</v>
      </c>
      <c r="AK19" s="63">
        <v>9315</v>
      </c>
      <c r="AL19" s="63"/>
      <c r="AM19" s="63" t="s">
        <v>832</v>
      </c>
      <c r="AN19" s="63" t="s">
        <v>863</v>
      </c>
      <c r="AO19" s="93" t="str">
        <f>HYPERLINK("https://t.co/hGSgv4cTng")</f>
        <v>https://t.co/hGSgv4cTng</v>
      </c>
      <c r="AP19" s="63"/>
      <c r="AQ19" s="90">
        <v>40478.443391203706</v>
      </c>
      <c r="AR19" s="93" t="str">
        <f>HYPERLINK("https://pbs.twimg.com/profile_banners/208476736/1512897177")</f>
        <v>https://pbs.twimg.com/profile_banners/208476736/1512897177</v>
      </c>
      <c r="AS19" s="63" t="b">
        <v>0</v>
      </c>
      <c r="AT19" s="63" t="b">
        <v>0</v>
      </c>
      <c r="AU19" s="63" t="b">
        <v>1</v>
      </c>
      <c r="AV19" s="63"/>
      <c r="AW19" s="63">
        <v>65</v>
      </c>
      <c r="AX19" s="93" t="str">
        <f>HYPERLINK("https://abs.twimg.com/images/themes/theme4/bg.gif")</f>
        <v>https://abs.twimg.com/images/themes/theme4/bg.gif</v>
      </c>
      <c r="AY19" s="63" t="b">
        <v>0</v>
      </c>
      <c r="AZ19" s="63" t="s">
        <v>876</v>
      </c>
      <c r="BA19" s="93" t="str">
        <f>HYPERLINK("https://twitter.com/rosanaribera")</f>
        <v>https://twitter.com/rosanaribera</v>
      </c>
      <c r="BB19" s="63" t="s">
        <v>66</v>
      </c>
      <c r="BC19" s="45" t="s">
        <v>1117</v>
      </c>
      <c r="BD19" s="45" t="s">
        <v>1117</v>
      </c>
      <c r="BE19" s="45" t="s">
        <v>410</v>
      </c>
      <c r="BF19" s="45" t="s">
        <v>410</v>
      </c>
      <c r="BG19" s="45" t="s">
        <v>432</v>
      </c>
      <c r="BH19" s="45" t="s">
        <v>1163</v>
      </c>
      <c r="BI19" s="108" t="s">
        <v>1185</v>
      </c>
      <c r="BJ19" s="108" t="s">
        <v>1185</v>
      </c>
      <c r="BK19" s="108" t="s">
        <v>1221</v>
      </c>
      <c r="BL19" s="108" t="s">
        <v>1221</v>
      </c>
      <c r="BM19" s="108">
        <v>0</v>
      </c>
      <c r="BN19" s="111">
        <v>0</v>
      </c>
      <c r="BO19" s="108">
        <v>0</v>
      </c>
      <c r="BP19" s="111">
        <v>0</v>
      </c>
      <c r="BQ19" s="108">
        <v>0</v>
      </c>
      <c r="BR19" s="111">
        <v>0</v>
      </c>
      <c r="BS19" s="108">
        <v>19</v>
      </c>
      <c r="BT19" s="111">
        <v>63.333333333333336</v>
      </c>
      <c r="BU19" s="108">
        <v>30</v>
      </c>
    </row>
    <row r="20" spans="1:73" ht="41.45" customHeight="1">
      <c r="A20" s="62" t="s">
        <v>296</v>
      </c>
      <c r="C20" s="64"/>
      <c r="D20" s="64" t="s">
        <v>64</v>
      </c>
      <c r="E20" s="67">
        <v>258.03583476545094</v>
      </c>
      <c r="F20" s="69"/>
      <c r="G20" s="104" t="str">
        <f>HYPERLINK("https://pbs.twimg.com/profile_images/1584297157913362432/7rg-X0Qa_normal.jpg")</f>
        <v>https://pbs.twimg.com/profile_images/1584297157913362432/7rg-X0Qa_normal.jpg</v>
      </c>
      <c r="H20" s="64"/>
      <c r="I20" s="70" t="s">
        <v>296</v>
      </c>
      <c r="J20" s="71"/>
      <c r="K20" s="71"/>
      <c r="L20" s="70" t="s">
        <v>893</v>
      </c>
      <c r="M20" s="74">
        <v>374.43814374176685</v>
      </c>
      <c r="N20" s="75">
        <v>7777.64794921875</v>
      </c>
      <c r="O20" s="75">
        <v>9287.87890625</v>
      </c>
      <c r="P20" s="76"/>
      <c r="Q20" s="77"/>
      <c r="R20" s="77"/>
      <c r="S20" s="102"/>
      <c r="T20" s="45">
        <v>5</v>
      </c>
      <c r="U20" s="45">
        <v>15</v>
      </c>
      <c r="V20" s="46">
        <v>38.992063</v>
      </c>
      <c r="W20" s="46">
        <v>0.673077</v>
      </c>
      <c r="X20" s="46">
        <v>0.314301</v>
      </c>
      <c r="Y20" s="46">
        <v>0.031912</v>
      </c>
      <c r="Z20" s="46">
        <v>0.27450980392156865</v>
      </c>
      <c r="AA20" s="46">
        <v>0.1111111111111111</v>
      </c>
      <c r="AB20" s="72">
        <v>20</v>
      </c>
      <c r="AC20" s="72"/>
      <c r="AD20" s="73"/>
      <c r="AE20" s="63" t="str">
        <f>REPLACE(INDEX(GroupVertices[Group],MATCH(Vertices[[#This Row],[Vertex]],GroupVertices[Vertex],0)),1,1,"")</f>
        <v>3</v>
      </c>
      <c r="AF20" s="63" t="s">
        <v>763</v>
      </c>
      <c r="AG20" s="96" t="s">
        <v>798</v>
      </c>
      <c r="AH20" s="63">
        <v>4998</v>
      </c>
      <c r="AI20" s="63">
        <v>3640</v>
      </c>
      <c r="AJ20" s="63">
        <v>153670</v>
      </c>
      <c r="AK20" s="63">
        <v>96339</v>
      </c>
      <c r="AL20" s="63"/>
      <c r="AM20" s="63" t="s">
        <v>833</v>
      </c>
      <c r="AN20" s="63" t="s">
        <v>860</v>
      </c>
      <c r="AO20" s="63"/>
      <c r="AP20" s="63"/>
      <c r="AQ20" s="90">
        <v>40679.3881712963</v>
      </c>
      <c r="AR20" s="93" t="str">
        <f>HYPERLINK("https://pbs.twimg.com/profile_banners/299558335/1645995113")</f>
        <v>https://pbs.twimg.com/profile_banners/299558335/1645995113</v>
      </c>
      <c r="AS20" s="63" t="b">
        <v>1</v>
      </c>
      <c r="AT20" s="63" t="b">
        <v>0</v>
      </c>
      <c r="AU20" s="63" t="b">
        <v>1</v>
      </c>
      <c r="AV20" s="63"/>
      <c r="AW20" s="63">
        <v>0</v>
      </c>
      <c r="AX20" s="93" t="str">
        <f>HYPERLINK("https://abs.twimg.com/images/themes/theme1/bg.png")</f>
        <v>https://abs.twimg.com/images/themes/theme1/bg.png</v>
      </c>
      <c r="AY20" s="63" t="b">
        <v>0</v>
      </c>
      <c r="AZ20" s="63" t="s">
        <v>876</v>
      </c>
      <c r="BA20" s="93" t="str">
        <f>HYPERLINK("https://twitter.com/adsdulantoscott")</f>
        <v>https://twitter.com/adsdulantoscott</v>
      </c>
      <c r="BB20" s="63" t="s">
        <v>66</v>
      </c>
      <c r="BC20" s="45" t="s">
        <v>1118</v>
      </c>
      <c r="BD20" s="45" t="s">
        <v>1118</v>
      </c>
      <c r="BE20" s="45" t="s">
        <v>403</v>
      </c>
      <c r="BF20" s="45" t="s">
        <v>403</v>
      </c>
      <c r="BG20" s="45" t="s">
        <v>1152</v>
      </c>
      <c r="BH20" s="45" t="s">
        <v>1164</v>
      </c>
      <c r="BI20" s="108" t="s">
        <v>1186</v>
      </c>
      <c r="BJ20" s="108" t="s">
        <v>1205</v>
      </c>
      <c r="BK20" s="108" t="s">
        <v>1222</v>
      </c>
      <c r="BL20" s="108" t="s">
        <v>1238</v>
      </c>
      <c r="BM20" s="108">
        <v>0</v>
      </c>
      <c r="BN20" s="111">
        <v>0</v>
      </c>
      <c r="BO20" s="108">
        <v>0</v>
      </c>
      <c r="BP20" s="111">
        <v>0</v>
      </c>
      <c r="BQ20" s="108">
        <v>0</v>
      </c>
      <c r="BR20" s="111">
        <v>0</v>
      </c>
      <c r="BS20" s="108">
        <v>77</v>
      </c>
      <c r="BT20" s="111">
        <v>72.64150943396227</v>
      </c>
      <c r="BU20" s="108">
        <v>106</v>
      </c>
    </row>
    <row r="21" spans="1:73" ht="41.45" customHeight="1">
      <c r="A21" s="62" t="s">
        <v>312</v>
      </c>
      <c r="C21" s="64"/>
      <c r="D21" s="64" t="s">
        <v>64</v>
      </c>
      <c r="E21" s="67">
        <v>162</v>
      </c>
      <c r="F21" s="69"/>
      <c r="G21" s="104" t="str">
        <f>HYPERLINK("https://pbs.twimg.com/profile_images/1400345757421641735/cmfUVnXY_normal.png")</f>
        <v>https://pbs.twimg.com/profile_images/1400345757421641735/cmfUVnXY_normal.png</v>
      </c>
      <c r="H21" s="64"/>
      <c r="I21" s="70" t="s">
        <v>312</v>
      </c>
      <c r="J21" s="71"/>
      <c r="K21" s="71"/>
      <c r="L21" s="70" t="s">
        <v>894</v>
      </c>
      <c r="M21" s="74">
        <v>1</v>
      </c>
      <c r="N21" s="75">
        <v>2013.8912353515625</v>
      </c>
      <c r="O21" s="75">
        <v>9381.4619140625</v>
      </c>
      <c r="P21" s="76"/>
      <c r="Q21" s="77"/>
      <c r="R21" s="77"/>
      <c r="S21" s="102"/>
      <c r="T21" s="45">
        <v>6</v>
      </c>
      <c r="U21" s="45">
        <v>0</v>
      </c>
      <c r="V21" s="46">
        <v>2.428571</v>
      </c>
      <c r="W21" s="46">
        <v>0.514706</v>
      </c>
      <c r="X21" s="46">
        <v>0.145569</v>
      </c>
      <c r="Y21" s="46">
        <v>0.025433</v>
      </c>
      <c r="Z21" s="46">
        <v>0.43333333333333335</v>
      </c>
      <c r="AA21" s="46">
        <v>0</v>
      </c>
      <c r="AB21" s="72">
        <v>21</v>
      </c>
      <c r="AC21" s="72"/>
      <c r="AD21" s="73"/>
      <c r="AE21" s="63" t="str">
        <f>REPLACE(INDEX(GroupVertices[Group],MATCH(Vertices[[#This Row],[Vertex]],GroupVertices[Vertex],0)),1,1,"")</f>
        <v>1</v>
      </c>
      <c r="AF21" s="63" t="s">
        <v>764</v>
      </c>
      <c r="AG21" s="96" t="s">
        <v>799</v>
      </c>
      <c r="AH21" s="63">
        <v>217</v>
      </c>
      <c r="AI21" s="63">
        <v>39</v>
      </c>
      <c r="AJ21" s="63">
        <v>64</v>
      </c>
      <c r="AK21" s="63">
        <v>17</v>
      </c>
      <c r="AL21" s="63"/>
      <c r="AM21" s="63" t="s">
        <v>834</v>
      </c>
      <c r="AN21" s="63" t="s">
        <v>864</v>
      </c>
      <c r="AO21" s="93" t="str">
        <f>HYPERLINK("https://t.co/UAMbQsWPKA")</f>
        <v>https://t.co/UAMbQsWPKA</v>
      </c>
      <c r="AP21" s="63"/>
      <c r="AQ21" s="90">
        <v>43242.54175925926</v>
      </c>
      <c r="AR21" s="93" t="str">
        <f>HYPERLINK("https://pbs.twimg.com/profile_banners/998911386406309894/1526994198")</f>
        <v>https://pbs.twimg.com/profile_banners/998911386406309894/1526994198</v>
      </c>
      <c r="AS21" s="63" t="b">
        <v>1</v>
      </c>
      <c r="AT21" s="63" t="b">
        <v>0</v>
      </c>
      <c r="AU21" s="63" t="b">
        <v>0</v>
      </c>
      <c r="AV21" s="63"/>
      <c r="AW21" s="63">
        <v>0</v>
      </c>
      <c r="AX21" s="63"/>
      <c r="AY21" s="63" t="b">
        <v>0</v>
      </c>
      <c r="AZ21" s="63" t="s">
        <v>876</v>
      </c>
      <c r="BA21" s="93" t="str">
        <f>HYPERLINK("https://twitter.com/lcomunicas")</f>
        <v>https://twitter.com/lcomunicas</v>
      </c>
      <c r="BB21" s="63" t="s">
        <v>65</v>
      </c>
      <c r="BC21" s="45"/>
      <c r="BD21" s="45"/>
      <c r="BE21" s="45"/>
      <c r="BF21" s="45"/>
      <c r="BG21" s="45"/>
      <c r="BH21" s="45"/>
      <c r="BI21" s="45"/>
      <c r="BJ21" s="45"/>
      <c r="BK21" s="45"/>
      <c r="BL21" s="45"/>
      <c r="BM21" s="45"/>
      <c r="BN21" s="46"/>
      <c r="BO21" s="45"/>
      <c r="BP21" s="46"/>
      <c r="BQ21" s="45"/>
      <c r="BR21" s="46"/>
      <c r="BS21" s="45"/>
      <c r="BT21" s="46"/>
      <c r="BU21" s="45"/>
    </row>
    <row r="22" spans="1:73" ht="41.45" customHeight="1">
      <c r="A22" s="62" t="s">
        <v>313</v>
      </c>
      <c r="C22" s="64"/>
      <c r="D22" s="64" t="s">
        <v>64</v>
      </c>
      <c r="E22" s="67">
        <v>263.5830309973904</v>
      </c>
      <c r="F22" s="69"/>
      <c r="G22" s="104" t="str">
        <f>HYPERLINK("https://pbs.twimg.com/profile_images/1108381971154157568/wd93X7_z_normal.png")</f>
        <v>https://pbs.twimg.com/profile_images/1108381971154157568/wd93X7_z_normal.png</v>
      </c>
      <c r="H22" s="64"/>
      <c r="I22" s="70" t="s">
        <v>313</v>
      </c>
      <c r="J22" s="71"/>
      <c r="K22" s="71"/>
      <c r="L22" s="70" t="s">
        <v>895</v>
      </c>
      <c r="M22" s="74">
        <v>396.00857803732015</v>
      </c>
      <c r="N22" s="75">
        <v>2573.5693359375</v>
      </c>
      <c r="O22" s="75">
        <v>716.6253662109375</v>
      </c>
      <c r="P22" s="76"/>
      <c r="Q22" s="77"/>
      <c r="R22" s="77"/>
      <c r="S22" s="102"/>
      <c r="T22" s="45">
        <v>6</v>
      </c>
      <c r="U22" s="45">
        <v>0</v>
      </c>
      <c r="V22" s="46">
        <v>2.428571</v>
      </c>
      <c r="W22" s="46">
        <v>0.514706</v>
      </c>
      <c r="X22" s="46">
        <v>0.145569</v>
      </c>
      <c r="Y22" s="46">
        <v>0.025433</v>
      </c>
      <c r="Z22" s="46">
        <v>0.43333333333333335</v>
      </c>
      <c r="AA22" s="46">
        <v>0</v>
      </c>
      <c r="AB22" s="72">
        <v>22</v>
      </c>
      <c r="AC22" s="72"/>
      <c r="AD22" s="73"/>
      <c r="AE22" s="63" t="str">
        <f>REPLACE(INDEX(GroupVertices[Group],MATCH(Vertices[[#This Row],[Vertex]],GroupVertices[Vertex],0)),1,1,"")</f>
        <v>1</v>
      </c>
      <c r="AF22" s="63" t="s">
        <v>765</v>
      </c>
      <c r="AG22" s="96" t="s">
        <v>800</v>
      </c>
      <c r="AH22" s="63">
        <v>1481</v>
      </c>
      <c r="AI22" s="63">
        <v>3848</v>
      </c>
      <c r="AJ22" s="63">
        <v>4376</v>
      </c>
      <c r="AK22" s="63">
        <v>1313</v>
      </c>
      <c r="AL22" s="63"/>
      <c r="AM22" s="63" t="s">
        <v>835</v>
      </c>
      <c r="AN22" s="63" t="s">
        <v>863</v>
      </c>
      <c r="AO22" s="93" t="str">
        <f>HYPERLINK("https://t.co/RFOfhhMIW6")</f>
        <v>https://t.co/RFOfhhMIW6</v>
      </c>
      <c r="AP22" s="63"/>
      <c r="AQ22" s="90">
        <v>41053.34443287037</v>
      </c>
      <c r="AR22" s="93" t="str">
        <f>HYPERLINK("https://pbs.twimg.com/profile_banners/588948859/1554390311")</f>
        <v>https://pbs.twimg.com/profile_banners/588948859/1554390311</v>
      </c>
      <c r="AS22" s="63" t="b">
        <v>0</v>
      </c>
      <c r="AT22" s="63" t="b">
        <v>0</v>
      </c>
      <c r="AU22" s="63" t="b">
        <v>0</v>
      </c>
      <c r="AV22" s="63"/>
      <c r="AW22" s="63">
        <v>74</v>
      </c>
      <c r="AX22" s="93" t="str">
        <f>HYPERLINK("https://abs.twimg.com/images/themes/theme1/bg.png")</f>
        <v>https://abs.twimg.com/images/themes/theme1/bg.png</v>
      </c>
      <c r="AY22" s="63" t="b">
        <v>0</v>
      </c>
      <c r="AZ22" s="63" t="s">
        <v>876</v>
      </c>
      <c r="BA22" s="93" t="str">
        <f>HYPERLINK("https://twitter.com/dmdima_com")</f>
        <v>https://twitter.com/dmdima_com</v>
      </c>
      <c r="BB22" s="63" t="s">
        <v>65</v>
      </c>
      <c r="BC22" s="45"/>
      <c r="BD22" s="45"/>
      <c r="BE22" s="45"/>
      <c r="BF22" s="45"/>
      <c r="BG22" s="45"/>
      <c r="BH22" s="45"/>
      <c r="BI22" s="45"/>
      <c r="BJ22" s="45"/>
      <c r="BK22" s="45"/>
      <c r="BL22" s="45"/>
      <c r="BM22" s="45"/>
      <c r="BN22" s="46"/>
      <c r="BO22" s="45"/>
      <c r="BP22" s="46"/>
      <c r="BQ22" s="45"/>
      <c r="BR22" s="46"/>
      <c r="BS22" s="45"/>
      <c r="BT22" s="46"/>
      <c r="BU22" s="45"/>
    </row>
    <row r="23" spans="1:73" ht="41.45" customHeight="1">
      <c r="A23" s="62" t="s">
        <v>297</v>
      </c>
      <c r="C23" s="64"/>
      <c r="D23" s="64" t="s">
        <v>64</v>
      </c>
      <c r="E23" s="67">
        <v>187.97581312456242</v>
      </c>
      <c r="F23" s="69"/>
      <c r="G23" s="104" t="str">
        <f>HYPERLINK("https://pbs.twimg.com/profile_images/1487756429276684289/Kqq9xAOb_normal.png")</f>
        <v>https://pbs.twimg.com/profile_images/1487756429276684289/Kqq9xAOb_normal.png</v>
      </c>
      <c r="H23" s="64"/>
      <c r="I23" s="70" t="s">
        <v>297</v>
      </c>
      <c r="J23" s="71"/>
      <c r="K23" s="71"/>
      <c r="L23" s="70" t="s">
        <v>896</v>
      </c>
      <c r="M23" s="74">
        <v>102.00770674936987</v>
      </c>
      <c r="N23" s="75">
        <v>1597.6851806640625</v>
      </c>
      <c r="O23" s="75">
        <v>4404.4130859375</v>
      </c>
      <c r="P23" s="76"/>
      <c r="Q23" s="77"/>
      <c r="R23" s="77"/>
      <c r="S23" s="102"/>
      <c r="T23" s="45">
        <v>9</v>
      </c>
      <c r="U23" s="45">
        <v>17</v>
      </c>
      <c r="V23" s="46">
        <v>190.65873</v>
      </c>
      <c r="W23" s="46">
        <v>0.714286</v>
      </c>
      <c r="X23" s="46">
        <v>0.351628</v>
      </c>
      <c r="Y23" s="46">
        <v>0.040575</v>
      </c>
      <c r="Z23" s="46">
        <v>0.20476190476190476</v>
      </c>
      <c r="AA23" s="46">
        <v>0.14285714285714285</v>
      </c>
      <c r="AB23" s="72">
        <v>23</v>
      </c>
      <c r="AC23" s="72"/>
      <c r="AD23" s="73"/>
      <c r="AE23" s="63" t="str">
        <f>REPLACE(INDEX(GroupVertices[Group],MATCH(Vertices[[#This Row],[Vertex]],GroupVertices[Vertex],0)),1,1,"")</f>
        <v>1</v>
      </c>
      <c r="AF23" s="63" t="s">
        <v>766</v>
      </c>
      <c r="AG23" s="96" t="s">
        <v>801</v>
      </c>
      <c r="AH23" s="63">
        <v>2081</v>
      </c>
      <c r="AI23" s="63">
        <v>1013</v>
      </c>
      <c r="AJ23" s="63">
        <v>20186</v>
      </c>
      <c r="AK23" s="63">
        <v>11076</v>
      </c>
      <c r="AL23" s="63"/>
      <c r="AM23" s="63" t="s">
        <v>836</v>
      </c>
      <c r="AN23" s="63" t="s">
        <v>865</v>
      </c>
      <c r="AO23" s="93" t="str">
        <f>HYPERLINK("https://t.co/2GIy6jaa6f")</f>
        <v>https://t.co/2GIy6jaa6f</v>
      </c>
      <c r="AP23" s="63"/>
      <c r="AQ23" s="90">
        <v>44286.527395833335</v>
      </c>
      <c r="AR23" s="93" t="str">
        <f>HYPERLINK("https://pbs.twimg.com/profile_banners/1377239026432888832/1662127866")</f>
        <v>https://pbs.twimg.com/profile_banners/1377239026432888832/1662127866</v>
      </c>
      <c r="AS23" s="63" t="b">
        <v>1</v>
      </c>
      <c r="AT23" s="63" t="b">
        <v>0</v>
      </c>
      <c r="AU23" s="63" t="b">
        <v>0</v>
      </c>
      <c r="AV23" s="63"/>
      <c r="AW23" s="63">
        <v>19</v>
      </c>
      <c r="AX23" s="63"/>
      <c r="AY23" s="63" t="b">
        <v>0</v>
      </c>
      <c r="AZ23" s="63" t="s">
        <v>876</v>
      </c>
      <c r="BA23" s="93" t="str">
        <f>HYPERLINK("https://twitter.com/hashtagmarketi7")</f>
        <v>https://twitter.com/hashtagmarketi7</v>
      </c>
      <c r="BB23" s="63" t="s">
        <v>66</v>
      </c>
      <c r="BC23" s="45" t="s">
        <v>1119</v>
      </c>
      <c r="BD23" s="45" t="s">
        <v>1129</v>
      </c>
      <c r="BE23" s="45" t="s">
        <v>1137</v>
      </c>
      <c r="BF23" s="45" t="s">
        <v>1145</v>
      </c>
      <c r="BG23" s="45" t="s">
        <v>1153</v>
      </c>
      <c r="BH23" s="45" t="s">
        <v>1165</v>
      </c>
      <c r="BI23" s="108" t="s">
        <v>1187</v>
      </c>
      <c r="BJ23" s="108" t="s">
        <v>1206</v>
      </c>
      <c r="BK23" s="108" t="s">
        <v>1223</v>
      </c>
      <c r="BL23" s="108" t="s">
        <v>1239</v>
      </c>
      <c r="BM23" s="108">
        <v>2</v>
      </c>
      <c r="BN23" s="111">
        <v>0.9345794392523364</v>
      </c>
      <c r="BO23" s="108">
        <v>0</v>
      </c>
      <c r="BP23" s="111">
        <v>0</v>
      </c>
      <c r="BQ23" s="108">
        <v>0</v>
      </c>
      <c r="BR23" s="111">
        <v>0</v>
      </c>
      <c r="BS23" s="108">
        <v>155</v>
      </c>
      <c r="BT23" s="111">
        <v>72.42990654205607</v>
      </c>
      <c r="BU23" s="108">
        <v>214</v>
      </c>
    </row>
    <row r="24" spans="1:73" ht="41.45" customHeight="1">
      <c r="A24" s="62" t="s">
        <v>283</v>
      </c>
      <c r="C24" s="64"/>
      <c r="D24" s="64" t="s">
        <v>64</v>
      </c>
      <c r="E24" s="67">
        <v>1000</v>
      </c>
      <c r="F24" s="69"/>
      <c r="G24" s="104" t="str">
        <f>HYPERLINK("https://pbs.twimg.com/profile_images/1575211829978071041/Dv1L40sv_normal.jpg")</f>
        <v>https://pbs.twimg.com/profile_images/1575211829978071041/Dv1L40sv_normal.jpg</v>
      </c>
      <c r="H24" s="64"/>
      <c r="I24" s="70" t="s">
        <v>283</v>
      </c>
      <c r="J24" s="71"/>
      <c r="K24" s="71"/>
      <c r="L24" s="70" t="s">
        <v>897</v>
      </c>
      <c r="M24" s="74">
        <v>3259.5874347830595</v>
      </c>
      <c r="N24" s="75">
        <v>2269.562744140625</v>
      </c>
      <c r="O24" s="75">
        <v>3458.87548828125</v>
      </c>
      <c r="P24" s="76"/>
      <c r="Q24" s="77"/>
      <c r="R24" s="77"/>
      <c r="S24" s="102"/>
      <c r="T24" s="45">
        <v>0</v>
      </c>
      <c r="U24" s="45">
        <v>14</v>
      </c>
      <c r="V24" s="46">
        <v>30.111111</v>
      </c>
      <c r="W24" s="46">
        <v>0.564516</v>
      </c>
      <c r="X24" s="46">
        <v>0.236278</v>
      </c>
      <c r="Y24" s="46">
        <v>0.030398</v>
      </c>
      <c r="Z24" s="46">
        <v>0.1813186813186813</v>
      </c>
      <c r="AA24" s="46">
        <v>0</v>
      </c>
      <c r="AB24" s="72">
        <v>24</v>
      </c>
      <c r="AC24" s="72"/>
      <c r="AD24" s="73"/>
      <c r="AE24" s="63" t="str">
        <f>REPLACE(INDEX(GroupVertices[Group],MATCH(Vertices[[#This Row],[Vertex]],GroupVertices[Vertex],0)),1,1,"")</f>
        <v>1</v>
      </c>
      <c r="AF24" s="63" t="s">
        <v>767</v>
      </c>
      <c r="AG24" s="96" t="s">
        <v>802</v>
      </c>
      <c r="AH24" s="63">
        <v>29590</v>
      </c>
      <c r="AI24" s="63">
        <v>31461</v>
      </c>
      <c r="AJ24" s="63">
        <v>171430</v>
      </c>
      <c r="AK24" s="63">
        <v>330348</v>
      </c>
      <c r="AL24" s="63"/>
      <c r="AM24" s="63" t="s">
        <v>837</v>
      </c>
      <c r="AN24" s="63" t="s">
        <v>866</v>
      </c>
      <c r="AO24" s="93" t="str">
        <f>HYPERLINK("https://t.co/2aYdmav4mi")</f>
        <v>https://t.co/2aYdmav4mi</v>
      </c>
      <c r="AP24" s="63"/>
      <c r="AQ24" s="90">
        <v>41395.72697916667</v>
      </c>
      <c r="AR24" s="93" t="str">
        <f>HYPERLINK("https://pbs.twimg.com/profile_banners/1395144847/1667337856")</f>
        <v>https://pbs.twimg.com/profile_banners/1395144847/1667337856</v>
      </c>
      <c r="AS24" s="63" t="b">
        <v>0</v>
      </c>
      <c r="AT24" s="63" t="b">
        <v>0</v>
      </c>
      <c r="AU24" s="63" t="b">
        <v>1</v>
      </c>
      <c r="AV24" s="63"/>
      <c r="AW24" s="63">
        <v>390</v>
      </c>
      <c r="AX24" s="93" t="str">
        <f>HYPERLINK("https://abs.twimg.com/images/themes/theme6/bg.gif")</f>
        <v>https://abs.twimg.com/images/themes/theme6/bg.gif</v>
      </c>
      <c r="AY24" s="63" t="b">
        <v>0</v>
      </c>
      <c r="AZ24" s="63" t="s">
        <v>876</v>
      </c>
      <c r="BA24" s="93" t="str">
        <f>HYPERLINK("https://twitter.com/iosu_blanco")</f>
        <v>https://twitter.com/iosu_blanco</v>
      </c>
      <c r="BB24" s="63" t="s">
        <v>66</v>
      </c>
      <c r="BC24" s="45" t="s">
        <v>1120</v>
      </c>
      <c r="BD24" s="45" t="s">
        <v>1130</v>
      </c>
      <c r="BE24" s="45" t="s">
        <v>403</v>
      </c>
      <c r="BF24" s="45" t="s">
        <v>403</v>
      </c>
      <c r="BG24" s="45" t="s">
        <v>1154</v>
      </c>
      <c r="BH24" s="45" t="s">
        <v>1166</v>
      </c>
      <c r="BI24" s="108" t="s">
        <v>1188</v>
      </c>
      <c r="BJ24" s="108" t="s">
        <v>1207</v>
      </c>
      <c r="BK24" s="108" t="s">
        <v>1224</v>
      </c>
      <c r="BL24" s="108" t="s">
        <v>1224</v>
      </c>
      <c r="BM24" s="108">
        <v>0</v>
      </c>
      <c r="BN24" s="111">
        <v>0</v>
      </c>
      <c r="BO24" s="108">
        <v>0</v>
      </c>
      <c r="BP24" s="111">
        <v>0</v>
      </c>
      <c r="BQ24" s="108">
        <v>0</v>
      </c>
      <c r="BR24" s="111">
        <v>0</v>
      </c>
      <c r="BS24" s="108">
        <v>32</v>
      </c>
      <c r="BT24" s="111">
        <v>86.48648648648648</v>
      </c>
      <c r="BU24" s="108">
        <v>37</v>
      </c>
    </row>
    <row r="25" spans="1:73" ht="41.45" customHeight="1">
      <c r="A25" s="62" t="s">
        <v>284</v>
      </c>
      <c r="C25" s="64"/>
      <c r="D25" s="64" t="s">
        <v>64</v>
      </c>
      <c r="E25" s="67">
        <v>162.5333842530711</v>
      </c>
      <c r="F25" s="69"/>
      <c r="G25" s="104" t="str">
        <f>HYPERLINK("https://pbs.twimg.com/profile_images/1593167753799643136/KYKFKsS__normal.jpg")</f>
        <v>https://pbs.twimg.com/profile_images/1593167753799643136/KYKFKsS__normal.jpg</v>
      </c>
      <c r="H25" s="64"/>
      <c r="I25" s="70" t="s">
        <v>284</v>
      </c>
      <c r="J25" s="71"/>
      <c r="K25" s="71"/>
      <c r="L25" s="70" t="s">
        <v>898</v>
      </c>
      <c r="M25" s="74">
        <v>3.0740802207262807</v>
      </c>
      <c r="N25" s="75">
        <v>520.1019287109375</v>
      </c>
      <c r="O25" s="75">
        <v>786.468994140625</v>
      </c>
      <c r="P25" s="76"/>
      <c r="Q25" s="77"/>
      <c r="R25" s="77"/>
      <c r="S25" s="102"/>
      <c r="T25" s="45">
        <v>0</v>
      </c>
      <c r="U25" s="45">
        <v>1</v>
      </c>
      <c r="V25" s="46">
        <v>0</v>
      </c>
      <c r="W25" s="46">
        <v>0.421687</v>
      </c>
      <c r="X25" s="46">
        <v>0.029275</v>
      </c>
      <c r="Y25" s="46">
        <v>0.023888</v>
      </c>
      <c r="Z25" s="46">
        <v>0</v>
      </c>
      <c r="AA25" s="46">
        <v>0</v>
      </c>
      <c r="AB25" s="72">
        <v>25</v>
      </c>
      <c r="AC25" s="72"/>
      <c r="AD25" s="73"/>
      <c r="AE25" s="63" t="str">
        <f>REPLACE(INDEX(GroupVertices[Group],MATCH(Vertices[[#This Row],[Vertex]],GroupVertices[Vertex],0)),1,1,"")</f>
        <v>1</v>
      </c>
      <c r="AF25" s="63" t="s">
        <v>768</v>
      </c>
      <c r="AG25" s="96" t="s">
        <v>803</v>
      </c>
      <c r="AH25" s="63">
        <v>50</v>
      </c>
      <c r="AI25" s="63">
        <v>59</v>
      </c>
      <c r="AJ25" s="63">
        <v>5425</v>
      </c>
      <c r="AK25" s="63">
        <v>3676</v>
      </c>
      <c r="AL25" s="63"/>
      <c r="AM25" s="63" t="s">
        <v>838</v>
      </c>
      <c r="AN25" s="63" t="s">
        <v>867</v>
      </c>
      <c r="AO25" s="93" t="str">
        <f>HYPERLINK("https://t.co/HQPLMTcQSM")</f>
        <v>https://t.co/HQPLMTcQSM</v>
      </c>
      <c r="AP25" s="63"/>
      <c r="AQ25" s="90">
        <v>42766.5343287037</v>
      </c>
      <c r="AR25" s="93" t="str">
        <f>HYPERLINK("https://pbs.twimg.com/profile_banners/826412069297782792/1668675768")</f>
        <v>https://pbs.twimg.com/profile_banners/826412069297782792/1668675768</v>
      </c>
      <c r="AS25" s="63" t="b">
        <v>1</v>
      </c>
      <c r="AT25" s="63" t="b">
        <v>0</v>
      </c>
      <c r="AU25" s="63" t="b">
        <v>0</v>
      </c>
      <c r="AV25" s="63"/>
      <c r="AW25" s="63">
        <v>0</v>
      </c>
      <c r="AX25" s="63"/>
      <c r="AY25" s="63" t="b">
        <v>0</v>
      </c>
      <c r="AZ25" s="63" t="s">
        <v>876</v>
      </c>
      <c r="BA25" s="93" t="str">
        <f>HYPERLINK("https://twitter.com/vinitra5")</f>
        <v>https://twitter.com/vinitra5</v>
      </c>
      <c r="BB25" s="63" t="s">
        <v>66</v>
      </c>
      <c r="BC25" s="45" t="s">
        <v>929</v>
      </c>
      <c r="BD25" s="45" t="s">
        <v>929</v>
      </c>
      <c r="BE25" s="45" t="s">
        <v>406</v>
      </c>
      <c r="BF25" s="45" t="s">
        <v>406</v>
      </c>
      <c r="BG25" s="45" t="s">
        <v>427</v>
      </c>
      <c r="BH25" s="45" t="s">
        <v>427</v>
      </c>
      <c r="BI25" s="108" t="s">
        <v>1189</v>
      </c>
      <c r="BJ25" s="108" t="s">
        <v>1189</v>
      </c>
      <c r="BK25" s="108" t="s">
        <v>1225</v>
      </c>
      <c r="BL25" s="108" t="s">
        <v>1225</v>
      </c>
      <c r="BM25" s="108">
        <v>0</v>
      </c>
      <c r="BN25" s="111">
        <v>0</v>
      </c>
      <c r="BO25" s="108">
        <v>0</v>
      </c>
      <c r="BP25" s="111">
        <v>0</v>
      </c>
      <c r="BQ25" s="108">
        <v>0</v>
      </c>
      <c r="BR25" s="111">
        <v>0</v>
      </c>
      <c r="BS25" s="108">
        <v>8</v>
      </c>
      <c r="BT25" s="111">
        <v>80</v>
      </c>
      <c r="BU25" s="108">
        <v>10</v>
      </c>
    </row>
    <row r="26" spans="1:73" ht="41.45" customHeight="1">
      <c r="A26" s="62" t="s">
        <v>285</v>
      </c>
      <c r="C26" s="64"/>
      <c r="D26" s="64" t="s">
        <v>64</v>
      </c>
      <c r="E26" s="67">
        <v>177.49481255171537</v>
      </c>
      <c r="F26" s="69"/>
      <c r="G26" s="104" t="str">
        <f>HYPERLINK("https://pbs.twimg.com/profile_images/875829647790964737/mJLoGN7N_normal.jpg")</f>
        <v>https://pbs.twimg.com/profile_images/875829647790964737/mJLoGN7N_normal.jpg</v>
      </c>
      <c r="H26" s="64"/>
      <c r="I26" s="70" t="s">
        <v>285</v>
      </c>
      <c r="J26" s="71"/>
      <c r="K26" s="71"/>
      <c r="L26" s="70" t="s">
        <v>899</v>
      </c>
      <c r="M26" s="74">
        <v>61.252030412098456</v>
      </c>
      <c r="N26" s="75">
        <v>233.39859008789062</v>
      </c>
      <c r="O26" s="75">
        <v>5908.22705078125</v>
      </c>
      <c r="P26" s="76"/>
      <c r="Q26" s="77"/>
      <c r="R26" s="77"/>
      <c r="S26" s="102"/>
      <c r="T26" s="45">
        <v>0</v>
      </c>
      <c r="U26" s="45">
        <v>1</v>
      </c>
      <c r="V26" s="46">
        <v>0</v>
      </c>
      <c r="W26" s="46">
        <v>0.421687</v>
      </c>
      <c r="X26" s="46">
        <v>0.029275</v>
      </c>
      <c r="Y26" s="46">
        <v>0.023888</v>
      </c>
      <c r="Z26" s="46">
        <v>0</v>
      </c>
      <c r="AA26" s="46">
        <v>0</v>
      </c>
      <c r="AB26" s="72">
        <v>26</v>
      </c>
      <c r="AC26" s="72"/>
      <c r="AD26" s="73"/>
      <c r="AE26" s="63" t="str">
        <f>REPLACE(INDEX(GroupVertices[Group],MATCH(Vertices[[#This Row],[Vertex]],GroupVertices[Vertex],0)),1,1,"")</f>
        <v>1</v>
      </c>
      <c r="AF26" s="63" t="s">
        <v>769</v>
      </c>
      <c r="AG26" s="96" t="s">
        <v>804</v>
      </c>
      <c r="AH26" s="63">
        <v>2907</v>
      </c>
      <c r="AI26" s="63">
        <v>620</v>
      </c>
      <c r="AJ26" s="63">
        <v>5978</v>
      </c>
      <c r="AK26" s="63">
        <v>5169</v>
      </c>
      <c r="AL26" s="63"/>
      <c r="AM26" s="63" t="s">
        <v>839</v>
      </c>
      <c r="AN26" s="63" t="s">
        <v>868</v>
      </c>
      <c r="AO26" s="93" t="str">
        <f>HYPERLINK("https://t.co/4HppPNn9xO")</f>
        <v>https://t.co/4HppPNn9xO</v>
      </c>
      <c r="AP26" s="63"/>
      <c r="AQ26" s="90">
        <v>41189.115532407406</v>
      </c>
      <c r="AR26" s="93" t="str">
        <f>HYPERLINK("https://pbs.twimg.com/profile_banners/865662805/1666223950")</f>
        <v>https://pbs.twimg.com/profile_banners/865662805/1666223950</v>
      </c>
      <c r="AS26" s="63" t="b">
        <v>0</v>
      </c>
      <c r="AT26" s="63" t="b">
        <v>0</v>
      </c>
      <c r="AU26" s="63" t="b">
        <v>0</v>
      </c>
      <c r="AV26" s="63"/>
      <c r="AW26" s="63">
        <v>40</v>
      </c>
      <c r="AX26" s="93" t="str">
        <f>HYPERLINK("https://abs.twimg.com/images/themes/theme1/bg.png")</f>
        <v>https://abs.twimg.com/images/themes/theme1/bg.png</v>
      </c>
      <c r="AY26" s="63" t="b">
        <v>0</v>
      </c>
      <c r="AZ26" s="63" t="s">
        <v>876</v>
      </c>
      <c r="BA26" s="93" t="str">
        <f>HYPERLINK("https://twitter.com/daya1angel")</f>
        <v>https://twitter.com/daya1angel</v>
      </c>
      <c r="BB26" s="63" t="s">
        <v>66</v>
      </c>
      <c r="BC26" s="45" t="s">
        <v>929</v>
      </c>
      <c r="BD26" s="45" t="s">
        <v>929</v>
      </c>
      <c r="BE26" s="45" t="s">
        <v>406</v>
      </c>
      <c r="BF26" s="45" t="s">
        <v>406</v>
      </c>
      <c r="BG26" s="45" t="s">
        <v>427</v>
      </c>
      <c r="BH26" s="45" t="s">
        <v>427</v>
      </c>
      <c r="BI26" s="108" t="s">
        <v>1189</v>
      </c>
      <c r="BJ26" s="108" t="s">
        <v>1189</v>
      </c>
      <c r="BK26" s="108" t="s">
        <v>1225</v>
      </c>
      <c r="BL26" s="108" t="s">
        <v>1225</v>
      </c>
      <c r="BM26" s="108">
        <v>0</v>
      </c>
      <c r="BN26" s="111">
        <v>0</v>
      </c>
      <c r="BO26" s="108">
        <v>0</v>
      </c>
      <c r="BP26" s="111">
        <v>0</v>
      </c>
      <c r="BQ26" s="108">
        <v>0</v>
      </c>
      <c r="BR26" s="111">
        <v>0</v>
      </c>
      <c r="BS26" s="108">
        <v>8</v>
      </c>
      <c r="BT26" s="111">
        <v>80</v>
      </c>
      <c r="BU26" s="108">
        <v>10</v>
      </c>
    </row>
    <row r="27" spans="1:73" ht="41.45" customHeight="1">
      <c r="A27" s="62" t="s">
        <v>286</v>
      </c>
      <c r="C27" s="64"/>
      <c r="D27" s="64" t="s">
        <v>64</v>
      </c>
      <c r="E27" s="67">
        <v>183.41537776080452</v>
      </c>
      <c r="F27" s="69"/>
      <c r="G27" s="104" t="str">
        <f>HYPERLINK("https://pbs.twimg.com/profile_images/1557013058689671170/qRQLHJjl_normal.jpg")</f>
        <v>https://pbs.twimg.com/profile_images/1557013058689671170/qRQLHJjl_normal.jpg</v>
      </c>
      <c r="H27" s="64"/>
      <c r="I27" s="70" t="s">
        <v>286</v>
      </c>
      <c r="J27" s="71"/>
      <c r="K27" s="71"/>
      <c r="L27" s="70" t="s">
        <v>900</v>
      </c>
      <c r="M27" s="74">
        <v>84.27432086216017</v>
      </c>
      <c r="N27" s="75">
        <v>3710.110595703125</v>
      </c>
      <c r="O27" s="75">
        <v>7737.73388671875</v>
      </c>
      <c r="P27" s="76"/>
      <c r="Q27" s="77"/>
      <c r="R27" s="77"/>
      <c r="S27" s="102"/>
      <c r="T27" s="45">
        <v>0</v>
      </c>
      <c r="U27" s="45">
        <v>1</v>
      </c>
      <c r="V27" s="46">
        <v>0</v>
      </c>
      <c r="W27" s="46">
        <v>0.454545</v>
      </c>
      <c r="X27" s="46">
        <v>0.028719</v>
      </c>
      <c r="Y27" s="46">
        <v>0.023932</v>
      </c>
      <c r="Z27" s="46">
        <v>0</v>
      </c>
      <c r="AA27" s="46">
        <v>0</v>
      </c>
      <c r="AB27" s="72">
        <v>27</v>
      </c>
      <c r="AC27" s="72"/>
      <c r="AD27" s="73"/>
      <c r="AE27" s="63" t="str">
        <f>REPLACE(INDEX(GroupVertices[Group],MATCH(Vertices[[#This Row],[Vertex]],GroupVertices[Vertex],0)),1,1,"")</f>
        <v>2</v>
      </c>
      <c r="AF27" s="63" t="s">
        <v>770</v>
      </c>
      <c r="AG27" s="96" t="s">
        <v>805</v>
      </c>
      <c r="AH27" s="63">
        <v>2868</v>
      </c>
      <c r="AI27" s="63">
        <v>842</v>
      </c>
      <c r="AJ27" s="63">
        <v>22756</v>
      </c>
      <c r="AK27" s="63">
        <v>38106</v>
      </c>
      <c r="AL27" s="63"/>
      <c r="AM27" s="63" t="s">
        <v>840</v>
      </c>
      <c r="AN27" s="63"/>
      <c r="AO27" s="63"/>
      <c r="AP27" s="63"/>
      <c r="AQ27" s="90">
        <v>40783.74649305556</v>
      </c>
      <c r="AR27" s="93" t="str">
        <f>HYPERLINK("https://pbs.twimg.com/profile_banners/363787147/1569778390")</f>
        <v>https://pbs.twimg.com/profile_banners/363787147/1569778390</v>
      </c>
      <c r="AS27" s="63" t="b">
        <v>0</v>
      </c>
      <c r="AT27" s="63" t="b">
        <v>0</v>
      </c>
      <c r="AU27" s="63" t="b">
        <v>1</v>
      </c>
      <c r="AV27" s="63"/>
      <c r="AW27" s="63">
        <v>3</v>
      </c>
      <c r="AX27" s="93" t="str">
        <f>HYPERLINK("https://abs.twimg.com/images/themes/theme10/bg.gif")</f>
        <v>https://abs.twimg.com/images/themes/theme10/bg.gif</v>
      </c>
      <c r="AY27" s="63" t="b">
        <v>0</v>
      </c>
      <c r="AZ27" s="63" t="s">
        <v>876</v>
      </c>
      <c r="BA27" s="93" t="str">
        <f>HYPERLINK("https://twitter.com/gul_insidious")</f>
        <v>https://twitter.com/gul_insidious</v>
      </c>
      <c r="BB27" s="63" t="s">
        <v>66</v>
      </c>
      <c r="BC27" s="45" t="s">
        <v>932</v>
      </c>
      <c r="BD27" s="45" t="s">
        <v>932</v>
      </c>
      <c r="BE27" s="45" t="s">
        <v>402</v>
      </c>
      <c r="BF27" s="45" t="s">
        <v>402</v>
      </c>
      <c r="BG27" s="45" t="s">
        <v>422</v>
      </c>
      <c r="BH27" s="45" t="s">
        <v>1159</v>
      </c>
      <c r="BI27" s="108" t="s">
        <v>1179</v>
      </c>
      <c r="BJ27" s="108" t="s">
        <v>1179</v>
      </c>
      <c r="BK27" s="108" t="s">
        <v>1215</v>
      </c>
      <c r="BL27" s="108" t="s">
        <v>1215</v>
      </c>
      <c r="BM27" s="108">
        <v>0</v>
      </c>
      <c r="BN27" s="111">
        <v>0</v>
      </c>
      <c r="BO27" s="108">
        <v>0</v>
      </c>
      <c r="BP27" s="111">
        <v>0</v>
      </c>
      <c r="BQ27" s="108">
        <v>0</v>
      </c>
      <c r="BR27" s="111">
        <v>0</v>
      </c>
      <c r="BS27" s="108">
        <v>23</v>
      </c>
      <c r="BT27" s="111">
        <v>67.6470588235294</v>
      </c>
      <c r="BU27" s="108">
        <v>34</v>
      </c>
    </row>
    <row r="28" spans="1:73" ht="41.45" customHeight="1">
      <c r="A28" s="62" t="s">
        <v>287</v>
      </c>
      <c r="C28" s="64"/>
      <c r="D28" s="64" t="s">
        <v>64</v>
      </c>
      <c r="E28" s="67">
        <v>804.2213099102539</v>
      </c>
      <c r="F28" s="69"/>
      <c r="G28" s="104" t="str">
        <f>HYPERLINK("https://pbs.twimg.com/profile_images/1444816137166852102/McN2-LTK_normal.jpg")</f>
        <v>https://pbs.twimg.com/profile_images/1444816137166852102/McN2-LTK_normal.jpg</v>
      </c>
      <c r="H28" s="64"/>
      <c r="I28" s="70" t="s">
        <v>287</v>
      </c>
      <c r="J28" s="71"/>
      <c r="K28" s="71"/>
      <c r="L28" s="70" t="s">
        <v>901</v>
      </c>
      <c r="M28" s="74">
        <v>2498.2962897654784</v>
      </c>
      <c r="N28" s="75">
        <v>9502.923828125</v>
      </c>
      <c r="O28" s="75">
        <v>6485.5322265625</v>
      </c>
      <c r="P28" s="76"/>
      <c r="Q28" s="77"/>
      <c r="R28" s="77"/>
      <c r="S28" s="102"/>
      <c r="T28" s="45">
        <v>0</v>
      </c>
      <c r="U28" s="45">
        <v>3</v>
      </c>
      <c r="V28" s="46">
        <v>2</v>
      </c>
      <c r="W28" s="46">
        <v>0.507246</v>
      </c>
      <c r="X28" s="46">
        <v>0.067695</v>
      </c>
      <c r="Y28" s="46">
        <v>0.024713</v>
      </c>
      <c r="Z28" s="46">
        <v>0.3333333333333333</v>
      </c>
      <c r="AA28" s="46">
        <v>0</v>
      </c>
      <c r="AB28" s="72">
        <v>28</v>
      </c>
      <c r="AC28" s="72"/>
      <c r="AD28" s="73"/>
      <c r="AE28" s="63" t="str">
        <f>REPLACE(INDEX(GroupVertices[Group],MATCH(Vertices[[#This Row],[Vertex]],GroupVertices[Vertex],0)),1,1,"")</f>
        <v>5</v>
      </c>
      <c r="AF28" s="63" t="s">
        <v>771</v>
      </c>
      <c r="AG28" s="96" t="s">
        <v>806</v>
      </c>
      <c r="AH28" s="63">
        <v>26189</v>
      </c>
      <c r="AI28" s="63">
        <v>24120</v>
      </c>
      <c r="AJ28" s="63">
        <v>39480</v>
      </c>
      <c r="AK28" s="63">
        <v>51656</v>
      </c>
      <c r="AL28" s="63"/>
      <c r="AM28" s="63" t="s">
        <v>841</v>
      </c>
      <c r="AN28" s="63" t="s">
        <v>869</v>
      </c>
      <c r="AO28" s="93" t="str">
        <f>HYPERLINK("https://t.co/7nxabTeyEI")</f>
        <v>https://t.co/7nxabTeyEI</v>
      </c>
      <c r="AP28" s="63"/>
      <c r="AQ28" s="90">
        <v>39913.151666666665</v>
      </c>
      <c r="AR28" s="93" t="str">
        <f>HYPERLINK("https://pbs.twimg.com/profile_banners/30150841/1633861480")</f>
        <v>https://pbs.twimg.com/profile_banners/30150841/1633861480</v>
      </c>
      <c r="AS28" s="63" t="b">
        <v>1</v>
      </c>
      <c r="AT28" s="63" t="b">
        <v>0</v>
      </c>
      <c r="AU28" s="63" t="b">
        <v>0</v>
      </c>
      <c r="AV28" s="63"/>
      <c r="AW28" s="63">
        <v>506</v>
      </c>
      <c r="AX28" s="93" t="str">
        <f>HYPERLINK("https://abs.twimg.com/images/themes/theme1/bg.png")</f>
        <v>https://abs.twimg.com/images/themes/theme1/bg.png</v>
      </c>
      <c r="AY28" s="63" t="b">
        <v>0</v>
      </c>
      <c r="AZ28" s="63" t="s">
        <v>876</v>
      </c>
      <c r="BA28" s="93" t="str">
        <f>HYPERLINK("https://twitter.com/peterxing")</f>
        <v>https://twitter.com/peterxing</v>
      </c>
      <c r="BB28" s="63" t="s">
        <v>66</v>
      </c>
      <c r="BC28" s="45" t="s">
        <v>1121</v>
      </c>
      <c r="BD28" s="45" t="s">
        <v>1131</v>
      </c>
      <c r="BE28" s="45" t="s">
        <v>1138</v>
      </c>
      <c r="BF28" s="45" t="s">
        <v>1146</v>
      </c>
      <c r="BG28" s="45" t="s">
        <v>998</v>
      </c>
      <c r="BH28" s="45" t="s">
        <v>1167</v>
      </c>
      <c r="BI28" s="108" t="s">
        <v>1190</v>
      </c>
      <c r="BJ28" s="108" t="s">
        <v>1208</v>
      </c>
      <c r="BK28" s="108" t="s">
        <v>1226</v>
      </c>
      <c r="BL28" s="108" t="s">
        <v>1226</v>
      </c>
      <c r="BM28" s="108">
        <v>0</v>
      </c>
      <c r="BN28" s="111">
        <v>0</v>
      </c>
      <c r="BO28" s="108">
        <v>0</v>
      </c>
      <c r="BP28" s="111">
        <v>0</v>
      </c>
      <c r="BQ28" s="108">
        <v>0</v>
      </c>
      <c r="BR28" s="111">
        <v>0</v>
      </c>
      <c r="BS28" s="108">
        <v>54</v>
      </c>
      <c r="BT28" s="111">
        <v>65.06024096385542</v>
      </c>
      <c r="BU28" s="108">
        <v>83</v>
      </c>
    </row>
    <row r="29" spans="1:73" ht="41.45" customHeight="1">
      <c r="A29" s="62" t="s">
        <v>288</v>
      </c>
      <c r="C29" s="64"/>
      <c r="D29" s="64" t="s">
        <v>64</v>
      </c>
      <c r="E29" s="67">
        <v>170.5608172617911</v>
      </c>
      <c r="F29" s="69"/>
      <c r="G29" s="104" t="str">
        <f>HYPERLINK("https://pbs.twimg.com/profile_images/1445208050315431942/UMYCEKq__normal.jpg")</f>
        <v>https://pbs.twimg.com/profile_images/1445208050315431942/UMYCEKq__normal.jpg</v>
      </c>
      <c r="H29" s="64"/>
      <c r="I29" s="70" t="s">
        <v>288</v>
      </c>
      <c r="J29" s="71"/>
      <c r="K29" s="71"/>
      <c r="L29" s="70" t="s">
        <v>902</v>
      </c>
      <c r="M29" s="74">
        <v>34.288987542656805</v>
      </c>
      <c r="N29" s="75">
        <v>4468.5185546875</v>
      </c>
      <c r="O29" s="75">
        <v>9370.4521484375</v>
      </c>
      <c r="P29" s="76"/>
      <c r="Q29" s="77"/>
      <c r="R29" s="77"/>
      <c r="S29" s="102"/>
      <c r="T29" s="45">
        <v>0</v>
      </c>
      <c r="U29" s="45">
        <v>1</v>
      </c>
      <c r="V29" s="46">
        <v>0</v>
      </c>
      <c r="W29" s="46">
        <v>0.454545</v>
      </c>
      <c r="X29" s="46">
        <v>0.028719</v>
      </c>
      <c r="Y29" s="46">
        <v>0.023932</v>
      </c>
      <c r="Z29" s="46">
        <v>0</v>
      </c>
      <c r="AA29" s="46">
        <v>0</v>
      </c>
      <c r="AB29" s="72">
        <v>29</v>
      </c>
      <c r="AC29" s="72"/>
      <c r="AD29" s="73"/>
      <c r="AE29" s="63" t="str">
        <f>REPLACE(INDEX(GroupVertices[Group],MATCH(Vertices[[#This Row],[Vertex]],GroupVertices[Vertex],0)),1,1,"")</f>
        <v>2</v>
      </c>
      <c r="AF29" s="63" t="s">
        <v>772</v>
      </c>
      <c r="AG29" s="96" t="s">
        <v>807</v>
      </c>
      <c r="AH29" s="63">
        <v>898</v>
      </c>
      <c r="AI29" s="63">
        <v>360</v>
      </c>
      <c r="AJ29" s="63">
        <v>4014</v>
      </c>
      <c r="AK29" s="63">
        <v>10993</v>
      </c>
      <c r="AL29" s="63"/>
      <c r="AM29" s="63" t="s">
        <v>842</v>
      </c>
      <c r="AN29" s="63" t="s">
        <v>870</v>
      </c>
      <c r="AO29" s="63"/>
      <c r="AP29" s="63"/>
      <c r="AQ29" s="90">
        <v>40660.720613425925</v>
      </c>
      <c r="AR29" s="93" t="str">
        <f>HYPERLINK("https://pbs.twimg.com/profile_banners/288904474/1623368431")</f>
        <v>https://pbs.twimg.com/profile_banners/288904474/1623368431</v>
      </c>
      <c r="AS29" s="63" t="b">
        <v>1</v>
      </c>
      <c r="AT29" s="63" t="b">
        <v>0</v>
      </c>
      <c r="AU29" s="63" t="b">
        <v>0</v>
      </c>
      <c r="AV29" s="63"/>
      <c r="AW29" s="63">
        <v>16</v>
      </c>
      <c r="AX29" s="93" t="str">
        <f>HYPERLINK("https://abs.twimg.com/images/themes/theme1/bg.png")</f>
        <v>https://abs.twimg.com/images/themes/theme1/bg.png</v>
      </c>
      <c r="AY29" s="63" t="b">
        <v>0</v>
      </c>
      <c r="AZ29" s="63" t="s">
        <v>876</v>
      </c>
      <c r="BA29" s="93" t="str">
        <f>HYPERLINK("https://twitter.com/piroworldwide")</f>
        <v>https://twitter.com/piroworldwide</v>
      </c>
      <c r="BB29" s="63" t="s">
        <v>66</v>
      </c>
      <c r="BC29" s="45" t="s">
        <v>925</v>
      </c>
      <c r="BD29" s="45" t="s">
        <v>925</v>
      </c>
      <c r="BE29" s="45" t="s">
        <v>407</v>
      </c>
      <c r="BF29" s="45" t="s">
        <v>407</v>
      </c>
      <c r="BG29" s="45" t="s">
        <v>428</v>
      </c>
      <c r="BH29" s="45" t="s">
        <v>1168</v>
      </c>
      <c r="BI29" s="108" t="s">
        <v>1191</v>
      </c>
      <c r="BJ29" s="108" t="s">
        <v>1191</v>
      </c>
      <c r="BK29" s="108" t="s">
        <v>1227</v>
      </c>
      <c r="BL29" s="108" t="s">
        <v>1227</v>
      </c>
      <c r="BM29" s="108">
        <v>0</v>
      </c>
      <c r="BN29" s="111">
        <v>0</v>
      </c>
      <c r="BO29" s="108">
        <v>0</v>
      </c>
      <c r="BP29" s="111">
        <v>0</v>
      </c>
      <c r="BQ29" s="108">
        <v>0</v>
      </c>
      <c r="BR29" s="111">
        <v>0</v>
      </c>
      <c r="BS29" s="108">
        <v>16</v>
      </c>
      <c r="BT29" s="111">
        <v>84.21052631578948</v>
      </c>
      <c r="BU29" s="108">
        <v>19</v>
      </c>
    </row>
    <row r="30" spans="1:73" ht="41.45" customHeight="1">
      <c r="A30" s="62" t="s">
        <v>289</v>
      </c>
      <c r="C30" s="64"/>
      <c r="D30" s="64" t="s">
        <v>64</v>
      </c>
      <c r="E30" s="67">
        <v>233.8735281013303</v>
      </c>
      <c r="F30" s="69"/>
      <c r="G30" s="104" t="str">
        <f>HYPERLINK("https://pbs.twimg.com/profile_images/822538310669258752/ltWlx63P_normal.jpg")</f>
        <v>https://pbs.twimg.com/profile_images/822538310669258752/ltWlx63P_normal.jpg</v>
      </c>
      <c r="H30" s="64"/>
      <c r="I30" s="70" t="s">
        <v>289</v>
      </c>
      <c r="J30" s="71"/>
      <c r="K30" s="71"/>
      <c r="L30" s="70" t="s">
        <v>903</v>
      </c>
      <c r="M30" s="74">
        <v>280.48230974286633</v>
      </c>
      <c r="N30" s="75">
        <v>5326.94091796875</v>
      </c>
      <c r="O30" s="75">
        <v>1656.5169677734375</v>
      </c>
      <c r="P30" s="76"/>
      <c r="Q30" s="77"/>
      <c r="R30" s="77"/>
      <c r="S30" s="102"/>
      <c r="T30" s="45">
        <v>0</v>
      </c>
      <c r="U30" s="45">
        <v>2</v>
      </c>
      <c r="V30" s="46">
        <v>0</v>
      </c>
      <c r="W30" s="46">
        <v>0.472973</v>
      </c>
      <c r="X30" s="46">
        <v>0.042925</v>
      </c>
      <c r="Y30" s="46">
        <v>0.02445</v>
      </c>
      <c r="Z30" s="46">
        <v>0.5</v>
      </c>
      <c r="AA30" s="46">
        <v>0</v>
      </c>
      <c r="AB30" s="72">
        <v>30</v>
      </c>
      <c r="AC30" s="72"/>
      <c r="AD30" s="73"/>
      <c r="AE30" s="63" t="str">
        <f>REPLACE(INDEX(GroupVertices[Group],MATCH(Vertices[[#This Row],[Vertex]],GroupVertices[Vertex],0)),1,1,"")</f>
        <v>2</v>
      </c>
      <c r="AF30" s="63" t="s">
        <v>773</v>
      </c>
      <c r="AG30" s="96" t="s">
        <v>808</v>
      </c>
      <c r="AH30" s="63">
        <v>4955</v>
      </c>
      <c r="AI30" s="63">
        <v>2734</v>
      </c>
      <c r="AJ30" s="63">
        <v>27982</v>
      </c>
      <c r="AK30" s="63">
        <v>32877</v>
      </c>
      <c r="AL30" s="63"/>
      <c r="AM30" s="63" t="s">
        <v>843</v>
      </c>
      <c r="AN30" s="63" t="s">
        <v>871</v>
      </c>
      <c r="AO30" s="93" t="str">
        <f>HYPERLINK("https://t.co/Pn6MZRaj5I")</f>
        <v>https://t.co/Pn6MZRaj5I</v>
      </c>
      <c r="AP30" s="63"/>
      <c r="AQ30" s="90">
        <v>39570.22314814815</v>
      </c>
      <c r="AR30" s="93" t="str">
        <f>HYPERLINK("https://pbs.twimg.com/profile_banners/14622891/1618961708")</f>
        <v>https://pbs.twimg.com/profile_banners/14622891/1618961708</v>
      </c>
      <c r="AS30" s="63" t="b">
        <v>0</v>
      </c>
      <c r="AT30" s="63" t="b">
        <v>0</v>
      </c>
      <c r="AU30" s="63" t="b">
        <v>1</v>
      </c>
      <c r="AV30" s="63"/>
      <c r="AW30" s="63">
        <v>179</v>
      </c>
      <c r="AX30" s="93" t="str">
        <f>HYPERLINK("https://abs.twimg.com/images/themes/theme1/bg.png")</f>
        <v>https://abs.twimg.com/images/themes/theme1/bg.png</v>
      </c>
      <c r="AY30" s="63" t="b">
        <v>0</v>
      </c>
      <c r="AZ30" s="63" t="s">
        <v>876</v>
      </c>
      <c r="BA30" s="93" t="str">
        <f>HYPERLINK("https://twitter.com/chris_armstrong")</f>
        <v>https://twitter.com/chris_armstrong</v>
      </c>
      <c r="BB30" s="63" t="s">
        <v>66</v>
      </c>
      <c r="BC30" s="45" t="s">
        <v>927</v>
      </c>
      <c r="BD30" s="45" t="s">
        <v>927</v>
      </c>
      <c r="BE30" s="45" t="s">
        <v>403</v>
      </c>
      <c r="BF30" s="45" t="s">
        <v>403</v>
      </c>
      <c r="BG30" s="45" t="s">
        <v>430</v>
      </c>
      <c r="BH30" s="45" t="s">
        <v>1169</v>
      </c>
      <c r="BI30" s="108" t="s">
        <v>1192</v>
      </c>
      <c r="BJ30" s="108" t="s">
        <v>1192</v>
      </c>
      <c r="BK30" s="108" t="s">
        <v>1228</v>
      </c>
      <c r="BL30" s="108" t="s">
        <v>1228</v>
      </c>
      <c r="BM30" s="108">
        <v>0</v>
      </c>
      <c r="BN30" s="111">
        <v>0</v>
      </c>
      <c r="BO30" s="108">
        <v>0</v>
      </c>
      <c r="BP30" s="111">
        <v>0</v>
      </c>
      <c r="BQ30" s="108">
        <v>0</v>
      </c>
      <c r="BR30" s="111">
        <v>0</v>
      </c>
      <c r="BS30" s="108">
        <v>9</v>
      </c>
      <c r="BT30" s="111">
        <v>64.28571428571429</v>
      </c>
      <c r="BU30" s="108">
        <v>14</v>
      </c>
    </row>
    <row r="31" spans="1:73" ht="41.45" customHeight="1">
      <c r="A31" s="62" t="s">
        <v>290</v>
      </c>
      <c r="C31" s="64"/>
      <c r="D31" s="64" t="s">
        <v>64</v>
      </c>
      <c r="E31" s="67">
        <v>163.25345299471707</v>
      </c>
      <c r="F31" s="69"/>
      <c r="G31" s="104" t="str">
        <f>HYPERLINK("https://pbs.twimg.com/profile_images/378800000656629834/337bcd4da9fd966bdaf994569caad825_normal.jpeg")</f>
        <v>https://pbs.twimg.com/profile_images/378800000656629834/337bcd4da9fd966bdaf994569caad825_normal.jpeg</v>
      </c>
      <c r="H31" s="64"/>
      <c r="I31" s="70" t="s">
        <v>290</v>
      </c>
      <c r="J31" s="71"/>
      <c r="K31" s="71"/>
      <c r="L31" s="70" t="s">
        <v>904</v>
      </c>
      <c r="M31" s="74">
        <v>5.87408851870676</v>
      </c>
      <c r="N31" s="75">
        <v>2710.46142578125</v>
      </c>
      <c r="O31" s="75">
        <v>5354.04443359375</v>
      </c>
      <c r="P31" s="76"/>
      <c r="Q31" s="77"/>
      <c r="R31" s="77"/>
      <c r="S31" s="102"/>
      <c r="T31" s="45">
        <v>0</v>
      </c>
      <c r="U31" s="45">
        <v>14</v>
      </c>
      <c r="V31" s="46">
        <v>30.111111</v>
      </c>
      <c r="W31" s="46">
        <v>0.564516</v>
      </c>
      <c r="X31" s="46">
        <v>0.236278</v>
      </c>
      <c r="Y31" s="46">
        <v>0.030398</v>
      </c>
      <c r="Z31" s="46">
        <v>0.1813186813186813</v>
      </c>
      <c r="AA31" s="46">
        <v>0</v>
      </c>
      <c r="AB31" s="72">
        <v>31</v>
      </c>
      <c r="AC31" s="72"/>
      <c r="AD31" s="73"/>
      <c r="AE31" s="63" t="str">
        <f>REPLACE(INDEX(GroupVertices[Group],MATCH(Vertices[[#This Row],[Vertex]],GroupVertices[Vertex],0)),1,1,"")</f>
        <v>1</v>
      </c>
      <c r="AF31" s="63" t="s">
        <v>774</v>
      </c>
      <c r="AG31" s="96" t="s">
        <v>809</v>
      </c>
      <c r="AH31" s="63">
        <v>191</v>
      </c>
      <c r="AI31" s="63">
        <v>86</v>
      </c>
      <c r="AJ31" s="63">
        <v>234</v>
      </c>
      <c r="AK31" s="63">
        <v>30</v>
      </c>
      <c r="AL31" s="63"/>
      <c r="AM31" s="63" t="s">
        <v>844</v>
      </c>
      <c r="AN31" s="63" t="s">
        <v>872</v>
      </c>
      <c r="AO31" s="93" t="str">
        <f>HYPERLINK("https://t.co/02xf6Pattw")</f>
        <v>https://t.co/02xf6Pattw</v>
      </c>
      <c r="AP31" s="63"/>
      <c r="AQ31" s="90">
        <v>40379.49832175926</v>
      </c>
      <c r="AR31" s="93" t="str">
        <f>HYPERLINK("https://pbs.twimg.com/profile_banners/168632371/1421216477")</f>
        <v>https://pbs.twimg.com/profile_banners/168632371/1421216477</v>
      </c>
      <c r="AS31" s="63" t="b">
        <v>0</v>
      </c>
      <c r="AT31" s="63" t="b">
        <v>0</v>
      </c>
      <c r="AU31" s="63" t="b">
        <v>1</v>
      </c>
      <c r="AV31" s="63"/>
      <c r="AW31" s="63">
        <v>1</v>
      </c>
      <c r="AX31" s="93" t="str">
        <f>HYPERLINK("https://abs.twimg.com/images/themes/theme1/bg.png")</f>
        <v>https://abs.twimg.com/images/themes/theme1/bg.png</v>
      </c>
      <c r="AY31" s="63" t="b">
        <v>0</v>
      </c>
      <c r="AZ31" s="63" t="s">
        <v>876</v>
      </c>
      <c r="BA31" s="93" t="str">
        <f>HYPERLINK("https://twitter.com/jordisandalinas")</f>
        <v>https://twitter.com/jordisandalinas</v>
      </c>
      <c r="BB31" s="63" t="s">
        <v>66</v>
      </c>
      <c r="BC31" s="45" t="s">
        <v>1122</v>
      </c>
      <c r="BD31" s="45" t="s">
        <v>1132</v>
      </c>
      <c r="BE31" s="45" t="s">
        <v>1139</v>
      </c>
      <c r="BF31" s="45" t="s">
        <v>1139</v>
      </c>
      <c r="BG31" s="45" t="s">
        <v>1155</v>
      </c>
      <c r="BH31" s="45" t="s">
        <v>1170</v>
      </c>
      <c r="BI31" s="108" t="s">
        <v>1193</v>
      </c>
      <c r="BJ31" s="108" t="s">
        <v>1209</v>
      </c>
      <c r="BK31" s="108" t="s">
        <v>1229</v>
      </c>
      <c r="BL31" s="108" t="s">
        <v>1229</v>
      </c>
      <c r="BM31" s="108">
        <v>0</v>
      </c>
      <c r="BN31" s="111">
        <v>0</v>
      </c>
      <c r="BO31" s="108">
        <v>0</v>
      </c>
      <c r="BP31" s="111">
        <v>0</v>
      </c>
      <c r="BQ31" s="108">
        <v>0</v>
      </c>
      <c r="BR31" s="111">
        <v>0</v>
      </c>
      <c r="BS31" s="108">
        <v>37</v>
      </c>
      <c r="BT31" s="111">
        <v>88.0952380952381</v>
      </c>
      <c r="BU31" s="108">
        <v>42</v>
      </c>
    </row>
    <row r="32" spans="1:73" ht="41.45" customHeight="1">
      <c r="A32" s="62" t="s">
        <v>291</v>
      </c>
      <c r="C32" s="64"/>
      <c r="D32" s="64" t="s">
        <v>64</v>
      </c>
      <c r="E32" s="67">
        <v>164.26688307555216</v>
      </c>
      <c r="F32" s="69"/>
      <c r="G32" s="104" t="str">
        <f>HYPERLINK("https://pbs.twimg.com/profile_images/1420873866545614859/eNALZek8_normal.jpg")</f>
        <v>https://pbs.twimg.com/profile_images/1420873866545614859/eNALZek8_normal.jpg</v>
      </c>
      <c r="H32" s="64"/>
      <c r="I32" s="70" t="s">
        <v>291</v>
      </c>
      <c r="J32" s="71"/>
      <c r="K32" s="71"/>
      <c r="L32" s="70" t="s">
        <v>905</v>
      </c>
      <c r="M32" s="74">
        <v>9.814840938086693</v>
      </c>
      <c r="N32" s="75">
        <v>5290.43603515625</v>
      </c>
      <c r="O32" s="75">
        <v>8400.4833984375</v>
      </c>
      <c r="P32" s="76"/>
      <c r="Q32" s="77"/>
      <c r="R32" s="77"/>
      <c r="S32" s="102"/>
      <c r="T32" s="45">
        <v>0</v>
      </c>
      <c r="U32" s="45">
        <v>1</v>
      </c>
      <c r="V32" s="46">
        <v>0</v>
      </c>
      <c r="W32" s="46">
        <v>0.454545</v>
      </c>
      <c r="X32" s="46">
        <v>0.028719</v>
      </c>
      <c r="Y32" s="46">
        <v>0.023932</v>
      </c>
      <c r="Z32" s="46">
        <v>0</v>
      </c>
      <c r="AA32" s="46">
        <v>0</v>
      </c>
      <c r="AB32" s="72">
        <v>32</v>
      </c>
      <c r="AC32" s="72"/>
      <c r="AD32" s="73"/>
      <c r="AE32" s="63" t="str">
        <f>REPLACE(INDEX(GroupVertices[Group],MATCH(Vertices[[#This Row],[Vertex]],GroupVertices[Vertex],0)),1,1,"")</f>
        <v>2</v>
      </c>
      <c r="AF32" s="63" t="s">
        <v>775</v>
      </c>
      <c r="AG32" s="96" t="s">
        <v>810</v>
      </c>
      <c r="AH32" s="63">
        <v>123</v>
      </c>
      <c r="AI32" s="63">
        <v>124</v>
      </c>
      <c r="AJ32" s="63">
        <v>17846</v>
      </c>
      <c r="AK32" s="63">
        <v>22049</v>
      </c>
      <c r="AL32" s="63"/>
      <c r="AM32" s="63" t="s">
        <v>845</v>
      </c>
      <c r="AN32" s="63"/>
      <c r="AO32" s="63"/>
      <c r="AP32" s="63"/>
      <c r="AQ32" s="90">
        <v>43938.81015046296</v>
      </c>
      <c r="AR32" s="63"/>
      <c r="AS32" s="63" t="b">
        <v>1</v>
      </c>
      <c r="AT32" s="63" t="b">
        <v>0</v>
      </c>
      <c r="AU32" s="63" t="b">
        <v>1</v>
      </c>
      <c r="AV32" s="63"/>
      <c r="AW32" s="63">
        <v>0</v>
      </c>
      <c r="AX32" s="63"/>
      <c r="AY32" s="63" t="b">
        <v>0</v>
      </c>
      <c r="AZ32" s="63" t="s">
        <v>876</v>
      </c>
      <c r="BA32" s="93" t="str">
        <f>HYPERLINK("https://twitter.com/ikechukwuebere8")</f>
        <v>https://twitter.com/ikechukwuebere8</v>
      </c>
      <c r="BB32" s="63" t="s">
        <v>66</v>
      </c>
      <c r="BC32" s="45" t="s">
        <v>925</v>
      </c>
      <c r="BD32" s="45" t="s">
        <v>925</v>
      </c>
      <c r="BE32" s="45" t="s">
        <v>407</v>
      </c>
      <c r="BF32" s="45" t="s">
        <v>407</v>
      </c>
      <c r="BG32" s="45" t="s">
        <v>428</v>
      </c>
      <c r="BH32" s="45" t="s">
        <v>1168</v>
      </c>
      <c r="BI32" s="108" t="s">
        <v>1191</v>
      </c>
      <c r="BJ32" s="108" t="s">
        <v>1191</v>
      </c>
      <c r="BK32" s="108" t="s">
        <v>1227</v>
      </c>
      <c r="BL32" s="108" t="s">
        <v>1227</v>
      </c>
      <c r="BM32" s="108">
        <v>0</v>
      </c>
      <c r="BN32" s="111">
        <v>0</v>
      </c>
      <c r="BO32" s="108">
        <v>0</v>
      </c>
      <c r="BP32" s="111">
        <v>0</v>
      </c>
      <c r="BQ32" s="108">
        <v>0</v>
      </c>
      <c r="BR32" s="111">
        <v>0</v>
      </c>
      <c r="BS32" s="108">
        <v>16</v>
      </c>
      <c r="BT32" s="111">
        <v>84.21052631578948</v>
      </c>
      <c r="BU32" s="108">
        <v>19</v>
      </c>
    </row>
    <row r="33" spans="1:73" ht="41.45" customHeight="1">
      <c r="A33" s="62" t="s">
        <v>292</v>
      </c>
      <c r="C33" s="64"/>
      <c r="D33" s="64" t="s">
        <v>64</v>
      </c>
      <c r="E33" s="67">
        <v>171.70759340589396</v>
      </c>
      <c r="F33" s="69"/>
      <c r="G33" s="104" t="str">
        <f>HYPERLINK("https://pbs.twimg.com/profile_images/1519421802304397312/lrC8-Nd3_normal.jpg")</f>
        <v>https://pbs.twimg.com/profile_images/1519421802304397312/lrC8-Nd3_normal.jpg</v>
      </c>
      <c r="H33" s="64"/>
      <c r="I33" s="70" t="s">
        <v>292</v>
      </c>
      <c r="J33" s="71"/>
      <c r="K33" s="71"/>
      <c r="L33" s="70" t="s">
        <v>906</v>
      </c>
      <c r="M33" s="74">
        <v>38.74826001721831</v>
      </c>
      <c r="N33" s="75">
        <v>6357.90234375</v>
      </c>
      <c r="O33" s="75">
        <v>628.5474853515625</v>
      </c>
      <c r="P33" s="76"/>
      <c r="Q33" s="77"/>
      <c r="R33" s="77"/>
      <c r="S33" s="102"/>
      <c r="T33" s="45">
        <v>0</v>
      </c>
      <c r="U33" s="45">
        <v>1</v>
      </c>
      <c r="V33" s="46">
        <v>0</v>
      </c>
      <c r="W33" s="46">
        <v>0.393258</v>
      </c>
      <c r="X33" s="46">
        <v>0.02148</v>
      </c>
      <c r="Y33" s="46">
        <v>0.023982</v>
      </c>
      <c r="Z33" s="46">
        <v>0</v>
      </c>
      <c r="AA33" s="46">
        <v>0</v>
      </c>
      <c r="AB33" s="72">
        <v>33</v>
      </c>
      <c r="AC33" s="72"/>
      <c r="AD33" s="73"/>
      <c r="AE33" s="63" t="str">
        <f>REPLACE(INDEX(GroupVertices[Group],MATCH(Vertices[[#This Row],[Vertex]],GroupVertices[Vertex],0)),1,1,"")</f>
        <v>4</v>
      </c>
      <c r="AF33" s="63" t="s">
        <v>776</v>
      </c>
      <c r="AG33" s="96" t="s">
        <v>811</v>
      </c>
      <c r="AH33" s="63">
        <v>427</v>
      </c>
      <c r="AI33" s="63">
        <v>403</v>
      </c>
      <c r="AJ33" s="63">
        <v>604</v>
      </c>
      <c r="AK33" s="63">
        <v>258</v>
      </c>
      <c r="AL33" s="63"/>
      <c r="AM33" s="63" t="s">
        <v>846</v>
      </c>
      <c r="AN33" s="63" t="s">
        <v>856</v>
      </c>
      <c r="AO33" s="63"/>
      <c r="AP33" s="63"/>
      <c r="AQ33" s="90">
        <v>44656.80498842592</v>
      </c>
      <c r="AR33" s="93" t="str">
        <f>HYPERLINK("https://pbs.twimg.com/profile_banners/1511423158573805577/1656001947")</f>
        <v>https://pbs.twimg.com/profile_banners/1511423158573805577/1656001947</v>
      </c>
      <c r="AS33" s="63" t="b">
        <v>1</v>
      </c>
      <c r="AT33" s="63" t="b">
        <v>0</v>
      </c>
      <c r="AU33" s="63" t="b">
        <v>0</v>
      </c>
      <c r="AV33" s="63"/>
      <c r="AW33" s="63">
        <v>2</v>
      </c>
      <c r="AX33" s="63"/>
      <c r="AY33" s="63" t="b">
        <v>0</v>
      </c>
      <c r="AZ33" s="63" t="s">
        <v>876</v>
      </c>
      <c r="BA33" s="93" t="str">
        <f>HYPERLINK("https://twitter.com/elultimosapiens")</f>
        <v>https://twitter.com/elultimosapiens</v>
      </c>
      <c r="BB33" s="63" t="s">
        <v>66</v>
      </c>
      <c r="BC33" s="45" t="s">
        <v>394</v>
      </c>
      <c r="BD33" s="45" t="s">
        <v>394</v>
      </c>
      <c r="BE33" s="45" t="s">
        <v>408</v>
      </c>
      <c r="BF33" s="45" t="s">
        <v>405</v>
      </c>
      <c r="BG33" s="45" t="s">
        <v>429</v>
      </c>
      <c r="BH33" s="45" t="s">
        <v>1171</v>
      </c>
      <c r="BI33" s="108" t="s">
        <v>1194</v>
      </c>
      <c r="BJ33" s="108" t="s">
        <v>1194</v>
      </c>
      <c r="BK33" s="108" t="s">
        <v>1230</v>
      </c>
      <c r="BL33" s="108" t="s">
        <v>1230</v>
      </c>
      <c r="BM33" s="108">
        <v>0</v>
      </c>
      <c r="BN33" s="111">
        <v>0</v>
      </c>
      <c r="BO33" s="108">
        <v>0</v>
      </c>
      <c r="BP33" s="111">
        <v>0</v>
      </c>
      <c r="BQ33" s="108">
        <v>0</v>
      </c>
      <c r="BR33" s="111">
        <v>0</v>
      </c>
      <c r="BS33" s="108">
        <v>16</v>
      </c>
      <c r="BT33" s="111">
        <v>51.61290322580645</v>
      </c>
      <c r="BU33" s="108">
        <v>31</v>
      </c>
    </row>
    <row r="34" spans="1:73" ht="41.45" customHeight="1">
      <c r="A34" s="62" t="s">
        <v>293</v>
      </c>
      <c r="C34" s="64"/>
      <c r="D34" s="64" t="s">
        <v>64</v>
      </c>
      <c r="E34" s="67">
        <v>257.92915791483676</v>
      </c>
      <c r="F34" s="69"/>
      <c r="G34" s="104" t="str">
        <f>HYPERLINK("https://pbs.twimg.com/profile_images/1533210440830009350/Gl6PGpUl_normal.jpg")</f>
        <v>https://pbs.twimg.com/profile_images/1533210440830009350/Gl6PGpUl_normal.jpg</v>
      </c>
      <c r="H34" s="64"/>
      <c r="I34" s="70" t="s">
        <v>293</v>
      </c>
      <c r="J34" s="71"/>
      <c r="K34" s="71"/>
      <c r="L34" s="70" t="s">
        <v>907</v>
      </c>
      <c r="M34" s="74">
        <v>374.0233276976216</v>
      </c>
      <c r="N34" s="75">
        <v>3468.091796875</v>
      </c>
      <c r="O34" s="75">
        <v>4306.01171875</v>
      </c>
      <c r="P34" s="76"/>
      <c r="Q34" s="77"/>
      <c r="R34" s="77"/>
      <c r="S34" s="102"/>
      <c r="T34" s="45">
        <v>0</v>
      </c>
      <c r="U34" s="45">
        <v>1</v>
      </c>
      <c r="V34" s="46">
        <v>0</v>
      </c>
      <c r="W34" s="46">
        <v>0.454545</v>
      </c>
      <c r="X34" s="46">
        <v>0.028719</v>
      </c>
      <c r="Y34" s="46">
        <v>0.023932</v>
      </c>
      <c r="Z34" s="46">
        <v>0</v>
      </c>
      <c r="AA34" s="46">
        <v>0</v>
      </c>
      <c r="AB34" s="72">
        <v>34</v>
      </c>
      <c r="AC34" s="72"/>
      <c r="AD34" s="73"/>
      <c r="AE34" s="63" t="str">
        <f>REPLACE(INDEX(GroupVertices[Group],MATCH(Vertices[[#This Row],[Vertex]],GroupVertices[Vertex],0)),1,1,"")</f>
        <v>2</v>
      </c>
      <c r="AF34" s="63" t="s">
        <v>777</v>
      </c>
      <c r="AG34" s="96" t="s">
        <v>812</v>
      </c>
      <c r="AH34" s="63">
        <v>7</v>
      </c>
      <c r="AI34" s="63">
        <v>3636</v>
      </c>
      <c r="AJ34" s="63">
        <v>425339</v>
      </c>
      <c r="AK34" s="63">
        <v>49</v>
      </c>
      <c r="AL34" s="63"/>
      <c r="AM34" s="63" t="s">
        <v>847</v>
      </c>
      <c r="AN34" s="63"/>
      <c r="AO34" s="93" t="str">
        <f>HYPERLINK("https://t.co/5vsRIWE8JK")</f>
        <v>https://t.co/5vsRIWE8JK</v>
      </c>
      <c r="AP34" s="63"/>
      <c r="AQ34" s="90">
        <v>44716.92417824074</v>
      </c>
      <c r="AR34" s="63"/>
      <c r="AS34" s="63" t="b">
        <v>1</v>
      </c>
      <c r="AT34" s="63" t="b">
        <v>0</v>
      </c>
      <c r="AU34" s="63" t="b">
        <v>0</v>
      </c>
      <c r="AV34" s="63"/>
      <c r="AW34" s="63">
        <v>24</v>
      </c>
      <c r="AX34" s="63"/>
      <c r="AY34" s="63" t="b">
        <v>0</v>
      </c>
      <c r="AZ34" s="63" t="s">
        <v>876</v>
      </c>
      <c r="BA34" s="93" t="str">
        <f>HYPERLINK("https://twitter.com/frcretweets")</f>
        <v>https://twitter.com/frcretweets</v>
      </c>
      <c r="BB34" s="63" t="s">
        <v>66</v>
      </c>
      <c r="BC34" s="45" t="s">
        <v>927</v>
      </c>
      <c r="BD34" s="45" t="s">
        <v>927</v>
      </c>
      <c r="BE34" s="45" t="s">
        <v>403</v>
      </c>
      <c r="BF34" s="45" t="s">
        <v>403</v>
      </c>
      <c r="BG34" s="45" t="s">
        <v>430</v>
      </c>
      <c r="BH34" s="45" t="s">
        <v>1169</v>
      </c>
      <c r="BI34" s="108" t="s">
        <v>1195</v>
      </c>
      <c r="BJ34" s="108" t="s">
        <v>1195</v>
      </c>
      <c r="BK34" s="108" t="s">
        <v>1231</v>
      </c>
      <c r="BL34" s="108" t="s">
        <v>1231</v>
      </c>
      <c r="BM34" s="108">
        <v>0</v>
      </c>
      <c r="BN34" s="111">
        <v>0</v>
      </c>
      <c r="BO34" s="108">
        <v>0</v>
      </c>
      <c r="BP34" s="111">
        <v>0</v>
      </c>
      <c r="BQ34" s="108">
        <v>0</v>
      </c>
      <c r="BR34" s="111">
        <v>0</v>
      </c>
      <c r="BS34" s="108">
        <v>5</v>
      </c>
      <c r="BT34" s="111">
        <v>62.5</v>
      </c>
      <c r="BU34" s="108">
        <v>8</v>
      </c>
    </row>
    <row r="35" spans="1:73" ht="41.45" customHeight="1">
      <c r="A35" s="62" t="s">
        <v>294</v>
      </c>
      <c r="C35" s="64"/>
      <c r="D35" s="64" t="s">
        <v>64</v>
      </c>
      <c r="E35" s="67">
        <v>165.44032843230858</v>
      </c>
      <c r="F35" s="69"/>
      <c r="G35" s="104" t="str">
        <f>HYPERLINK("https://pbs.twimg.com/profile_images/1516215646580838402/EmBl01Fy_normal.jpg")</f>
        <v>https://pbs.twimg.com/profile_images/1516215646580838402/EmBl01Fy_normal.jpg</v>
      </c>
      <c r="H35" s="64"/>
      <c r="I35" s="70" t="s">
        <v>294</v>
      </c>
      <c r="J35" s="71"/>
      <c r="K35" s="71"/>
      <c r="L35" s="70" t="s">
        <v>908</v>
      </c>
      <c r="M35" s="74">
        <v>14.37781742368451</v>
      </c>
      <c r="N35" s="75">
        <v>5913.02978515625</v>
      </c>
      <c r="O35" s="75">
        <v>3698.50439453125</v>
      </c>
      <c r="P35" s="76"/>
      <c r="Q35" s="77"/>
      <c r="R35" s="77"/>
      <c r="S35" s="102"/>
      <c r="T35" s="45">
        <v>0</v>
      </c>
      <c r="U35" s="45">
        <v>2</v>
      </c>
      <c r="V35" s="46">
        <v>0</v>
      </c>
      <c r="W35" s="46">
        <v>0.492958</v>
      </c>
      <c r="X35" s="46">
        <v>0.050199</v>
      </c>
      <c r="Y35" s="46">
        <v>0.024303</v>
      </c>
      <c r="Z35" s="46">
        <v>0.5</v>
      </c>
      <c r="AA35" s="46">
        <v>0</v>
      </c>
      <c r="AB35" s="72">
        <v>35</v>
      </c>
      <c r="AC35" s="72"/>
      <c r="AD35" s="73"/>
      <c r="AE35" s="63" t="str">
        <f>REPLACE(INDEX(GroupVertices[Group],MATCH(Vertices[[#This Row],[Vertex]],GroupVertices[Vertex],0)),1,1,"")</f>
        <v>4</v>
      </c>
      <c r="AF35" s="63" t="s">
        <v>778</v>
      </c>
      <c r="AG35" s="96" t="s">
        <v>813</v>
      </c>
      <c r="AH35" s="63">
        <v>418</v>
      </c>
      <c r="AI35" s="63">
        <v>168</v>
      </c>
      <c r="AJ35" s="63">
        <v>4199</v>
      </c>
      <c r="AK35" s="63">
        <v>5268</v>
      </c>
      <c r="AL35" s="63"/>
      <c r="AM35" s="63" t="s">
        <v>848</v>
      </c>
      <c r="AN35" s="63" t="s">
        <v>873</v>
      </c>
      <c r="AO35" s="63"/>
      <c r="AP35" s="63"/>
      <c r="AQ35" s="90">
        <v>41862.45167824074</v>
      </c>
      <c r="AR35" s="93" t="str">
        <f>HYPERLINK("https://pbs.twimg.com/profile_banners/2739803567/1650329063")</f>
        <v>https://pbs.twimg.com/profile_banners/2739803567/1650329063</v>
      </c>
      <c r="AS35" s="63" t="b">
        <v>1</v>
      </c>
      <c r="AT35" s="63" t="b">
        <v>0</v>
      </c>
      <c r="AU35" s="63" t="b">
        <v>1</v>
      </c>
      <c r="AV35" s="63"/>
      <c r="AW35" s="63">
        <v>1</v>
      </c>
      <c r="AX35" s="93" t="str">
        <f>HYPERLINK("https://abs.twimg.com/images/themes/theme1/bg.png")</f>
        <v>https://abs.twimg.com/images/themes/theme1/bg.png</v>
      </c>
      <c r="AY35" s="63" t="b">
        <v>0</v>
      </c>
      <c r="AZ35" s="63" t="s">
        <v>876</v>
      </c>
      <c r="BA35" s="93" t="str">
        <f>HYPERLINK("https://twitter.com/carlesvillapla1")</f>
        <v>https://twitter.com/carlesvillapla1</v>
      </c>
      <c r="BB35" s="63" t="s">
        <v>66</v>
      </c>
      <c r="BC35" s="45" t="s">
        <v>1123</v>
      </c>
      <c r="BD35" s="45" t="s">
        <v>1123</v>
      </c>
      <c r="BE35" s="45" t="s">
        <v>1140</v>
      </c>
      <c r="BF35" s="45" t="s">
        <v>1139</v>
      </c>
      <c r="BG35" s="45" t="s">
        <v>1156</v>
      </c>
      <c r="BH35" s="45" t="s">
        <v>1172</v>
      </c>
      <c r="BI35" s="108" t="s">
        <v>1196</v>
      </c>
      <c r="BJ35" s="108" t="s">
        <v>1196</v>
      </c>
      <c r="BK35" s="108" t="s">
        <v>1232</v>
      </c>
      <c r="BL35" s="108" t="s">
        <v>1232</v>
      </c>
      <c r="BM35" s="108">
        <v>1</v>
      </c>
      <c r="BN35" s="111">
        <v>3.7037037037037037</v>
      </c>
      <c r="BO35" s="108">
        <v>0</v>
      </c>
      <c r="BP35" s="111">
        <v>0</v>
      </c>
      <c r="BQ35" s="108">
        <v>0</v>
      </c>
      <c r="BR35" s="111">
        <v>0</v>
      </c>
      <c r="BS35" s="108">
        <v>20</v>
      </c>
      <c r="BT35" s="111">
        <v>74.07407407407408</v>
      </c>
      <c r="BU35" s="108">
        <v>27</v>
      </c>
    </row>
    <row r="36" spans="1:73" ht="41.45" customHeight="1">
      <c r="A36" s="62" t="s">
        <v>295</v>
      </c>
      <c r="C36" s="64"/>
      <c r="D36" s="64" t="s">
        <v>64</v>
      </c>
      <c r="E36" s="67">
        <v>188.37585131436572</v>
      </c>
      <c r="F36" s="69"/>
      <c r="G36" s="104" t="str">
        <f>HYPERLINK("https://pbs.twimg.com/profile_images/1580441662622507014/UdEZtt-t_normal.jpg")</f>
        <v>https://pbs.twimg.com/profile_images/1580441662622507014/UdEZtt-t_normal.jpg</v>
      </c>
      <c r="H36" s="64"/>
      <c r="I36" s="70" t="s">
        <v>295</v>
      </c>
      <c r="J36" s="71"/>
      <c r="K36" s="71"/>
      <c r="L36" s="70" t="s">
        <v>909</v>
      </c>
      <c r="M36" s="74">
        <v>103.56326691491458</v>
      </c>
      <c r="N36" s="75">
        <v>5713.71435546875</v>
      </c>
      <c r="O36" s="75">
        <v>5251.203125</v>
      </c>
      <c r="P36" s="76"/>
      <c r="Q36" s="77"/>
      <c r="R36" s="77"/>
      <c r="S36" s="102"/>
      <c r="T36" s="45">
        <v>0</v>
      </c>
      <c r="U36" s="45">
        <v>1</v>
      </c>
      <c r="V36" s="46">
        <v>0</v>
      </c>
      <c r="W36" s="46">
        <v>0.454545</v>
      </c>
      <c r="X36" s="46">
        <v>0.028719</v>
      </c>
      <c r="Y36" s="46">
        <v>0.023932</v>
      </c>
      <c r="Z36" s="46">
        <v>0</v>
      </c>
      <c r="AA36" s="46">
        <v>0</v>
      </c>
      <c r="AB36" s="72">
        <v>36</v>
      </c>
      <c r="AC36" s="72"/>
      <c r="AD36" s="73"/>
      <c r="AE36" s="63" t="str">
        <f>REPLACE(INDEX(GroupVertices[Group],MATCH(Vertices[[#This Row],[Vertex]],GroupVertices[Vertex],0)),1,1,"")</f>
        <v>2</v>
      </c>
      <c r="AF36" s="63" t="s">
        <v>779</v>
      </c>
      <c r="AG36" s="96" t="s">
        <v>814</v>
      </c>
      <c r="AH36" s="63">
        <v>45</v>
      </c>
      <c r="AI36" s="63">
        <v>1028</v>
      </c>
      <c r="AJ36" s="63">
        <v>106</v>
      </c>
      <c r="AK36" s="63">
        <v>90</v>
      </c>
      <c r="AL36" s="63"/>
      <c r="AM36" s="63" t="s">
        <v>849</v>
      </c>
      <c r="AN36" s="63"/>
      <c r="AO36" s="63"/>
      <c r="AP36" s="63"/>
      <c r="AQ36" s="90">
        <v>44847.25824074074</v>
      </c>
      <c r="AR36" s="93" t="str">
        <f>HYPERLINK("https://pbs.twimg.com/profile_banners/1580441092285235203/1665642674")</f>
        <v>https://pbs.twimg.com/profile_banners/1580441092285235203/1665642674</v>
      </c>
      <c r="AS36" s="63" t="b">
        <v>1</v>
      </c>
      <c r="AT36" s="63" t="b">
        <v>0</v>
      </c>
      <c r="AU36" s="63" t="b">
        <v>0</v>
      </c>
      <c r="AV36" s="63"/>
      <c r="AW36" s="63">
        <v>0</v>
      </c>
      <c r="AX36" s="63"/>
      <c r="AY36" s="63" t="b">
        <v>0</v>
      </c>
      <c r="AZ36" s="63" t="s">
        <v>876</v>
      </c>
      <c r="BA36" s="93" t="str">
        <f>HYPERLINK("https://twitter.com/thcbc_nft")</f>
        <v>https://twitter.com/thcbc_nft</v>
      </c>
      <c r="BB36" s="63" t="s">
        <v>66</v>
      </c>
      <c r="BC36" s="45" t="s">
        <v>934</v>
      </c>
      <c r="BD36" s="45" t="s">
        <v>934</v>
      </c>
      <c r="BE36" s="45" t="s">
        <v>409</v>
      </c>
      <c r="BF36" s="45" t="s">
        <v>409</v>
      </c>
      <c r="BG36" s="45" t="s">
        <v>431</v>
      </c>
      <c r="BH36" s="45" t="s">
        <v>1173</v>
      </c>
      <c r="BI36" s="108" t="s">
        <v>1197</v>
      </c>
      <c r="BJ36" s="108" t="s">
        <v>1197</v>
      </c>
      <c r="BK36" s="108" t="s">
        <v>1233</v>
      </c>
      <c r="BL36" s="108" t="s">
        <v>1233</v>
      </c>
      <c r="BM36" s="108">
        <v>0</v>
      </c>
      <c r="BN36" s="111">
        <v>0</v>
      </c>
      <c r="BO36" s="108">
        <v>0</v>
      </c>
      <c r="BP36" s="111">
        <v>0</v>
      </c>
      <c r="BQ36" s="108">
        <v>0</v>
      </c>
      <c r="BR36" s="111">
        <v>0</v>
      </c>
      <c r="BS36" s="108">
        <v>18</v>
      </c>
      <c r="BT36" s="111">
        <v>66.66666666666667</v>
      </c>
      <c r="BU36" s="108">
        <v>27</v>
      </c>
    </row>
    <row r="37" spans="1:73" ht="41.45" customHeight="1">
      <c r="A37" s="62" t="s">
        <v>303</v>
      </c>
      <c r="C37" s="64"/>
      <c r="D37" s="64" t="s">
        <v>64</v>
      </c>
      <c r="E37" s="67">
        <v>169.81407930749157</v>
      </c>
      <c r="F37" s="69"/>
      <c r="G37" s="104" t="str">
        <f>HYPERLINK("https://pbs.twimg.com/profile_images/1528482595796926466/3lcv6dc4_normal.jpg")</f>
        <v>https://pbs.twimg.com/profile_images/1528482595796926466/3lcv6dc4_normal.jpg</v>
      </c>
      <c r="H37" s="64"/>
      <c r="I37" s="70" t="s">
        <v>303</v>
      </c>
      <c r="J37" s="71"/>
      <c r="K37" s="71"/>
      <c r="L37" s="70" t="s">
        <v>910</v>
      </c>
      <c r="M37" s="74">
        <v>31.385275233640012</v>
      </c>
      <c r="N37" s="75">
        <v>9767.6279296875</v>
      </c>
      <c r="O37" s="75">
        <v>9370.4521484375</v>
      </c>
      <c r="P37" s="76"/>
      <c r="Q37" s="77"/>
      <c r="R37" s="77"/>
      <c r="S37" s="102"/>
      <c r="T37" s="45">
        <v>2</v>
      </c>
      <c r="U37" s="45">
        <v>2</v>
      </c>
      <c r="V37" s="46">
        <v>0</v>
      </c>
      <c r="W37" s="46">
        <v>0.5</v>
      </c>
      <c r="X37" s="46">
        <v>0.075491</v>
      </c>
      <c r="Y37" s="46">
        <v>0.024619</v>
      </c>
      <c r="Z37" s="46">
        <v>0.6666666666666666</v>
      </c>
      <c r="AA37" s="46">
        <v>0.3333333333333333</v>
      </c>
      <c r="AB37" s="72">
        <v>37</v>
      </c>
      <c r="AC37" s="72"/>
      <c r="AD37" s="73"/>
      <c r="AE37" s="63" t="str">
        <f>REPLACE(INDEX(GroupVertices[Group],MATCH(Vertices[[#This Row],[Vertex]],GroupVertices[Vertex],0)),1,1,"")</f>
        <v>5</v>
      </c>
      <c r="AF37" s="63" t="s">
        <v>780</v>
      </c>
      <c r="AG37" s="96" t="s">
        <v>815</v>
      </c>
      <c r="AH37" s="63">
        <v>1250</v>
      </c>
      <c r="AI37" s="63">
        <v>332</v>
      </c>
      <c r="AJ37" s="63">
        <v>4424</v>
      </c>
      <c r="AK37" s="63">
        <v>1774</v>
      </c>
      <c r="AL37" s="63"/>
      <c r="AM37" s="63" t="s">
        <v>850</v>
      </c>
      <c r="AN37" s="63" t="s">
        <v>874</v>
      </c>
      <c r="AO37" s="93" t="str">
        <f>HYPERLINK("https://t.co/zTV4pmbmHQ")</f>
        <v>https://t.co/zTV4pmbmHQ</v>
      </c>
      <c r="AP37" s="63"/>
      <c r="AQ37" s="90">
        <v>40044.534097222226</v>
      </c>
      <c r="AR37" s="93" t="str">
        <f>HYPERLINK("https://pbs.twimg.com/profile_banners/66990457/1662006995")</f>
        <v>https://pbs.twimg.com/profile_banners/66990457/1662006995</v>
      </c>
      <c r="AS37" s="63" t="b">
        <v>1</v>
      </c>
      <c r="AT37" s="63" t="b">
        <v>0</v>
      </c>
      <c r="AU37" s="63" t="b">
        <v>1</v>
      </c>
      <c r="AV37" s="63"/>
      <c r="AW37" s="63">
        <v>1</v>
      </c>
      <c r="AX37" s="93" t="str">
        <f>HYPERLINK("https://abs.twimg.com/images/themes/theme1/bg.png")</f>
        <v>https://abs.twimg.com/images/themes/theme1/bg.png</v>
      </c>
      <c r="AY37" s="63" t="b">
        <v>0</v>
      </c>
      <c r="AZ37" s="63" t="s">
        <v>876</v>
      </c>
      <c r="BA37" s="93" t="str">
        <f>HYPERLINK("https://twitter.com/kgomotsegoram")</f>
        <v>https://twitter.com/kgomotsegoram</v>
      </c>
      <c r="BB37" s="63" t="s">
        <v>66</v>
      </c>
      <c r="BC37" s="45" t="s">
        <v>938</v>
      </c>
      <c r="BD37" s="45" t="s">
        <v>938</v>
      </c>
      <c r="BE37" s="45" t="s">
        <v>411</v>
      </c>
      <c r="BF37" s="45" t="s">
        <v>411</v>
      </c>
      <c r="BG37" s="45" t="s">
        <v>421</v>
      </c>
      <c r="BH37" s="45" t="s">
        <v>421</v>
      </c>
      <c r="BI37" s="108" t="s">
        <v>1198</v>
      </c>
      <c r="BJ37" s="108" t="s">
        <v>1198</v>
      </c>
      <c r="BK37" s="108" t="s">
        <v>1234</v>
      </c>
      <c r="BL37" s="108" t="s">
        <v>1234</v>
      </c>
      <c r="BM37" s="108">
        <v>1</v>
      </c>
      <c r="BN37" s="111">
        <v>10</v>
      </c>
      <c r="BO37" s="108">
        <v>0</v>
      </c>
      <c r="BP37" s="111">
        <v>0</v>
      </c>
      <c r="BQ37" s="108">
        <v>0</v>
      </c>
      <c r="BR37" s="111">
        <v>0</v>
      </c>
      <c r="BS37" s="108">
        <v>7</v>
      </c>
      <c r="BT37" s="111">
        <v>70</v>
      </c>
      <c r="BU37" s="108">
        <v>10</v>
      </c>
    </row>
    <row r="38" spans="1:73" ht="41.45" customHeight="1">
      <c r="A38" s="62" t="s">
        <v>314</v>
      </c>
      <c r="C38" s="64"/>
      <c r="D38" s="64" t="s">
        <v>64</v>
      </c>
      <c r="E38" s="67">
        <v>1000</v>
      </c>
      <c r="F38" s="69"/>
      <c r="G38" s="104" t="str">
        <f>HYPERLINK("https://pbs.twimg.com/profile_images/1587792452370534403/2gITMojj_normal.jpg")</f>
        <v>https://pbs.twimg.com/profile_images/1587792452370534403/2gITMojj_normal.jpg</v>
      </c>
      <c r="H38" s="64"/>
      <c r="I38" s="70" t="s">
        <v>314</v>
      </c>
      <c r="J38" s="71"/>
      <c r="K38" s="71"/>
      <c r="L38" s="70" t="s">
        <v>911</v>
      </c>
      <c r="M38" s="74">
        <v>7765.837826344014</v>
      </c>
      <c r="N38" s="75">
        <v>3880.2080078125</v>
      </c>
      <c r="O38" s="75">
        <v>1140.4996337890625</v>
      </c>
      <c r="P38" s="76"/>
      <c r="Q38" s="77"/>
      <c r="R38" s="77"/>
      <c r="S38" s="102"/>
      <c r="T38" s="45">
        <v>1</v>
      </c>
      <c r="U38" s="45">
        <v>0</v>
      </c>
      <c r="V38" s="46">
        <v>0</v>
      </c>
      <c r="W38" s="46">
        <v>0.454545</v>
      </c>
      <c r="X38" s="46">
        <v>0.028719</v>
      </c>
      <c r="Y38" s="46">
        <v>0.023932</v>
      </c>
      <c r="Z38" s="46">
        <v>0</v>
      </c>
      <c r="AA38" s="46">
        <v>0</v>
      </c>
      <c r="AB38" s="72">
        <v>38</v>
      </c>
      <c r="AC38" s="72"/>
      <c r="AD38" s="73"/>
      <c r="AE38" s="63" t="str">
        <f>REPLACE(INDEX(GroupVertices[Group],MATCH(Vertices[[#This Row],[Vertex]],GroupVertices[Vertex],0)),1,1,"")</f>
        <v>2</v>
      </c>
      <c r="AF38" s="63" t="s">
        <v>781</v>
      </c>
      <c r="AG38" s="96" t="s">
        <v>816</v>
      </c>
      <c r="AH38" s="63">
        <v>489</v>
      </c>
      <c r="AI38" s="63">
        <v>74914</v>
      </c>
      <c r="AJ38" s="63">
        <v>107056</v>
      </c>
      <c r="AK38" s="63">
        <v>1308</v>
      </c>
      <c r="AL38" s="63"/>
      <c r="AM38" s="63" t="s">
        <v>851</v>
      </c>
      <c r="AN38" s="63"/>
      <c r="AO38" s="93" t="str">
        <f>HYPERLINK("https://t.co/pJ6LtDd7Fx")</f>
        <v>https://t.co/pJ6LtDd7Fx</v>
      </c>
      <c r="AP38" s="63"/>
      <c r="AQ38" s="90">
        <v>43564.37</v>
      </c>
      <c r="AR38" s="93" t="str">
        <f>HYPERLINK("https://pbs.twimg.com/profile_banners/1115538035167330304/1667394196")</f>
        <v>https://pbs.twimg.com/profile_banners/1115538035167330304/1667394196</v>
      </c>
      <c r="AS38" s="63" t="b">
        <v>1</v>
      </c>
      <c r="AT38" s="63" t="b">
        <v>0</v>
      </c>
      <c r="AU38" s="63" t="b">
        <v>0</v>
      </c>
      <c r="AV38" s="63"/>
      <c r="AW38" s="63">
        <v>642</v>
      </c>
      <c r="AX38" s="63"/>
      <c r="AY38" s="63" t="b">
        <v>1</v>
      </c>
      <c r="AZ38" s="63" t="s">
        <v>876</v>
      </c>
      <c r="BA38" s="93" t="str">
        <f>HYPERLINK("https://twitter.com/niusdiario")</f>
        <v>https://twitter.com/niusdiario</v>
      </c>
      <c r="BB38" s="63" t="s">
        <v>65</v>
      </c>
      <c r="BC38" s="45"/>
      <c r="BD38" s="45"/>
      <c r="BE38" s="45"/>
      <c r="BF38" s="45"/>
      <c r="BG38" s="45"/>
      <c r="BH38" s="45"/>
      <c r="BI38" s="45"/>
      <c r="BJ38" s="45"/>
      <c r="BK38" s="45"/>
      <c r="BL38" s="45"/>
      <c r="BM38" s="45"/>
      <c r="BN38" s="46"/>
      <c r="BO38" s="45"/>
      <c r="BP38" s="46"/>
      <c r="BQ38" s="45"/>
      <c r="BR38" s="46"/>
      <c r="BS38" s="45"/>
      <c r="BT38" s="46"/>
      <c r="BU38" s="45"/>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8"/>
    <dataValidation allowBlank="1" showInputMessage="1" promptTitle="Vertex Tooltip" prompt="Enter optional text that will pop up when the mouse is hovered over the vertex." errorTitle="Invalid Vertex Image Key" sqref="L3:L3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8"/>
    <dataValidation allowBlank="1" showInputMessage="1" promptTitle="Vertex Label Fill Color" prompt="To select an optional fill color for the Label shape, right-click and select Select Color on the right-click menu." sqref="J3:J38"/>
    <dataValidation allowBlank="1" showInputMessage="1" promptTitle="Vertex Image File" prompt="Enter the path to an image file.  Hover over the column header for examples." errorTitle="Invalid Vertex Image Key" sqref="G3:G38"/>
    <dataValidation allowBlank="1" showInputMessage="1" promptTitle="Vertex Color" prompt="To select an optional vertex color, right-click and select Select Color on the right-click menu." sqref="C3:C38"/>
    <dataValidation allowBlank="1" showInputMessage="1" promptTitle="Vertex Opacity" prompt="Enter an optional vertex opacity between 0 (transparent) and 100 (opaque)." errorTitle="Invalid Vertex Opacity" error="The optional vertex opacity must be a whole number between 0 and 10." sqref="F3:F38"/>
    <dataValidation type="list" allowBlank="1" showInputMessage="1" showErrorMessage="1" promptTitle="Vertex Shape" prompt="Select an optional vertex shape." errorTitle="Invalid Vertex Shape" error="You have entered an invalid vertex shape.  Try selecting from the drop-down list instead." sqref="D3:D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28125" style="0" bestFit="1" customWidth="1"/>
    <col min="28" max="28" width="13.140625" style="0" bestFit="1" customWidth="1"/>
    <col min="29" max="29" width="15.7109375" style="0" bestFit="1" customWidth="1"/>
    <col min="30" max="30" width="14.57421875" style="0" bestFit="1" customWidth="1"/>
    <col min="31" max="31" width="17.28125" style="0" bestFit="1" customWidth="1"/>
    <col min="32" max="32" width="11.57421875" style="0" bestFit="1" customWidth="1"/>
    <col min="33" max="33" width="19.57421875" style="0" bestFit="1" customWidth="1"/>
    <col min="34" max="34" width="24.140625" style="0" bestFit="1" customWidth="1"/>
    <col min="35" max="35" width="19.57421875" style="0" bestFit="1" customWidth="1"/>
    <col min="36" max="36" width="24.140625" style="0" bestFit="1" customWidth="1"/>
    <col min="37" max="37" width="19.57421875" style="0" bestFit="1" customWidth="1"/>
    <col min="38" max="38" width="24.140625" style="0" bestFit="1" customWidth="1"/>
    <col min="39" max="39" width="18.57421875" style="0" bestFit="1" customWidth="1"/>
    <col min="40" max="40" width="22.140625" style="0" bestFit="1" customWidth="1"/>
    <col min="41" max="41" width="16.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958</v>
      </c>
      <c r="Z2" s="7" t="s">
        <v>970</v>
      </c>
      <c r="AA2" s="7" t="s">
        <v>993</v>
      </c>
      <c r="AB2" s="7" t="s">
        <v>1026</v>
      </c>
      <c r="AC2" s="7" t="s">
        <v>1076</v>
      </c>
      <c r="AD2" s="7" t="s">
        <v>1094</v>
      </c>
      <c r="AE2" s="7" t="s">
        <v>1095</v>
      </c>
      <c r="AF2" s="7" t="s">
        <v>1106</v>
      </c>
      <c r="AG2" s="50" t="s">
        <v>1449</v>
      </c>
      <c r="AH2" s="50" t="s">
        <v>1450</v>
      </c>
      <c r="AI2" s="50" t="s">
        <v>1451</v>
      </c>
      <c r="AJ2" s="50" t="s">
        <v>1452</v>
      </c>
      <c r="AK2" s="50" t="s">
        <v>1453</v>
      </c>
      <c r="AL2" s="50" t="s">
        <v>1454</v>
      </c>
      <c r="AM2" s="50" t="s">
        <v>1455</v>
      </c>
      <c r="AN2" s="50" t="s">
        <v>1456</v>
      </c>
      <c r="AO2" s="50" t="s">
        <v>1459</v>
      </c>
    </row>
    <row r="3" spans="1:41" ht="15">
      <c r="A3" s="62" t="s">
        <v>914</v>
      </c>
      <c r="B3" s="64" t="s">
        <v>919</v>
      </c>
      <c r="C3" s="64" t="s">
        <v>56</v>
      </c>
      <c r="D3" s="105"/>
      <c r="E3" s="11"/>
      <c r="F3" s="12" t="s">
        <v>1511</v>
      </c>
      <c r="G3" s="60"/>
      <c r="H3" s="60"/>
      <c r="I3" s="106">
        <v>3</v>
      </c>
      <c r="J3" s="47"/>
      <c r="K3" s="45">
        <v>12</v>
      </c>
      <c r="L3" s="45">
        <v>28</v>
      </c>
      <c r="M3" s="45">
        <v>4</v>
      </c>
      <c r="N3" s="45">
        <v>32</v>
      </c>
      <c r="O3" s="45">
        <v>2</v>
      </c>
      <c r="P3" s="46">
        <v>0</v>
      </c>
      <c r="Q3" s="46">
        <v>0</v>
      </c>
      <c r="R3" s="45">
        <v>1</v>
      </c>
      <c r="S3" s="45">
        <v>0</v>
      </c>
      <c r="T3" s="45">
        <v>12</v>
      </c>
      <c r="U3" s="45">
        <v>32</v>
      </c>
      <c r="V3" s="45">
        <v>2</v>
      </c>
      <c r="W3" s="46">
        <v>1.430556</v>
      </c>
      <c r="X3" s="46">
        <v>0.2196969696969697</v>
      </c>
      <c r="Y3" s="63" t="s">
        <v>959</v>
      </c>
      <c r="Z3" s="63" t="s">
        <v>971</v>
      </c>
      <c r="AA3" s="63" t="s">
        <v>994</v>
      </c>
      <c r="AB3" s="96" t="s">
        <v>1027</v>
      </c>
      <c r="AC3" s="96" t="s">
        <v>1077</v>
      </c>
      <c r="AD3" s="96"/>
      <c r="AE3" s="96" t="s">
        <v>1096</v>
      </c>
      <c r="AF3" s="96" t="s">
        <v>1107</v>
      </c>
      <c r="AG3" s="108">
        <v>3</v>
      </c>
      <c r="AH3" s="111">
        <v>0.702576112412178</v>
      </c>
      <c r="AI3" s="108">
        <v>0</v>
      </c>
      <c r="AJ3" s="111">
        <v>0</v>
      </c>
      <c r="AK3" s="108">
        <v>0</v>
      </c>
      <c r="AL3" s="111">
        <v>0</v>
      </c>
      <c r="AM3" s="108">
        <v>321</v>
      </c>
      <c r="AN3" s="111">
        <v>75.17564402810305</v>
      </c>
      <c r="AO3" s="108">
        <v>427</v>
      </c>
    </row>
    <row r="4" spans="1:41" ht="15">
      <c r="A4" s="62" t="s">
        <v>915</v>
      </c>
      <c r="B4" s="64" t="s">
        <v>920</v>
      </c>
      <c r="C4" s="64" t="s">
        <v>56</v>
      </c>
      <c r="D4" s="105"/>
      <c r="E4" s="11"/>
      <c r="F4" s="12" t="s">
        <v>1512</v>
      </c>
      <c r="G4" s="60"/>
      <c r="H4" s="60"/>
      <c r="I4" s="106">
        <v>4</v>
      </c>
      <c r="J4" s="78"/>
      <c r="K4" s="45">
        <v>9</v>
      </c>
      <c r="L4" s="45">
        <v>8</v>
      </c>
      <c r="M4" s="45">
        <v>25</v>
      </c>
      <c r="N4" s="45">
        <v>33</v>
      </c>
      <c r="O4" s="45">
        <v>23</v>
      </c>
      <c r="P4" s="46">
        <v>0</v>
      </c>
      <c r="Q4" s="46">
        <v>0</v>
      </c>
      <c r="R4" s="45">
        <v>1</v>
      </c>
      <c r="S4" s="45">
        <v>0</v>
      </c>
      <c r="T4" s="45">
        <v>9</v>
      </c>
      <c r="U4" s="45">
        <v>33</v>
      </c>
      <c r="V4" s="45">
        <v>2</v>
      </c>
      <c r="W4" s="46">
        <v>1.555556</v>
      </c>
      <c r="X4" s="46">
        <v>0.125</v>
      </c>
      <c r="Y4" s="63" t="s">
        <v>960</v>
      </c>
      <c r="Z4" s="63" t="s">
        <v>972</v>
      </c>
      <c r="AA4" s="63" t="s">
        <v>995</v>
      </c>
      <c r="AB4" s="96" t="s">
        <v>1028</v>
      </c>
      <c r="AC4" s="96" t="s">
        <v>1078</v>
      </c>
      <c r="AD4" s="96"/>
      <c r="AE4" s="96" t="s">
        <v>1097</v>
      </c>
      <c r="AF4" s="96" t="s">
        <v>1108</v>
      </c>
      <c r="AG4" s="108">
        <v>6</v>
      </c>
      <c r="AH4" s="111">
        <v>0.6128702757916241</v>
      </c>
      <c r="AI4" s="108">
        <v>0</v>
      </c>
      <c r="AJ4" s="111">
        <v>0</v>
      </c>
      <c r="AK4" s="108">
        <v>0</v>
      </c>
      <c r="AL4" s="111">
        <v>0</v>
      </c>
      <c r="AM4" s="108">
        <v>709</v>
      </c>
      <c r="AN4" s="111">
        <v>72.42083758937692</v>
      </c>
      <c r="AO4" s="108">
        <v>979</v>
      </c>
    </row>
    <row r="5" spans="1:41" ht="15">
      <c r="A5" s="62" t="s">
        <v>916</v>
      </c>
      <c r="B5" s="64" t="s">
        <v>921</v>
      </c>
      <c r="C5" s="64" t="s">
        <v>56</v>
      </c>
      <c r="D5" s="105"/>
      <c r="E5" s="11"/>
      <c r="F5" s="12" t="s">
        <v>1513</v>
      </c>
      <c r="G5" s="60"/>
      <c r="H5" s="60"/>
      <c r="I5" s="106">
        <v>5</v>
      </c>
      <c r="J5" s="78"/>
      <c r="K5" s="45">
        <v>6</v>
      </c>
      <c r="L5" s="45">
        <v>11</v>
      </c>
      <c r="M5" s="45">
        <v>6</v>
      </c>
      <c r="N5" s="45">
        <v>17</v>
      </c>
      <c r="O5" s="45">
        <v>0</v>
      </c>
      <c r="P5" s="46">
        <v>0.07692307692307693</v>
      </c>
      <c r="Q5" s="46">
        <v>0.14285714285714285</v>
      </c>
      <c r="R5" s="45">
        <v>1</v>
      </c>
      <c r="S5" s="45">
        <v>0</v>
      </c>
      <c r="T5" s="45">
        <v>6</v>
      </c>
      <c r="U5" s="45">
        <v>17</v>
      </c>
      <c r="V5" s="45">
        <v>2</v>
      </c>
      <c r="W5" s="46">
        <v>0.944444</v>
      </c>
      <c r="X5" s="46">
        <v>0.4666666666666667</v>
      </c>
      <c r="Y5" s="63" t="s">
        <v>961</v>
      </c>
      <c r="Z5" s="63" t="s">
        <v>408</v>
      </c>
      <c r="AA5" s="63" t="s">
        <v>996</v>
      </c>
      <c r="AB5" s="96" t="s">
        <v>1029</v>
      </c>
      <c r="AC5" s="96" t="s">
        <v>1079</v>
      </c>
      <c r="AD5" s="96"/>
      <c r="AE5" s="96" t="s">
        <v>1098</v>
      </c>
      <c r="AF5" s="96" t="s">
        <v>1109</v>
      </c>
      <c r="AG5" s="108">
        <v>1</v>
      </c>
      <c r="AH5" s="111">
        <v>0.4</v>
      </c>
      <c r="AI5" s="108">
        <v>0</v>
      </c>
      <c r="AJ5" s="111">
        <v>0</v>
      </c>
      <c r="AK5" s="108">
        <v>0</v>
      </c>
      <c r="AL5" s="111">
        <v>0</v>
      </c>
      <c r="AM5" s="108">
        <v>174</v>
      </c>
      <c r="AN5" s="111">
        <v>69.6</v>
      </c>
      <c r="AO5" s="108">
        <v>250</v>
      </c>
    </row>
    <row r="6" spans="1:41" ht="15">
      <c r="A6" s="62" t="s">
        <v>917</v>
      </c>
      <c r="B6" s="64" t="s">
        <v>922</v>
      </c>
      <c r="C6" s="64" t="s">
        <v>56</v>
      </c>
      <c r="D6" s="105"/>
      <c r="E6" s="11"/>
      <c r="F6" s="12" t="s">
        <v>1514</v>
      </c>
      <c r="G6" s="60"/>
      <c r="H6" s="60"/>
      <c r="I6" s="106">
        <v>6</v>
      </c>
      <c r="J6" s="78"/>
      <c r="K6" s="45">
        <v>5</v>
      </c>
      <c r="L6" s="45">
        <v>4</v>
      </c>
      <c r="M6" s="45">
        <v>35</v>
      </c>
      <c r="N6" s="45">
        <v>39</v>
      </c>
      <c r="O6" s="45">
        <v>35</v>
      </c>
      <c r="P6" s="46">
        <v>0</v>
      </c>
      <c r="Q6" s="46">
        <v>0</v>
      </c>
      <c r="R6" s="45">
        <v>1</v>
      </c>
      <c r="S6" s="45">
        <v>0</v>
      </c>
      <c r="T6" s="45">
        <v>5</v>
      </c>
      <c r="U6" s="45">
        <v>39</v>
      </c>
      <c r="V6" s="45">
        <v>2</v>
      </c>
      <c r="W6" s="46">
        <v>1.28</v>
      </c>
      <c r="X6" s="46">
        <v>0.2</v>
      </c>
      <c r="Y6" s="63" t="s">
        <v>962</v>
      </c>
      <c r="Z6" s="63" t="s">
        <v>973</v>
      </c>
      <c r="AA6" s="63" t="s">
        <v>997</v>
      </c>
      <c r="AB6" s="96" t="s">
        <v>1030</v>
      </c>
      <c r="AC6" s="96" t="s">
        <v>1080</v>
      </c>
      <c r="AD6" s="96"/>
      <c r="AE6" s="96" t="s">
        <v>1099</v>
      </c>
      <c r="AF6" s="96" t="s">
        <v>1110</v>
      </c>
      <c r="AG6" s="108">
        <v>2</v>
      </c>
      <c r="AH6" s="111">
        <v>0.2244668911335578</v>
      </c>
      <c r="AI6" s="108">
        <v>0</v>
      </c>
      <c r="AJ6" s="111">
        <v>0</v>
      </c>
      <c r="AK6" s="108">
        <v>0</v>
      </c>
      <c r="AL6" s="111">
        <v>0</v>
      </c>
      <c r="AM6" s="108">
        <v>647</v>
      </c>
      <c r="AN6" s="111">
        <v>72.61503928170595</v>
      </c>
      <c r="AO6" s="108">
        <v>891</v>
      </c>
    </row>
    <row r="7" spans="1:41" ht="15">
      <c r="A7" s="62" t="s">
        <v>918</v>
      </c>
      <c r="B7" s="64" t="s">
        <v>923</v>
      </c>
      <c r="C7" s="64" t="s">
        <v>56</v>
      </c>
      <c r="D7" s="105"/>
      <c r="E7" s="11"/>
      <c r="F7" s="12" t="s">
        <v>1515</v>
      </c>
      <c r="G7" s="60"/>
      <c r="H7" s="60"/>
      <c r="I7" s="106">
        <v>7</v>
      </c>
      <c r="J7" s="78"/>
      <c r="K7" s="45">
        <v>4</v>
      </c>
      <c r="L7" s="45">
        <v>2</v>
      </c>
      <c r="M7" s="45">
        <v>5</v>
      </c>
      <c r="N7" s="45">
        <v>7</v>
      </c>
      <c r="O7" s="45">
        <v>3</v>
      </c>
      <c r="P7" s="46">
        <v>0</v>
      </c>
      <c r="Q7" s="46">
        <v>0</v>
      </c>
      <c r="R7" s="45">
        <v>1</v>
      </c>
      <c r="S7" s="45">
        <v>0</v>
      </c>
      <c r="T7" s="45">
        <v>4</v>
      </c>
      <c r="U7" s="45">
        <v>7</v>
      </c>
      <c r="V7" s="45">
        <v>2</v>
      </c>
      <c r="W7" s="46">
        <v>1.125</v>
      </c>
      <c r="X7" s="46">
        <v>0.25</v>
      </c>
      <c r="Y7" s="63" t="s">
        <v>963</v>
      </c>
      <c r="Z7" s="63" t="s">
        <v>974</v>
      </c>
      <c r="AA7" s="63" t="s">
        <v>998</v>
      </c>
      <c r="AB7" s="96" t="s">
        <v>1031</v>
      </c>
      <c r="AC7" s="96" t="s">
        <v>1081</v>
      </c>
      <c r="AD7" s="96"/>
      <c r="AE7" s="96" t="s">
        <v>303</v>
      </c>
      <c r="AF7" s="96" t="s">
        <v>1111</v>
      </c>
      <c r="AG7" s="108">
        <v>2</v>
      </c>
      <c r="AH7" s="111">
        <v>1.3793103448275863</v>
      </c>
      <c r="AI7" s="108">
        <v>0</v>
      </c>
      <c r="AJ7" s="111">
        <v>0</v>
      </c>
      <c r="AK7" s="108">
        <v>0</v>
      </c>
      <c r="AL7" s="111">
        <v>0</v>
      </c>
      <c r="AM7" s="108">
        <v>95</v>
      </c>
      <c r="AN7" s="111">
        <v>65.51724137931035</v>
      </c>
      <c r="AO7" s="108">
        <v>145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63" t="s">
        <v>914</v>
      </c>
      <c r="B2" s="96" t="s">
        <v>297</v>
      </c>
      <c r="C2" s="63">
        <f>VLOOKUP(GroupVertices[[#This Row],[Vertex]],Vertices[],MATCH("ID",Vertices[[#Headers],[Vertex]:[Vertex Content Word Count]],0),FALSE)</f>
        <v>23</v>
      </c>
    </row>
    <row r="3" spans="1:3" ht="15">
      <c r="A3" s="66" t="s">
        <v>914</v>
      </c>
      <c r="B3" s="96" t="s">
        <v>290</v>
      </c>
      <c r="C3" s="63">
        <f>VLOOKUP(GroupVertices[[#This Row],[Vertex]],Vertices[],MATCH("ID",Vertices[[#Headers],[Vertex]:[Vertex Content Word Count]],0),FALSE)</f>
        <v>31</v>
      </c>
    </row>
    <row r="4" spans="1:3" ht="15">
      <c r="A4" s="66" t="s">
        <v>914</v>
      </c>
      <c r="B4" s="96" t="s">
        <v>313</v>
      </c>
      <c r="C4" s="63">
        <f>VLOOKUP(GroupVertices[[#This Row],[Vertex]],Vertices[],MATCH("ID",Vertices[[#Headers],[Vertex]:[Vertex Content Word Count]],0),FALSE)</f>
        <v>22</v>
      </c>
    </row>
    <row r="5" spans="1:3" ht="15">
      <c r="A5" s="66" t="s">
        <v>914</v>
      </c>
      <c r="B5" s="96" t="s">
        <v>312</v>
      </c>
      <c r="C5" s="63">
        <f>VLOOKUP(GroupVertices[[#This Row],[Vertex]],Vertices[],MATCH("ID",Vertices[[#Headers],[Vertex]:[Vertex Content Word Count]],0),FALSE)</f>
        <v>21</v>
      </c>
    </row>
    <row r="6" spans="1:3" ht="15">
      <c r="A6" s="66" t="s">
        <v>914</v>
      </c>
      <c r="B6" s="96" t="s">
        <v>302</v>
      </c>
      <c r="C6" s="63">
        <f>VLOOKUP(GroupVertices[[#This Row],[Vertex]],Vertices[],MATCH("ID",Vertices[[#Headers],[Vertex]:[Vertex Content Word Count]],0),FALSE)</f>
        <v>19</v>
      </c>
    </row>
    <row r="7" spans="1:3" ht="15">
      <c r="A7" s="66" t="s">
        <v>914</v>
      </c>
      <c r="B7" s="96" t="s">
        <v>311</v>
      </c>
      <c r="C7" s="63">
        <f>VLOOKUP(GroupVertices[[#This Row],[Vertex]],Vertices[],MATCH("ID",Vertices[[#Headers],[Vertex]:[Vertex Content Word Count]],0),FALSE)</f>
        <v>18</v>
      </c>
    </row>
    <row r="8" spans="1:3" ht="15">
      <c r="A8" s="66" t="s">
        <v>914</v>
      </c>
      <c r="B8" s="96" t="s">
        <v>299</v>
      </c>
      <c r="C8" s="63">
        <f>VLOOKUP(GroupVertices[[#This Row],[Vertex]],Vertices[],MATCH("ID",Vertices[[#Headers],[Vertex]:[Vertex Content Word Count]],0),FALSE)</f>
        <v>17</v>
      </c>
    </row>
    <row r="9" spans="1:3" ht="15">
      <c r="A9" s="66" t="s">
        <v>914</v>
      </c>
      <c r="B9" s="96" t="s">
        <v>309</v>
      </c>
      <c r="C9" s="63">
        <f>VLOOKUP(GroupVertices[[#This Row],[Vertex]],Vertices[],MATCH("ID",Vertices[[#Headers],[Vertex]:[Vertex Content Word Count]],0),FALSE)</f>
        <v>15</v>
      </c>
    </row>
    <row r="10" spans="1:3" ht="15">
      <c r="A10" s="66" t="s">
        <v>914</v>
      </c>
      <c r="B10" s="96" t="s">
        <v>285</v>
      </c>
      <c r="C10" s="63">
        <f>VLOOKUP(GroupVertices[[#This Row],[Vertex]],Vertices[],MATCH("ID",Vertices[[#Headers],[Vertex]:[Vertex Content Word Count]],0),FALSE)</f>
        <v>26</v>
      </c>
    </row>
    <row r="11" spans="1:3" ht="15">
      <c r="A11" s="66" t="s">
        <v>914</v>
      </c>
      <c r="B11" s="96" t="s">
        <v>284</v>
      </c>
      <c r="C11" s="63">
        <f>VLOOKUP(GroupVertices[[#This Row],[Vertex]],Vertices[],MATCH("ID",Vertices[[#Headers],[Vertex]:[Vertex Content Word Count]],0),FALSE)</f>
        <v>25</v>
      </c>
    </row>
    <row r="12" spans="1:3" ht="15">
      <c r="A12" s="66" t="s">
        <v>914</v>
      </c>
      <c r="B12" s="96" t="s">
        <v>283</v>
      </c>
      <c r="C12" s="63">
        <f>VLOOKUP(GroupVertices[[#This Row],[Vertex]],Vertices[],MATCH("ID",Vertices[[#Headers],[Vertex]:[Vertex Content Word Count]],0),FALSE)</f>
        <v>24</v>
      </c>
    </row>
    <row r="13" spans="1:3" ht="15">
      <c r="A13" s="66" t="s">
        <v>914</v>
      </c>
      <c r="B13" s="96" t="s">
        <v>282</v>
      </c>
      <c r="C13" s="63">
        <f>VLOOKUP(GroupVertices[[#This Row],[Vertex]],Vertices[],MATCH("ID",Vertices[[#Headers],[Vertex]:[Vertex Content Word Count]],0),FALSE)</f>
        <v>14</v>
      </c>
    </row>
    <row r="14" spans="1:3" ht="15">
      <c r="A14" s="66" t="s">
        <v>915</v>
      </c>
      <c r="B14" s="96" t="s">
        <v>298</v>
      </c>
      <c r="C14" s="63">
        <f>VLOOKUP(GroupVertices[[#This Row],[Vertex]],Vertices[],MATCH("ID",Vertices[[#Headers],[Vertex]:[Vertex Content Word Count]],0),FALSE)</f>
        <v>13</v>
      </c>
    </row>
    <row r="15" spans="1:3" ht="15">
      <c r="A15" s="66" t="s">
        <v>915</v>
      </c>
      <c r="B15" s="96" t="s">
        <v>314</v>
      </c>
      <c r="C15" s="63">
        <f>VLOOKUP(GroupVertices[[#This Row],[Vertex]],Vertices[],MATCH("ID",Vertices[[#Headers],[Vertex]:[Vertex Content Word Count]],0),FALSE)</f>
        <v>38</v>
      </c>
    </row>
    <row r="16" spans="1:3" ht="15">
      <c r="A16" s="66" t="s">
        <v>915</v>
      </c>
      <c r="B16" s="96" t="s">
        <v>295</v>
      </c>
      <c r="C16" s="63">
        <f>VLOOKUP(GroupVertices[[#This Row],[Vertex]],Vertices[],MATCH("ID",Vertices[[#Headers],[Vertex]:[Vertex Content Word Count]],0),FALSE)</f>
        <v>36</v>
      </c>
    </row>
    <row r="17" spans="1:3" ht="15">
      <c r="A17" s="66" t="s">
        <v>915</v>
      </c>
      <c r="B17" s="96" t="s">
        <v>293</v>
      </c>
      <c r="C17" s="63">
        <f>VLOOKUP(GroupVertices[[#This Row],[Vertex]],Vertices[],MATCH("ID",Vertices[[#Headers],[Vertex]:[Vertex Content Word Count]],0),FALSE)</f>
        <v>34</v>
      </c>
    </row>
    <row r="18" spans="1:3" ht="15">
      <c r="A18" s="66" t="s">
        <v>915</v>
      </c>
      <c r="B18" s="96" t="s">
        <v>291</v>
      </c>
      <c r="C18" s="63">
        <f>VLOOKUP(GroupVertices[[#This Row],[Vertex]],Vertices[],MATCH("ID",Vertices[[#Headers],[Vertex]:[Vertex Content Word Count]],0),FALSE)</f>
        <v>32</v>
      </c>
    </row>
    <row r="19" spans="1:3" ht="15">
      <c r="A19" s="66" t="s">
        <v>915</v>
      </c>
      <c r="B19" s="96" t="s">
        <v>310</v>
      </c>
      <c r="C19" s="63">
        <f>VLOOKUP(GroupVertices[[#This Row],[Vertex]],Vertices[],MATCH("ID",Vertices[[#Headers],[Vertex]:[Vertex Content Word Count]],0),FALSE)</f>
        <v>16</v>
      </c>
    </row>
    <row r="20" spans="1:3" ht="15">
      <c r="A20" s="66" t="s">
        <v>915</v>
      </c>
      <c r="B20" s="96" t="s">
        <v>289</v>
      </c>
      <c r="C20" s="63">
        <f>VLOOKUP(GroupVertices[[#This Row],[Vertex]],Vertices[],MATCH("ID",Vertices[[#Headers],[Vertex]:[Vertex Content Word Count]],0),FALSE)</f>
        <v>30</v>
      </c>
    </row>
    <row r="21" spans="1:3" ht="15">
      <c r="A21" s="66" t="s">
        <v>915</v>
      </c>
      <c r="B21" s="96" t="s">
        <v>288</v>
      </c>
      <c r="C21" s="63">
        <f>VLOOKUP(GroupVertices[[#This Row],[Vertex]],Vertices[],MATCH("ID",Vertices[[#Headers],[Vertex]:[Vertex Content Word Count]],0),FALSE)</f>
        <v>29</v>
      </c>
    </row>
    <row r="22" spans="1:3" ht="15">
      <c r="A22" s="66" t="s">
        <v>915</v>
      </c>
      <c r="B22" s="96" t="s">
        <v>286</v>
      </c>
      <c r="C22" s="63">
        <f>VLOOKUP(GroupVertices[[#This Row],[Vertex]],Vertices[],MATCH("ID",Vertices[[#Headers],[Vertex]:[Vertex Content Word Count]],0),FALSE)</f>
        <v>27</v>
      </c>
    </row>
    <row r="23" spans="1:3" ht="15">
      <c r="A23" s="66" t="s">
        <v>916</v>
      </c>
      <c r="B23" s="96" t="s">
        <v>296</v>
      </c>
      <c r="C23" s="63">
        <f>VLOOKUP(GroupVertices[[#This Row],[Vertex]],Vertices[],MATCH("ID",Vertices[[#Headers],[Vertex]:[Vertex Content Word Count]],0),FALSE)</f>
        <v>20</v>
      </c>
    </row>
    <row r="24" spans="1:3" ht="15">
      <c r="A24" s="66" t="s">
        <v>916</v>
      </c>
      <c r="B24" s="96" t="s">
        <v>301</v>
      </c>
      <c r="C24" s="63">
        <f>VLOOKUP(GroupVertices[[#This Row],[Vertex]],Vertices[],MATCH("ID",Vertices[[#Headers],[Vertex]:[Vertex Content Word Count]],0),FALSE)</f>
        <v>10</v>
      </c>
    </row>
    <row r="25" spans="1:3" ht="15">
      <c r="A25" s="66" t="s">
        <v>916</v>
      </c>
      <c r="B25" s="96" t="s">
        <v>307</v>
      </c>
      <c r="C25" s="63">
        <f>VLOOKUP(GroupVertices[[#This Row],[Vertex]],Vertices[],MATCH("ID",Vertices[[#Headers],[Vertex]:[Vertex Content Word Count]],0),FALSE)</f>
        <v>11</v>
      </c>
    </row>
    <row r="26" spans="1:3" ht="15">
      <c r="A26" s="66" t="s">
        <v>916</v>
      </c>
      <c r="B26" s="96" t="s">
        <v>308</v>
      </c>
      <c r="C26" s="63">
        <f>VLOOKUP(GroupVertices[[#This Row],[Vertex]],Vertices[],MATCH("ID",Vertices[[#Headers],[Vertex]:[Vertex Content Word Count]],0),FALSE)</f>
        <v>12</v>
      </c>
    </row>
    <row r="27" spans="1:3" ht="15">
      <c r="A27" s="66" t="s">
        <v>916</v>
      </c>
      <c r="B27" s="96" t="s">
        <v>300</v>
      </c>
      <c r="C27" s="63">
        <f>VLOOKUP(GroupVertices[[#This Row],[Vertex]],Vertices[],MATCH("ID",Vertices[[#Headers],[Vertex]:[Vertex Content Word Count]],0),FALSE)</f>
        <v>9</v>
      </c>
    </row>
    <row r="28" spans="1:3" ht="15">
      <c r="A28" s="66" t="s">
        <v>916</v>
      </c>
      <c r="B28" s="96" t="s">
        <v>281</v>
      </c>
      <c r="C28" s="63">
        <f>VLOOKUP(GroupVertices[[#This Row],[Vertex]],Vertices[],MATCH("ID",Vertices[[#Headers],[Vertex]:[Vertex Content Word Count]],0),FALSE)</f>
        <v>8</v>
      </c>
    </row>
    <row r="29" spans="1:3" ht="15">
      <c r="A29" s="66" t="s">
        <v>917</v>
      </c>
      <c r="B29" s="96" t="s">
        <v>294</v>
      </c>
      <c r="C29" s="63">
        <f>VLOOKUP(GroupVertices[[#This Row],[Vertex]],Vertices[],MATCH("ID",Vertices[[#Headers],[Vertex]:[Vertex Content Word Count]],0),FALSE)</f>
        <v>35</v>
      </c>
    </row>
    <row r="30" spans="1:3" ht="15">
      <c r="A30" s="66" t="s">
        <v>917</v>
      </c>
      <c r="B30" s="96" t="s">
        <v>305</v>
      </c>
      <c r="C30" s="63">
        <f>VLOOKUP(GroupVertices[[#This Row],[Vertex]],Vertices[],MATCH("ID",Vertices[[#Headers],[Vertex]:[Vertex Content Word Count]],0),FALSE)</f>
        <v>4</v>
      </c>
    </row>
    <row r="31" spans="1:3" ht="15">
      <c r="A31" s="66" t="s">
        <v>917</v>
      </c>
      <c r="B31" s="96" t="s">
        <v>292</v>
      </c>
      <c r="C31" s="63">
        <f>VLOOKUP(GroupVertices[[#This Row],[Vertex]],Vertices[],MATCH("ID",Vertices[[#Headers],[Vertex]:[Vertex Content Word Count]],0),FALSE)</f>
        <v>33</v>
      </c>
    </row>
    <row r="32" spans="1:3" ht="15">
      <c r="A32" s="66" t="s">
        <v>917</v>
      </c>
      <c r="B32" s="96" t="s">
        <v>280</v>
      </c>
      <c r="C32" s="63">
        <f>VLOOKUP(GroupVertices[[#This Row],[Vertex]],Vertices[],MATCH("ID",Vertices[[#Headers],[Vertex]:[Vertex Content Word Count]],0),FALSE)</f>
        <v>7</v>
      </c>
    </row>
    <row r="33" spans="1:3" ht="15">
      <c r="A33" s="66" t="s">
        <v>917</v>
      </c>
      <c r="B33" s="96" t="s">
        <v>306</v>
      </c>
      <c r="C33" s="63">
        <f>VLOOKUP(GroupVertices[[#This Row],[Vertex]],Vertices[],MATCH("ID",Vertices[[#Headers],[Vertex]:[Vertex Content Word Count]],0),FALSE)</f>
        <v>3</v>
      </c>
    </row>
    <row r="34" spans="1:3" ht="15">
      <c r="A34" s="66" t="s">
        <v>918</v>
      </c>
      <c r="B34" s="96" t="s">
        <v>303</v>
      </c>
      <c r="C34" s="63">
        <f>VLOOKUP(GroupVertices[[#This Row],[Vertex]],Vertices[],MATCH("ID",Vertices[[#Headers],[Vertex]:[Vertex Content Word Count]],0),FALSE)</f>
        <v>37</v>
      </c>
    </row>
    <row r="35" spans="1:3" ht="15">
      <c r="A35" s="66" t="s">
        <v>918</v>
      </c>
      <c r="B35" s="96" t="s">
        <v>304</v>
      </c>
      <c r="C35" s="63">
        <f>VLOOKUP(GroupVertices[[#This Row],[Vertex]],Vertices[],MATCH("ID",Vertices[[#Headers],[Vertex]:[Vertex Content Word Count]],0),FALSE)</f>
        <v>6</v>
      </c>
    </row>
    <row r="36" spans="1:3" ht="15">
      <c r="A36" s="66" t="s">
        <v>918</v>
      </c>
      <c r="B36" s="96" t="s">
        <v>287</v>
      </c>
      <c r="C36" s="63">
        <f>VLOOKUP(GroupVertices[[#This Row],[Vertex]],Vertices[],MATCH("ID",Vertices[[#Headers],[Vertex]:[Vertex Content Word Count]],0),FALSE)</f>
        <v>28</v>
      </c>
    </row>
    <row r="37" spans="1:3" ht="15">
      <c r="A37" s="66" t="s">
        <v>918</v>
      </c>
      <c r="B37" s="96" t="s">
        <v>279</v>
      </c>
      <c r="C37" s="63">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179</v>
      </c>
      <c r="B2" s="31" t="s">
        <v>913</v>
      </c>
      <c r="D2" s="29">
        <f>MIN(Vertices[Degree])</f>
        <v>0</v>
      </c>
      <c r="E2">
        <f>COUNTIF(Vertices[Degree],"&gt;= "&amp;D2)-COUNTIF(Vertices[Degree],"&gt;="&amp;D3)</f>
        <v>0</v>
      </c>
      <c r="F2" s="34">
        <f>MIN(Vertices[In-Degree])</f>
        <v>0</v>
      </c>
      <c r="G2" s="35">
        <f>COUNTIF(Vertices[In-Degree],"&gt;= "&amp;F2)-COUNTIF(Vertices[In-Degree],"&gt;="&amp;F3)</f>
        <v>18</v>
      </c>
      <c r="H2" s="34">
        <f>MIN(Vertices[Out-Degree])</f>
        <v>0</v>
      </c>
      <c r="I2" s="35">
        <f>COUNTIF(Vertices[Out-Degree],"&gt;= "&amp;H2)-COUNTIF(Vertices[Out-Degree],"&gt;="&amp;H3)</f>
        <v>8</v>
      </c>
      <c r="J2" s="34">
        <f>MIN(Vertices[Betweenness Centrality])</f>
        <v>0</v>
      </c>
      <c r="K2" s="35">
        <f>COUNTIF(Vertices[Betweenness Centrality],"&gt;= "&amp;J2)-COUNTIF(Vertices[Betweenness Centrality],"&gt;="&amp;J3)</f>
        <v>28</v>
      </c>
      <c r="L2" s="34">
        <f>MIN(Vertices[Closeness Centrality])</f>
        <v>0.364583</v>
      </c>
      <c r="M2" s="35">
        <f>COUNTIF(Vertices[Closeness Centrality],"&gt;= "&amp;L2)-COUNTIF(Vertices[Closeness Centrality],"&gt;="&amp;L3)</f>
        <v>1</v>
      </c>
      <c r="N2" s="34">
        <f>MIN(Vertices[Eigenvector Centrality])</f>
        <v>0.017496</v>
      </c>
      <c r="O2" s="35">
        <f>COUNTIF(Vertices[Eigenvector Centrality],"&gt;= "&amp;N2)-COUNTIF(Vertices[Eigenvector Centrality],"&gt;="&amp;N3)</f>
        <v>4</v>
      </c>
      <c r="P2" s="34">
        <f>MIN(Vertices[PageRank])</f>
        <v>0.023888</v>
      </c>
      <c r="Q2" s="35">
        <f>COUNTIF(Vertices[PageRank],"&gt;= "&amp;P2)-COUNTIF(Vertices[PageRank],"&gt;="&amp;P3)</f>
        <v>16</v>
      </c>
      <c r="R2" s="34">
        <f>MIN(Vertices[Clustering Coefficient])</f>
        <v>0</v>
      </c>
      <c r="S2" s="40">
        <f>COUNTIF(Vertices[Clustering Coefficient],"&gt;= "&amp;R2)-COUNTIF(Vertices[Clustering Coefficient],"&gt;="&amp;R3)</f>
        <v>12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65"/>
      <c r="B3" s="65"/>
      <c r="D3" s="29">
        <f aca="true" t="shared" si="1" ref="D3:D35">D2+($D$36-$D$2)/BinDivisor</f>
        <v>0</v>
      </c>
      <c r="E3">
        <f>COUNTIF(Vertices[Degree],"&gt;= "&amp;D3)-COUNTIF(Vertices[Degree],"&gt;="&amp;D4)</f>
        <v>0</v>
      </c>
      <c r="F3" s="36">
        <f aca="true" t="shared" si="2" ref="F3:F35">F2+($F$36-$F$2)/BinDivisor</f>
        <v>0.47058823529411764</v>
      </c>
      <c r="G3" s="37">
        <f>COUNTIF(Vertices[In-Degree],"&gt;= "&amp;F3)-COUNTIF(Vertices[In-Degree],"&gt;="&amp;F4)</f>
        <v>0</v>
      </c>
      <c r="H3" s="36">
        <f aca="true" t="shared" si="3" ref="H3:H35">H2+($H$36-$H$2)/BinDivisor</f>
        <v>0.5294117647058824</v>
      </c>
      <c r="I3" s="37">
        <f>COUNTIF(Vertices[Out-Degree],"&gt;= "&amp;H3)-COUNTIF(Vertices[Out-Degree],"&gt;="&amp;H4)</f>
        <v>14</v>
      </c>
      <c r="J3" s="36">
        <f aca="true" t="shared" si="4" ref="J3:J35">J2+($J$36-$J$2)/BinDivisor</f>
        <v>15.94990661764706</v>
      </c>
      <c r="K3" s="37">
        <f>COUNTIF(Vertices[Betweenness Centrality],"&gt;= "&amp;J3)-COUNTIF(Vertices[Betweenness Centrality],"&gt;="&amp;J4)</f>
        <v>3</v>
      </c>
      <c r="L3" s="36">
        <f aca="true" t="shared" si="5" ref="L3:L35">L2+($L$36-$L$2)/BinDivisor</f>
        <v>0.37779976470588233</v>
      </c>
      <c r="M3" s="37">
        <f>COUNTIF(Vertices[Closeness Centrality],"&gt;= "&amp;L3)-COUNTIF(Vertices[Closeness Centrality],"&gt;="&amp;L4)</f>
        <v>0</v>
      </c>
      <c r="N3" s="36">
        <f aca="true" t="shared" si="6" ref="N3:N35">N2+($N$36-$N$2)/BinDivisor</f>
        <v>0.02732341176470588</v>
      </c>
      <c r="O3" s="37">
        <f>COUNTIF(Vertices[Eigenvector Centrality],"&gt;= "&amp;N3)-COUNTIF(Vertices[Eigenvector Centrality],"&gt;="&amp;N4)</f>
        <v>8</v>
      </c>
      <c r="P3" s="36">
        <f aca="true" t="shared" si="7" ref="P3:P35">P2+($P$36-$P$2)/BinDivisor</f>
        <v>0.02494535294117647</v>
      </c>
      <c r="Q3" s="37">
        <f>COUNTIF(Vertices[PageRank],"&gt;= "&amp;P3)-COUNTIF(Vertices[PageRank],"&gt;="&amp;P4)</f>
        <v>6</v>
      </c>
      <c r="R3" s="36">
        <f aca="true" t="shared" si="8" ref="R3:R35">R2+($R$36-$R$2)/BinDivisor</f>
        <v>0.0196078431372549</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36</v>
      </c>
      <c r="D4" s="29">
        <f t="shared" si="1"/>
        <v>0</v>
      </c>
      <c r="E4">
        <f>COUNTIF(Vertices[Degree],"&gt;= "&amp;D4)-COUNTIF(Vertices[Degree],"&gt;="&amp;D5)</f>
        <v>0</v>
      </c>
      <c r="F4" s="34">
        <f t="shared" si="2"/>
        <v>0.9411764705882353</v>
      </c>
      <c r="G4" s="35">
        <f>COUNTIF(Vertices[In-Degree],"&gt;= "&amp;F4)-COUNTIF(Vertices[In-Degree],"&gt;="&amp;F5)</f>
        <v>1</v>
      </c>
      <c r="H4" s="34">
        <f t="shared" si="3"/>
        <v>1.0588235294117647</v>
      </c>
      <c r="I4" s="35">
        <f>COUNTIF(Vertices[Out-Degree],"&gt;= "&amp;H4)-COUNTIF(Vertices[Out-Degree],"&gt;="&amp;H5)</f>
        <v>0</v>
      </c>
      <c r="J4" s="34">
        <f t="shared" si="4"/>
        <v>31.89981323529412</v>
      </c>
      <c r="K4" s="35">
        <f>COUNTIF(Vertices[Betweenness Centrality],"&gt;= "&amp;J4)-COUNTIF(Vertices[Betweenness Centrality],"&gt;="&amp;J5)</f>
        <v>1</v>
      </c>
      <c r="L4" s="34">
        <f t="shared" si="5"/>
        <v>0.3910165294117647</v>
      </c>
      <c r="M4" s="35">
        <f>COUNTIF(Vertices[Closeness Centrality],"&gt;= "&amp;L4)-COUNTIF(Vertices[Closeness Centrality],"&gt;="&amp;L5)</f>
        <v>3</v>
      </c>
      <c r="N4" s="34">
        <f t="shared" si="6"/>
        <v>0.037150823529411764</v>
      </c>
      <c r="O4" s="35">
        <f>COUNTIF(Vertices[Eigenvector Centrality],"&gt;= "&amp;N4)-COUNTIF(Vertices[Eigenvector Centrality],"&gt;="&amp;N5)</f>
        <v>1</v>
      </c>
      <c r="P4" s="34">
        <f t="shared" si="7"/>
        <v>0.02600270588235294</v>
      </c>
      <c r="Q4" s="35">
        <f>COUNTIF(Vertices[PageRank],"&gt;= "&amp;P4)-COUNTIF(Vertices[PageRank],"&gt;="&amp;P5)</f>
        <v>3</v>
      </c>
      <c r="R4" s="34">
        <f t="shared" si="8"/>
        <v>0.0392156862745098</v>
      </c>
      <c r="S4" s="40">
        <f>COUNTIF(Vertices[Clustering Coefficient],"&gt;= "&amp;R4)-COUNTIF(Vertices[Clustering Coefficient],"&gt;="&amp;R5)</f>
        <v>0</v>
      </c>
      <c r="T4" s="34" t="e">
        <f ca="1" t="shared" si="9"/>
        <v>#REF!</v>
      </c>
      <c r="U4" s="35" t="e">
        <f ca="1" t="shared" si="0"/>
        <v>#REF!</v>
      </c>
      <c r="W4" t="s">
        <v>126</v>
      </c>
      <c r="X4" t="s">
        <v>128</v>
      </c>
    </row>
    <row r="5" spans="1:21" ht="15">
      <c r="A5" s="65"/>
      <c r="B5" s="65"/>
      <c r="D5" s="29">
        <f t="shared" si="1"/>
        <v>0</v>
      </c>
      <c r="E5">
        <f>COUNTIF(Vertices[Degree],"&gt;= "&amp;D5)-COUNTIF(Vertices[Degree],"&gt;="&amp;D6)</f>
        <v>0</v>
      </c>
      <c r="F5" s="36">
        <f t="shared" si="2"/>
        <v>1.4117647058823528</v>
      </c>
      <c r="G5" s="37">
        <f>COUNTIF(Vertices[In-Degree],"&gt;= "&amp;F5)-COUNTIF(Vertices[In-Degree],"&gt;="&amp;F6)</f>
        <v>0</v>
      </c>
      <c r="H5" s="36">
        <f t="shared" si="3"/>
        <v>1.5882352941176472</v>
      </c>
      <c r="I5" s="37">
        <f>COUNTIF(Vertices[Out-Degree],"&gt;= "&amp;H5)-COUNTIF(Vertices[Out-Degree],"&gt;="&amp;H6)</f>
        <v>3</v>
      </c>
      <c r="J5" s="36">
        <f t="shared" si="4"/>
        <v>47.84971985294118</v>
      </c>
      <c r="K5" s="37">
        <f>COUNTIF(Vertices[Betweenness Centrality],"&gt;= "&amp;J5)-COUNTIF(Vertices[Betweenness Centrality],"&gt;="&amp;J6)</f>
        <v>0</v>
      </c>
      <c r="L5" s="36">
        <f t="shared" si="5"/>
        <v>0.404233294117647</v>
      </c>
      <c r="M5" s="37">
        <f>COUNTIF(Vertices[Closeness Centrality],"&gt;= "&amp;L5)-COUNTIF(Vertices[Closeness Centrality],"&gt;="&amp;L6)</f>
        <v>0</v>
      </c>
      <c r="N5" s="36">
        <f t="shared" si="6"/>
        <v>0.04697823529411765</v>
      </c>
      <c r="O5" s="37">
        <f>COUNTIF(Vertices[Eigenvector Centrality],"&gt;= "&amp;N5)-COUNTIF(Vertices[Eigenvector Centrality],"&gt;="&amp;N6)</f>
        <v>1</v>
      </c>
      <c r="P5" s="36">
        <f t="shared" si="7"/>
        <v>0.027060058823529413</v>
      </c>
      <c r="Q5" s="37">
        <f>COUNTIF(Vertices[PageRank],"&gt;= "&amp;P5)-COUNTIF(Vertices[PageRank],"&gt;="&amp;P6)</f>
        <v>2</v>
      </c>
      <c r="R5" s="36">
        <f t="shared" si="8"/>
        <v>0.058823529411764705</v>
      </c>
      <c r="S5" s="41">
        <f>COUNTIF(Vertices[Clustering Coefficient],"&gt;= "&amp;R5)-COUNTIF(Vertices[Clustering Coefficient],"&gt;="&amp;R6)</f>
        <v>0</v>
      </c>
      <c r="T5" s="36" t="e">
        <f ca="1" t="shared" si="9"/>
        <v>#REF!</v>
      </c>
      <c r="U5" s="37" t="e">
        <f ca="1" t="shared" si="0"/>
        <v>#REF!</v>
      </c>
    </row>
    <row r="6" spans="1:21" ht="15">
      <c r="A6" s="31" t="s">
        <v>148</v>
      </c>
      <c r="B6" s="31">
        <v>105</v>
      </c>
      <c r="D6" s="29">
        <f t="shared" si="1"/>
        <v>0</v>
      </c>
      <c r="E6">
        <f>COUNTIF(Vertices[Degree],"&gt;= "&amp;D6)-COUNTIF(Vertices[Degree],"&gt;="&amp;D7)</f>
        <v>0</v>
      </c>
      <c r="F6" s="34">
        <f t="shared" si="2"/>
        <v>1.8823529411764706</v>
      </c>
      <c r="G6" s="35">
        <f>COUNTIF(Vertices[In-Degree],"&gt;= "&amp;F6)-COUNTIF(Vertices[In-Degree],"&gt;="&amp;F7)</f>
        <v>1</v>
      </c>
      <c r="H6" s="34">
        <f t="shared" si="3"/>
        <v>2.1176470588235294</v>
      </c>
      <c r="I6" s="35">
        <f>COUNTIF(Vertices[Out-Degree],"&gt;= "&amp;H6)-COUNTIF(Vertices[Out-Degree],"&gt;="&amp;H7)</f>
        <v>0</v>
      </c>
      <c r="J6" s="34">
        <f t="shared" si="4"/>
        <v>63.79962647058824</v>
      </c>
      <c r="K6" s="35">
        <f>COUNTIF(Vertices[Betweenness Centrality],"&gt;= "&amp;J6)-COUNTIF(Vertices[Betweenness Centrality],"&gt;="&amp;J7)</f>
        <v>0</v>
      </c>
      <c r="L6" s="34">
        <f t="shared" si="5"/>
        <v>0.41745005882352937</v>
      </c>
      <c r="M6" s="35">
        <f>COUNTIF(Vertices[Closeness Centrality],"&gt;= "&amp;L6)-COUNTIF(Vertices[Closeness Centrality],"&gt;="&amp;L7)</f>
        <v>2</v>
      </c>
      <c r="N6" s="34">
        <f t="shared" si="6"/>
        <v>0.05680564705882353</v>
      </c>
      <c r="O6" s="35">
        <f>COUNTIF(Vertices[Eigenvector Centrality],"&gt;= "&amp;N6)-COUNTIF(Vertices[Eigenvector Centrality],"&gt;="&amp;N7)</f>
        <v>0</v>
      </c>
      <c r="P6" s="34">
        <f t="shared" si="7"/>
        <v>0.028117411764705884</v>
      </c>
      <c r="Q6" s="35">
        <f>COUNTIF(Vertices[PageRank],"&gt;= "&amp;P6)-COUNTIF(Vertices[PageRank],"&gt;="&amp;P7)</f>
        <v>1</v>
      </c>
      <c r="R6" s="34">
        <f t="shared" si="8"/>
        <v>0.0784313725490196</v>
      </c>
      <c r="S6" s="40">
        <f>COUNTIF(Vertices[Clustering Coefficient],"&gt;= "&amp;R6)-COUNTIF(Vertices[Clustering Coefficient],"&gt;="&amp;R7)</f>
        <v>1</v>
      </c>
      <c r="T6" s="34" t="e">
        <f ca="1" t="shared" si="9"/>
        <v>#REF!</v>
      </c>
      <c r="U6" s="35" t="e">
        <f ca="1" t="shared" si="0"/>
        <v>#REF!</v>
      </c>
    </row>
    <row r="7" spans="1:21" ht="15">
      <c r="A7" s="31" t="s">
        <v>149</v>
      </c>
      <c r="B7" s="31">
        <v>146</v>
      </c>
      <c r="D7" s="29">
        <f t="shared" si="1"/>
        <v>0</v>
      </c>
      <c r="E7">
        <f>COUNTIF(Vertices[Degree],"&gt;= "&amp;D7)-COUNTIF(Vertices[Degree],"&gt;="&amp;D8)</f>
        <v>0</v>
      </c>
      <c r="F7" s="36">
        <f t="shared" si="2"/>
        <v>2.3529411764705883</v>
      </c>
      <c r="G7" s="37">
        <f>COUNTIF(Vertices[In-Degree],"&gt;= "&amp;F7)-COUNTIF(Vertices[In-Degree],"&gt;="&amp;F8)</f>
        <v>0</v>
      </c>
      <c r="H7" s="36">
        <f t="shared" si="3"/>
        <v>2.6470588235294117</v>
      </c>
      <c r="I7" s="37">
        <f>COUNTIF(Vertices[Out-Degree],"&gt;= "&amp;H7)-COUNTIF(Vertices[Out-Degree],"&gt;="&amp;H8)</f>
        <v>1</v>
      </c>
      <c r="J7" s="36">
        <f t="shared" si="4"/>
        <v>79.7495330882353</v>
      </c>
      <c r="K7" s="37">
        <f>COUNTIF(Vertices[Betweenness Centrality],"&gt;= "&amp;J7)-COUNTIF(Vertices[Betweenness Centrality],"&gt;="&amp;J8)</f>
        <v>1</v>
      </c>
      <c r="L7" s="36">
        <f t="shared" si="5"/>
        <v>0.4306668235294117</v>
      </c>
      <c r="M7" s="37">
        <f>COUNTIF(Vertices[Closeness Centrality],"&gt;= "&amp;L7)-COUNTIF(Vertices[Closeness Centrality],"&gt;="&amp;L8)</f>
        <v>0</v>
      </c>
      <c r="N7" s="36">
        <f t="shared" si="6"/>
        <v>0.0666330588235294</v>
      </c>
      <c r="O7" s="37">
        <f>COUNTIF(Vertices[Eigenvector Centrality],"&gt;= "&amp;N7)-COUNTIF(Vertices[Eigenvector Centrality],"&gt;="&amp;N8)</f>
        <v>2</v>
      </c>
      <c r="P7" s="36">
        <f t="shared" si="7"/>
        <v>0.029174764705882355</v>
      </c>
      <c r="Q7" s="37">
        <f>COUNTIF(Vertices[PageRank],"&gt;= "&amp;P7)-COUNTIF(Vertices[PageRank],"&gt;="&amp;P8)</f>
        <v>0</v>
      </c>
      <c r="R7" s="36">
        <f t="shared" si="8"/>
        <v>0.09803921568627451</v>
      </c>
      <c r="S7" s="41">
        <f>COUNTIF(Vertices[Clustering Coefficient],"&gt;= "&amp;R7)-COUNTIF(Vertices[Clustering Coefficient],"&gt;="&amp;R8)</f>
        <v>0</v>
      </c>
      <c r="T7" s="36" t="e">
        <f ca="1" t="shared" si="9"/>
        <v>#REF!</v>
      </c>
      <c r="U7" s="37" t="e">
        <f ca="1" t="shared" si="0"/>
        <v>#REF!</v>
      </c>
    </row>
    <row r="8" spans="1:21" ht="15">
      <c r="A8" s="31" t="s">
        <v>150</v>
      </c>
      <c r="B8" s="31">
        <v>251</v>
      </c>
      <c r="D8" s="29">
        <f t="shared" si="1"/>
        <v>0</v>
      </c>
      <c r="E8">
        <f>COUNTIF(Vertices[Degree],"&gt;= "&amp;D8)-COUNTIF(Vertices[Degree],"&gt;="&amp;D9)</f>
        <v>0</v>
      </c>
      <c r="F8" s="34">
        <f t="shared" si="2"/>
        <v>2.823529411764706</v>
      </c>
      <c r="G8" s="35">
        <f>COUNTIF(Vertices[In-Degree],"&gt;= "&amp;F8)-COUNTIF(Vertices[In-Degree],"&gt;="&amp;F9)</f>
        <v>0</v>
      </c>
      <c r="H8" s="34">
        <f t="shared" si="3"/>
        <v>3.176470588235294</v>
      </c>
      <c r="I8" s="35">
        <f>COUNTIF(Vertices[Out-Degree],"&gt;= "&amp;H8)-COUNTIF(Vertices[Out-Degree],"&gt;="&amp;H9)</f>
        <v>0</v>
      </c>
      <c r="J8" s="34">
        <f t="shared" si="4"/>
        <v>95.69943970588236</v>
      </c>
      <c r="K8" s="35">
        <f>COUNTIF(Vertices[Betweenness Centrality],"&gt;= "&amp;J8)-COUNTIF(Vertices[Betweenness Centrality],"&gt;="&amp;J9)</f>
        <v>0</v>
      </c>
      <c r="L8" s="34">
        <f t="shared" si="5"/>
        <v>0.44388358823529406</v>
      </c>
      <c r="M8" s="35">
        <f>COUNTIF(Vertices[Closeness Centrality],"&gt;= "&amp;L8)-COUNTIF(Vertices[Closeness Centrality],"&gt;="&amp;L9)</f>
        <v>6</v>
      </c>
      <c r="N8" s="34">
        <f t="shared" si="6"/>
        <v>0.07646047058823528</v>
      </c>
      <c r="O8" s="35">
        <f>COUNTIF(Vertices[Eigenvector Centrality],"&gt;= "&amp;N8)-COUNTIF(Vertices[Eigenvector Centrality],"&gt;="&amp;N9)</f>
        <v>0</v>
      </c>
      <c r="P8" s="34">
        <f t="shared" si="7"/>
        <v>0.030232117647058826</v>
      </c>
      <c r="Q8" s="35">
        <f>COUNTIF(Vertices[PageRank],"&gt;= "&amp;P8)-COUNTIF(Vertices[PageRank],"&gt;="&amp;P9)</f>
        <v>3</v>
      </c>
      <c r="R8" s="34">
        <f t="shared" si="8"/>
        <v>0.11764705882352941</v>
      </c>
      <c r="S8" s="40">
        <f>COUNTIF(Vertices[Clustering Coefficient],"&gt;= "&amp;R8)-COUNTIF(Vertices[Clustering Coefficient],"&gt;="&amp;R9)</f>
        <v>0</v>
      </c>
      <c r="T8" s="34" t="e">
        <f ca="1" t="shared" si="9"/>
        <v>#REF!</v>
      </c>
      <c r="U8" s="35" t="e">
        <f ca="1" t="shared" si="0"/>
        <v>#REF!</v>
      </c>
    </row>
    <row r="9" spans="1:21" ht="15">
      <c r="A9" s="65"/>
      <c r="B9" s="65"/>
      <c r="D9" s="29">
        <f t="shared" si="1"/>
        <v>0</v>
      </c>
      <c r="E9">
        <f>COUNTIF(Vertices[Degree],"&gt;= "&amp;D9)-COUNTIF(Vertices[Degree],"&gt;="&amp;D10)</f>
        <v>0</v>
      </c>
      <c r="F9" s="36">
        <f t="shared" si="2"/>
        <v>3.294117647058824</v>
      </c>
      <c r="G9" s="37">
        <f>COUNTIF(Vertices[In-Degree],"&gt;= "&amp;F9)-COUNTIF(Vertices[In-Degree],"&gt;="&amp;F10)</f>
        <v>0</v>
      </c>
      <c r="H9" s="36">
        <f t="shared" si="3"/>
        <v>3.705882352941176</v>
      </c>
      <c r="I9" s="37">
        <f>COUNTIF(Vertices[Out-Degree],"&gt;= "&amp;H9)-COUNTIF(Vertices[Out-Degree],"&gt;="&amp;H10)</f>
        <v>1</v>
      </c>
      <c r="J9" s="36">
        <f t="shared" si="4"/>
        <v>111.64934632352941</v>
      </c>
      <c r="K9" s="37">
        <f>COUNTIF(Vertices[Betweenness Centrality],"&gt;= "&amp;J9)-COUNTIF(Vertices[Betweenness Centrality],"&gt;="&amp;J10)</f>
        <v>0</v>
      </c>
      <c r="L9" s="36">
        <f t="shared" si="5"/>
        <v>0.4571003529411764</v>
      </c>
      <c r="M9" s="37">
        <f>COUNTIF(Vertices[Closeness Centrality],"&gt;= "&amp;L9)-COUNTIF(Vertices[Closeness Centrality],"&gt;="&amp;L10)</f>
        <v>0</v>
      </c>
      <c r="N9" s="36">
        <f t="shared" si="6"/>
        <v>0.08628788235294116</v>
      </c>
      <c r="O9" s="37">
        <f>COUNTIF(Vertices[Eigenvector Centrality],"&gt;= "&amp;N9)-COUNTIF(Vertices[Eigenvector Centrality],"&gt;="&amp;N10)</f>
        <v>0</v>
      </c>
      <c r="P9" s="36">
        <f t="shared" si="7"/>
        <v>0.031289470588235294</v>
      </c>
      <c r="Q9" s="37">
        <f>COUNTIF(Vertices[PageRank],"&gt;= "&amp;P9)-COUNTIF(Vertices[PageRank],"&gt;="&amp;P10)</f>
        <v>1</v>
      </c>
      <c r="R9" s="36">
        <f t="shared" si="8"/>
        <v>0.13725490196078433</v>
      </c>
      <c r="S9" s="41">
        <f>COUNTIF(Vertices[Clustering Coefficient],"&gt;= "&amp;R9)-COUNTIF(Vertices[Clustering Coefficient],"&gt;="&amp;R10)</f>
        <v>0</v>
      </c>
      <c r="T9" s="36" t="e">
        <f ca="1" t="shared" si="9"/>
        <v>#REF!</v>
      </c>
      <c r="U9" s="37" t="e">
        <f ca="1" t="shared" si="0"/>
        <v>#REF!</v>
      </c>
    </row>
    <row r="10" spans="1:21" ht="15">
      <c r="A10" s="31" t="s">
        <v>1463</v>
      </c>
      <c r="B10" s="31">
        <v>4</v>
      </c>
      <c r="D10" s="29">
        <f t="shared" si="1"/>
        <v>0</v>
      </c>
      <c r="E10">
        <f>COUNTIF(Vertices[Degree],"&gt;= "&amp;D10)-COUNTIF(Vertices[Degree],"&gt;="&amp;D11)</f>
        <v>0</v>
      </c>
      <c r="F10" s="34">
        <f t="shared" si="2"/>
        <v>3.7647058823529416</v>
      </c>
      <c r="G10" s="35">
        <f>COUNTIF(Vertices[In-Degree],"&gt;= "&amp;F10)-COUNTIF(Vertices[In-Degree],"&gt;="&amp;F11)</f>
        <v>0</v>
      </c>
      <c r="H10" s="34">
        <f t="shared" si="3"/>
        <v>4.235294117647059</v>
      </c>
      <c r="I10" s="35">
        <f>COUNTIF(Vertices[Out-Degree],"&gt;= "&amp;H10)-COUNTIF(Vertices[Out-Degree],"&gt;="&amp;H11)</f>
        <v>0</v>
      </c>
      <c r="J10" s="34">
        <f t="shared" si="4"/>
        <v>127.59925294117647</v>
      </c>
      <c r="K10" s="35">
        <f>COUNTIF(Vertices[Betweenness Centrality],"&gt;= "&amp;J10)-COUNTIF(Vertices[Betweenness Centrality],"&gt;="&amp;J11)</f>
        <v>0</v>
      </c>
      <c r="L10" s="34">
        <f t="shared" si="5"/>
        <v>0.47031711764705875</v>
      </c>
      <c r="M10" s="35">
        <f>COUNTIF(Vertices[Closeness Centrality],"&gt;= "&amp;L10)-COUNTIF(Vertices[Closeness Centrality],"&gt;="&amp;L11)</f>
        <v>1</v>
      </c>
      <c r="N10" s="34">
        <f t="shared" si="6"/>
        <v>0.09611529411764703</v>
      </c>
      <c r="O10" s="35">
        <f>COUNTIF(Vertices[Eigenvector Centrality],"&gt;= "&amp;N10)-COUNTIF(Vertices[Eigenvector Centrality],"&gt;="&amp;N11)</f>
        <v>0</v>
      </c>
      <c r="P10" s="34">
        <f t="shared" si="7"/>
        <v>0.03234682352941176</v>
      </c>
      <c r="Q10" s="35">
        <f>COUNTIF(Vertices[PageRank],"&gt;= "&amp;P10)-COUNTIF(Vertices[PageRank],"&gt;="&amp;P11)</f>
        <v>1</v>
      </c>
      <c r="R10" s="34">
        <f t="shared" si="8"/>
        <v>0.1568627450980392</v>
      </c>
      <c r="S10" s="40">
        <f>COUNTIF(Vertices[Clustering Coefficient],"&gt;= "&amp;R10)-COUNTIF(Vertices[Clustering Coefficient],"&gt;="&amp;R11)</f>
        <v>0</v>
      </c>
      <c r="T10" s="34" t="e">
        <f ca="1" t="shared" si="9"/>
        <v>#REF!</v>
      </c>
      <c r="U10" s="35" t="e">
        <f ca="1" t="shared" si="0"/>
        <v>#REF!</v>
      </c>
    </row>
    <row r="11" spans="1:21" ht="15">
      <c r="A11" s="65"/>
      <c r="B11" s="65"/>
      <c r="D11" s="29">
        <f t="shared" si="1"/>
        <v>0</v>
      </c>
      <c r="E11">
        <f>COUNTIF(Vertices[Degree],"&gt;= "&amp;D11)-COUNTIF(Vertices[Degree],"&gt;="&amp;D12)</f>
        <v>0</v>
      </c>
      <c r="F11" s="36">
        <f t="shared" si="2"/>
        <v>4.235294117647059</v>
      </c>
      <c r="G11" s="37">
        <f>COUNTIF(Vertices[In-Degree],"&gt;= "&amp;F11)-COUNTIF(Vertices[In-Degree],"&gt;="&amp;F12)</f>
        <v>0</v>
      </c>
      <c r="H11" s="36">
        <f t="shared" si="3"/>
        <v>4.764705882352941</v>
      </c>
      <c r="I11" s="37">
        <f>COUNTIF(Vertices[Out-Degree],"&gt;= "&amp;H11)-COUNTIF(Vertices[Out-Degree],"&gt;="&amp;H12)</f>
        <v>1</v>
      </c>
      <c r="J11" s="36">
        <f t="shared" si="4"/>
        <v>143.54915955882353</v>
      </c>
      <c r="K11" s="37">
        <f>COUNTIF(Vertices[Betweenness Centrality],"&gt;= "&amp;J11)-COUNTIF(Vertices[Betweenness Centrality],"&gt;="&amp;J12)</f>
        <v>0</v>
      </c>
      <c r="L11" s="36">
        <f t="shared" si="5"/>
        <v>0.4835338823529411</v>
      </c>
      <c r="M11" s="37">
        <f>COUNTIF(Vertices[Closeness Centrality],"&gt;= "&amp;L11)-COUNTIF(Vertices[Closeness Centrality],"&gt;="&amp;L12)</f>
        <v>1</v>
      </c>
      <c r="N11" s="36">
        <f t="shared" si="6"/>
        <v>0.10594270588235291</v>
      </c>
      <c r="O11" s="37">
        <f>COUNTIF(Vertices[Eigenvector Centrality],"&gt;= "&amp;N11)-COUNTIF(Vertices[Eigenvector Centrality],"&gt;="&amp;N12)</f>
        <v>0</v>
      </c>
      <c r="P11" s="36">
        <f t="shared" si="7"/>
        <v>0.03340417647058823</v>
      </c>
      <c r="Q11" s="37">
        <f>COUNTIF(Vertices[PageRank],"&gt;= "&amp;P11)-COUNTIF(Vertices[PageRank],"&gt;="&amp;P12)</f>
        <v>0</v>
      </c>
      <c r="R11" s="36">
        <f t="shared" si="8"/>
        <v>0.1764705882352941</v>
      </c>
      <c r="S11" s="41">
        <f>COUNTIF(Vertices[Clustering Coefficient],"&gt;= "&amp;R11)-COUNTIF(Vertices[Clustering Coefficient],"&gt;="&amp;R12)</f>
        <v>3</v>
      </c>
      <c r="T11" s="36" t="e">
        <f ca="1" t="shared" si="9"/>
        <v>#REF!</v>
      </c>
      <c r="U11" s="37" t="e">
        <f ca="1" t="shared" si="0"/>
        <v>#REF!</v>
      </c>
    </row>
    <row r="12" spans="1:21" ht="15">
      <c r="A12" s="31" t="s">
        <v>317</v>
      </c>
      <c r="B12" s="31">
        <v>32</v>
      </c>
      <c r="D12" s="29">
        <f t="shared" si="1"/>
        <v>0</v>
      </c>
      <c r="E12">
        <f>COUNTIF(Vertices[Degree],"&gt;= "&amp;D12)-COUNTIF(Vertices[Degree],"&gt;="&amp;D13)</f>
        <v>0</v>
      </c>
      <c r="F12" s="34">
        <f t="shared" si="2"/>
        <v>4.705882352941177</v>
      </c>
      <c r="G12" s="35">
        <f>COUNTIF(Vertices[In-Degree],"&gt;= "&amp;F12)-COUNTIF(Vertices[In-Degree],"&gt;="&amp;F13)</f>
        <v>1</v>
      </c>
      <c r="H12" s="34">
        <f t="shared" si="3"/>
        <v>5.294117647058823</v>
      </c>
      <c r="I12" s="35">
        <f>COUNTIF(Vertices[Out-Degree],"&gt;= "&amp;H12)-COUNTIF(Vertices[Out-Degree],"&gt;="&amp;H13)</f>
        <v>0</v>
      </c>
      <c r="J12" s="34">
        <f t="shared" si="4"/>
        <v>159.4990661764706</v>
      </c>
      <c r="K12" s="35">
        <f>COUNTIF(Vertices[Betweenness Centrality],"&gt;= "&amp;J12)-COUNTIF(Vertices[Betweenness Centrality],"&gt;="&amp;J13)</f>
        <v>0</v>
      </c>
      <c r="L12" s="34">
        <f t="shared" si="5"/>
        <v>0.49675064705882344</v>
      </c>
      <c r="M12" s="35">
        <f>COUNTIF(Vertices[Closeness Centrality],"&gt;= "&amp;L12)-COUNTIF(Vertices[Closeness Centrality],"&gt;="&amp;L13)</f>
        <v>2</v>
      </c>
      <c r="N12" s="34">
        <f t="shared" si="6"/>
        <v>0.11577011764705879</v>
      </c>
      <c r="O12" s="35">
        <f>COUNTIF(Vertices[Eigenvector Centrality],"&gt;= "&amp;N12)-COUNTIF(Vertices[Eigenvector Centrality],"&gt;="&amp;N13)</f>
        <v>1</v>
      </c>
      <c r="P12" s="34">
        <f t="shared" si="7"/>
        <v>0.034461529411764696</v>
      </c>
      <c r="Q12" s="35">
        <f>COUNTIF(Vertices[PageRank],"&gt;= "&amp;P12)-COUNTIF(Vertices[PageRank],"&gt;="&amp;P13)</f>
        <v>0</v>
      </c>
      <c r="R12" s="34">
        <f t="shared" si="8"/>
        <v>0.196078431372549</v>
      </c>
      <c r="S12" s="40">
        <f>COUNTIF(Vertices[Clustering Coefficient],"&gt;= "&amp;R12)-COUNTIF(Vertices[Clustering Coefficient],"&gt;="&amp;R13)</f>
        <v>1</v>
      </c>
      <c r="T12" s="34" t="e">
        <f ca="1" t="shared" si="9"/>
        <v>#REF!</v>
      </c>
      <c r="U12" s="35" t="e">
        <f ca="1" t="shared" si="0"/>
        <v>#REF!</v>
      </c>
    </row>
    <row r="13" spans="1:21" ht="15">
      <c r="A13" s="31" t="s">
        <v>316</v>
      </c>
      <c r="B13" s="31">
        <v>95</v>
      </c>
      <c r="D13" s="29">
        <f t="shared" si="1"/>
        <v>0</v>
      </c>
      <c r="E13">
        <f>COUNTIF(Vertices[Degree],"&gt;= "&amp;D13)-COUNTIF(Vertices[Degree],"&gt;="&amp;D14)</f>
        <v>0</v>
      </c>
      <c r="F13" s="36">
        <f t="shared" si="2"/>
        <v>5.176470588235294</v>
      </c>
      <c r="G13" s="37">
        <f>COUNTIF(Vertices[In-Degree],"&gt;= "&amp;F13)-COUNTIF(Vertices[In-Degree],"&gt;="&amp;F14)</f>
        <v>0</v>
      </c>
      <c r="H13" s="36">
        <f t="shared" si="3"/>
        <v>5.823529411764706</v>
      </c>
      <c r="I13" s="37">
        <f>COUNTIF(Vertices[Out-Degree],"&gt;= "&amp;H13)-COUNTIF(Vertices[Out-Degree],"&gt;="&amp;H14)</f>
        <v>2</v>
      </c>
      <c r="J13" s="36">
        <f t="shared" si="4"/>
        <v>175.44897279411765</v>
      </c>
      <c r="K13" s="37">
        <f>COUNTIF(Vertices[Betweenness Centrality],"&gt;= "&amp;J13)-COUNTIF(Vertices[Betweenness Centrality],"&gt;="&amp;J14)</f>
        <v>1</v>
      </c>
      <c r="L13" s="36">
        <f t="shared" si="5"/>
        <v>0.5099674117647058</v>
      </c>
      <c r="M13" s="37">
        <f>COUNTIF(Vertices[Closeness Centrality],"&gt;= "&amp;L13)-COUNTIF(Vertices[Closeness Centrality],"&gt;="&amp;L14)</f>
        <v>6</v>
      </c>
      <c r="N13" s="36">
        <f t="shared" si="6"/>
        <v>0.12559752941176466</v>
      </c>
      <c r="O13" s="37">
        <f>COUNTIF(Vertices[Eigenvector Centrality],"&gt;= "&amp;N13)-COUNTIF(Vertices[Eigenvector Centrality],"&gt;="&amp;N14)</f>
        <v>0</v>
      </c>
      <c r="P13" s="36">
        <f t="shared" si="7"/>
        <v>0.035518882352941164</v>
      </c>
      <c r="Q13" s="37">
        <f>COUNTIF(Vertices[PageRank],"&gt;= "&amp;P13)-COUNTIF(Vertices[PageRank],"&gt;="&amp;P14)</f>
        <v>0</v>
      </c>
      <c r="R13" s="36">
        <f t="shared" si="8"/>
        <v>0.21568627450980388</v>
      </c>
      <c r="S13" s="41">
        <f>COUNTIF(Vertices[Clustering Coefficient],"&gt;= "&amp;R13)-COUNTIF(Vertices[Clustering Coefficient],"&gt;="&amp;R14)</f>
        <v>0</v>
      </c>
      <c r="T13" s="36" t="e">
        <f ca="1" t="shared" si="9"/>
        <v>#REF!</v>
      </c>
      <c r="U13" s="37" t="e">
        <f ca="1" t="shared" si="0"/>
        <v>#REF!</v>
      </c>
    </row>
    <row r="14" spans="1:21" ht="15">
      <c r="A14" s="31" t="s">
        <v>315</v>
      </c>
      <c r="B14" s="31">
        <v>62</v>
      </c>
      <c r="D14" s="29">
        <f t="shared" si="1"/>
        <v>0</v>
      </c>
      <c r="E14">
        <f>COUNTIF(Vertices[Degree],"&gt;= "&amp;D14)-COUNTIF(Vertices[Degree],"&gt;="&amp;D15)</f>
        <v>0</v>
      </c>
      <c r="F14" s="34">
        <f t="shared" si="2"/>
        <v>5.647058823529412</v>
      </c>
      <c r="G14" s="35">
        <f>COUNTIF(Vertices[In-Degree],"&gt;= "&amp;F14)-COUNTIF(Vertices[In-Degree],"&gt;="&amp;F15)</f>
        <v>7</v>
      </c>
      <c r="H14" s="34">
        <f t="shared" si="3"/>
        <v>6.352941176470588</v>
      </c>
      <c r="I14" s="35">
        <f>COUNTIF(Vertices[Out-Degree],"&gt;= "&amp;H14)-COUNTIF(Vertices[Out-Degree],"&gt;="&amp;H15)</f>
        <v>0</v>
      </c>
      <c r="J14" s="34">
        <f t="shared" si="4"/>
        <v>191.3988794117647</v>
      </c>
      <c r="K14" s="35">
        <f>COUNTIF(Vertices[Betweenness Centrality],"&gt;= "&amp;J14)-COUNTIF(Vertices[Betweenness Centrality],"&gt;="&amp;J15)</f>
        <v>0</v>
      </c>
      <c r="L14" s="34">
        <f t="shared" si="5"/>
        <v>0.5231841764705882</v>
      </c>
      <c r="M14" s="35">
        <f>COUNTIF(Vertices[Closeness Centrality],"&gt;= "&amp;L14)-COUNTIF(Vertices[Closeness Centrality],"&gt;="&amp;L15)</f>
        <v>1</v>
      </c>
      <c r="N14" s="34">
        <f t="shared" si="6"/>
        <v>0.13542494117647055</v>
      </c>
      <c r="O14" s="35">
        <f>COUNTIF(Vertices[Eigenvector Centrality],"&gt;= "&amp;N14)-COUNTIF(Vertices[Eigenvector Centrality],"&gt;="&amp;N15)</f>
        <v>0</v>
      </c>
      <c r="P14" s="34">
        <f t="shared" si="7"/>
        <v>0.03657623529411763</v>
      </c>
      <c r="Q14" s="35">
        <f>COUNTIF(Vertices[PageRank],"&gt;= "&amp;P14)-COUNTIF(Vertices[PageRank],"&gt;="&amp;P15)</f>
        <v>0</v>
      </c>
      <c r="R14" s="34">
        <f t="shared" si="8"/>
        <v>0.23529411764705876</v>
      </c>
      <c r="S14" s="40">
        <f>COUNTIF(Vertices[Clustering Coefficient],"&gt;= "&amp;R14)-COUNTIF(Vertices[Clustering Coefficient],"&gt;="&amp;R15)</f>
        <v>1</v>
      </c>
      <c r="T14" s="34" t="e">
        <f ca="1" t="shared" si="9"/>
        <v>#REF!</v>
      </c>
      <c r="U14" s="35" t="e">
        <f ca="1" t="shared" si="0"/>
        <v>#REF!</v>
      </c>
    </row>
    <row r="15" spans="1:21" ht="15">
      <c r="A15" s="31" t="s">
        <v>241</v>
      </c>
      <c r="B15" s="31">
        <v>62</v>
      </c>
      <c r="D15" s="29">
        <f t="shared" si="1"/>
        <v>0</v>
      </c>
      <c r="E15">
        <f>COUNTIF(Vertices[Degree],"&gt;= "&amp;D15)-COUNTIF(Vertices[Degree],"&gt;="&amp;D16)</f>
        <v>0</v>
      </c>
      <c r="F15" s="36">
        <f t="shared" si="2"/>
        <v>6.11764705882353</v>
      </c>
      <c r="G15" s="37">
        <f>COUNTIF(Vertices[In-Degree],"&gt;= "&amp;F15)-COUNTIF(Vertices[In-Degree],"&gt;="&amp;F16)</f>
        <v>0</v>
      </c>
      <c r="H15" s="36">
        <f t="shared" si="3"/>
        <v>6.88235294117647</v>
      </c>
      <c r="I15" s="37">
        <f>COUNTIF(Vertices[Out-Degree],"&gt;= "&amp;H15)-COUNTIF(Vertices[Out-Degree],"&gt;="&amp;H16)</f>
        <v>0</v>
      </c>
      <c r="J15" s="36">
        <f t="shared" si="4"/>
        <v>207.34878602941177</v>
      </c>
      <c r="K15" s="37">
        <f>COUNTIF(Vertices[Betweenness Centrality],"&gt;= "&amp;J15)-COUNTIF(Vertices[Betweenness Centrality],"&gt;="&amp;J16)</f>
        <v>0</v>
      </c>
      <c r="L15" s="36">
        <f t="shared" si="5"/>
        <v>0.5364009411764706</v>
      </c>
      <c r="M15" s="37">
        <f>COUNTIF(Vertices[Closeness Centrality],"&gt;= "&amp;L15)-COUNTIF(Vertices[Closeness Centrality],"&gt;="&amp;L16)</f>
        <v>1</v>
      </c>
      <c r="N15" s="36">
        <f t="shared" si="6"/>
        <v>0.14525235294117644</v>
      </c>
      <c r="O15" s="37">
        <f>COUNTIF(Vertices[Eigenvector Centrality],"&gt;= "&amp;N15)-COUNTIF(Vertices[Eigenvector Centrality],"&gt;="&amp;N16)</f>
        <v>5</v>
      </c>
      <c r="P15" s="36">
        <f t="shared" si="7"/>
        <v>0.0376335882352941</v>
      </c>
      <c r="Q15" s="37">
        <f>COUNTIF(Vertices[PageRank],"&gt;= "&amp;P15)-COUNTIF(Vertices[PageRank],"&gt;="&amp;P16)</f>
        <v>0</v>
      </c>
      <c r="R15" s="36">
        <f t="shared" si="8"/>
        <v>0.25490196078431365</v>
      </c>
      <c r="S15" s="41">
        <f>COUNTIF(Vertices[Clustering Coefficient],"&gt;= "&amp;R15)-COUNTIF(Vertices[Clustering Coefficient],"&gt;="&amp;R16)</f>
        <v>1</v>
      </c>
      <c r="T15" s="36" t="e">
        <f ca="1" t="shared" si="9"/>
        <v>#REF!</v>
      </c>
      <c r="U15" s="37" t="e">
        <f ca="1" t="shared" si="0"/>
        <v>#REF!</v>
      </c>
    </row>
    <row r="16" spans="1:21" ht="15">
      <c r="A16" s="65"/>
      <c r="B16" s="65"/>
      <c r="D16" s="29">
        <f t="shared" si="1"/>
        <v>0</v>
      </c>
      <c r="E16">
        <f>COUNTIF(Vertices[Degree],"&gt;= "&amp;D16)-COUNTIF(Vertices[Degree],"&gt;="&amp;D17)</f>
        <v>0</v>
      </c>
      <c r="F16" s="34">
        <f t="shared" si="2"/>
        <v>6.588235294117648</v>
      </c>
      <c r="G16" s="35">
        <f>COUNTIF(Vertices[In-Degree],"&gt;= "&amp;F16)-COUNTIF(Vertices[In-Degree],"&gt;="&amp;F17)</f>
        <v>0</v>
      </c>
      <c r="H16" s="34">
        <f t="shared" si="3"/>
        <v>7.411764705882352</v>
      </c>
      <c r="I16" s="35">
        <f>COUNTIF(Vertices[Out-Degree],"&gt;= "&amp;H16)-COUNTIF(Vertices[Out-Degree],"&gt;="&amp;H17)</f>
        <v>0</v>
      </c>
      <c r="J16" s="34">
        <f t="shared" si="4"/>
        <v>223.29869264705883</v>
      </c>
      <c r="K16" s="35">
        <f>COUNTIF(Vertices[Betweenness Centrality],"&gt;= "&amp;J16)-COUNTIF(Vertices[Betweenness Centrality],"&gt;="&amp;J17)</f>
        <v>1</v>
      </c>
      <c r="L16" s="34">
        <f t="shared" si="5"/>
        <v>0.549617705882353</v>
      </c>
      <c r="M16" s="35">
        <f>COUNTIF(Vertices[Closeness Centrality],"&gt;= "&amp;L16)-COUNTIF(Vertices[Closeness Centrality],"&gt;="&amp;L17)</f>
        <v>2</v>
      </c>
      <c r="N16" s="34">
        <f t="shared" si="6"/>
        <v>0.15507976470588233</v>
      </c>
      <c r="O16" s="35">
        <f>COUNTIF(Vertices[Eigenvector Centrality],"&gt;= "&amp;N16)-COUNTIF(Vertices[Eigenvector Centrality],"&gt;="&amp;N17)</f>
        <v>1</v>
      </c>
      <c r="P16" s="34">
        <f t="shared" si="7"/>
        <v>0.03869094117647057</v>
      </c>
      <c r="Q16" s="35">
        <f>COUNTIF(Vertices[PageRank],"&gt;= "&amp;P16)-COUNTIF(Vertices[PageRank],"&gt;="&amp;P17)</f>
        <v>0</v>
      </c>
      <c r="R16" s="34">
        <f t="shared" si="8"/>
        <v>0.27450980392156854</v>
      </c>
      <c r="S16" s="40">
        <f>COUNTIF(Vertices[Clustering Coefficient],"&gt;= "&amp;R16)-COUNTIF(Vertices[Clustering Coefficient],"&gt;="&amp;R17)</f>
        <v>1</v>
      </c>
      <c r="T16" s="34" t="e">
        <f ca="1" t="shared" si="9"/>
        <v>#REF!</v>
      </c>
      <c r="U16" s="35" t="e">
        <f ca="1" t="shared" si="0"/>
        <v>#REF!</v>
      </c>
    </row>
    <row r="17" spans="1:21" ht="15">
      <c r="A17" s="31" t="s">
        <v>151</v>
      </c>
      <c r="B17" s="31">
        <v>63</v>
      </c>
      <c r="D17" s="29">
        <f t="shared" si="1"/>
        <v>0</v>
      </c>
      <c r="E17">
        <f>COUNTIF(Vertices[Degree],"&gt;= "&amp;D17)-COUNTIF(Vertices[Degree],"&gt;="&amp;D18)</f>
        <v>0</v>
      </c>
      <c r="F17" s="36">
        <f t="shared" si="2"/>
        <v>7.058823529411765</v>
      </c>
      <c r="G17" s="37">
        <f>COUNTIF(Vertices[In-Degree],"&gt;= "&amp;F17)-COUNTIF(Vertices[In-Degree],"&gt;="&amp;F18)</f>
        <v>0</v>
      </c>
      <c r="H17" s="36">
        <f t="shared" si="3"/>
        <v>7.941176470588235</v>
      </c>
      <c r="I17" s="37">
        <f>COUNTIF(Vertices[Out-Degree],"&gt;= "&amp;H17)-COUNTIF(Vertices[Out-Degree],"&gt;="&amp;H18)</f>
        <v>0</v>
      </c>
      <c r="J17" s="36">
        <f t="shared" si="4"/>
        <v>239.2485992647059</v>
      </c>
      <c r="K17" s="37">
        <f>COUNTIF(Vertices[Betweenness Centrality],"&gt;= "&amp;J17)-COUNTIF(Vertices[Betweenness Centrality],"&gt;="&amp;J18)</f>
        <v>0</v>
      </c>
      <c r="L17" s="36">
        <f t="shared" si="5"/>
        <v>0.5628344705882354</v>
      </c>
      <c r="M17" s="37">
        <f>COUNTIF(Vertices[Closeness Centrality],"&gt;= "&amp;L17)-COUNTIF(Vertices[Closeness Centrality],"&gt;="&amp;L18)</f>
        <v>4</v>
      </c>
      <c r="N17" s="36">
        <f t="shared" si="6"/>
        <v>0.16490717647058822</v>
      </c>
      <c r="O17" s="37">
        <f>COUNTIF(Vertices[Eigenvector Centrality],"&gt;= "&amp;N17)-COUNTIF(Vertices[Eigenvector Centrality],"&gt;="&amp;N18)</f>
        <v>2</v>
      </c>
      <c r="P17" s="36">
        <f t="shared" si="7"/>
        <v>0.039748294117647034</v>
      </c>
      <c r="Q17" s="37">
        <f>COUNTIF(Vertices[PageRank],"&gt;= "&amp;P17)-COUNTIF(Vertices[PageRank],"&gt;="&amp;P18)</f>
        <v>1</v>
      </c>
      <c r="R17" s="36">
        <f t="shared" si="8"/>
        <v>0.29411764705882343</v>
      </c>
      <c r="S17" s="41">
        <f>COUNTIF(Vertices[Clustering Coefficient],"&gt;= "&amp;R17)-COUNTIF(Vertices[Clustering Coefficient],"&gt;="&amp;R18)</f>
        <v>0</v>
      </c>
      <c r="T17" s="36" t="e">
        <f ca="1" t="shared" si="9"/>
        <v>#REF!</v>
      </c>
      <c r="U17" s="37" t="e">
        <f ca="1" t="shared" si="0"/>
        <v>#REF!</v>
      </c>
    </row>
    <row r="18" spans="1:21" ht="15">
      <c r="A18" s="65"/>
      <c r="B18" s="65"/>
      <c r="D18" s="29">
        <f t="shared" si="1"/>
        <v>0</v>
      </c>
      <c r="E18">
        <f>COUNTIF(Vertices[Degree],"&gt;= "&amp;D18)-COUNTIF(Vertices[Degree],"&gt;="&amp;D19)</f>
        <v>0</v>
      </c>
      <c r="F18" s="34">
        <f t="shared" si="2"/>
        <v>7.529411764705883</v>
      </c>
      <c r="G18" s="35">
        <f>COUNTIF(Vertices[In-Degree],"&gt;= "&amp;F18)-COUNTIF(Vertices[In-Degree],"&gt;="&amp;F19)</f>
        <v>0</v>
      </c>
      <c r="H18" s="34">
        <f t="shared" si="3"/>
        <v>8.470588235294118</v>
      </c>
      <c r="I18" s="35">
        <f>COUNTIF(Vertices[Out-Degree],"&gt;= "&amp;H18)-COUNTIF(Vertices[Out-Degree],"&gt;="&amp;H19)</f>
        <v>0</v>
      </c>
      <c r="J18" s="34">
        <f t="shared" si="4"/>
        <v>255.19850588235295</v>
      </c>
      <c r="K18" s="35">
        <f>COUNTIF(Vertices[Betweenness Centrality],"&gt;= "&amp;J18)-COUNTIF(Vertices[Betweenness Centrality],"&gt;="&amp;J19)</f>
        <v>0</v>
      </c>
      <c r="L18" s="34">
        <f t="shared" si="5"/>
        <v>0.5760512352941178</v>
      </c>
      <c r="M18" s="35">
        <f>COUNTIF(Vertices[Closeness Centrality],"&gt;= "&amp;L18)-COUNTIF(Vertices[Closeness Centrality],"&gt;="&amp;L19)</f>
        <v>0</v>
      </c>
      <c r="N18" s="34">
        <f t="shared" si="6"/>
        <v>0.1747345882352941</v>
      </c>
      <c r="O18" s="35">
        <f>COUNTIF(Vertices[Eigenvector Centrality],"&gt;= "&amp;N18)-COUNTIF(Vertices[Eigenvector Centrality],"&gt;="&amp;N19)</f>
        <v>0</v>
      </c>
      <c r="P18" s="34">
        <f t="shared" si="7"/>
        <v>0.0408056470588235</v>
      </c>
      <c r="Q18" s="35">
        <f>COUNTIF(Vertices[PageRank],"&gt;= "&amp;P18)-COUNTIF(Vertices[PageRank],"&gt;="&amp;P19)</f>
        <v>0</v>
      </c>
      <c r="R18" s="34">
        <f t="shared" si="8"/>
        <v>0.3137254901960783</v>
      </c>
      <c r="S18" s="40">
        <f>COUNTIF(Vertices[Clustering Coefficient],"&gt;= "&amp;R18)-COUNTIF(Vertices[Clustering Coefficient],"&gt;="&amp;R19)</f>
        <v>0</v>
      </c>
      <c r="T18" s="34" t="e">
        <f ca="1" t="shared" si="9"/>
        <v>#REF!</v>
      </c>
      <c r="U18" s="35" t="e">
        <f ca="1" t="shared" si="0"/>
        <v>#REF!</v>
      </c>
    </row>
    <row r="19" spans="1:21" ht="15">
      <c r="A19" s="31" t="s">
        <v>170</v>
      </c>
      <c r="B19" s="31">
        <v>0.07258064516129033</v>
      </c>
      <c r="D19" s="29">
        <f t="shared" si="1"/>
        <v>0</v>
      </c>
      <c r="E19">
        <f>COUNTIF(Vertices[Degree],"&gt;= "&amp;D19)-COUNTIF(Vertices[Degree],"&gt;="&amp;D20)</f>
        <v>0</v>
      </c>
      <c r="F19" s="36">
        <f t="shared" si="2"/>
        <v>8</v>
      </c>
      <c r="G19" s="37">
        <f>COUNTIF(Vertices[In-Degree],"&gt;= "&amp;F19)-COUNTIF(Vertices[In-Degree],"&gt;="&amp;F20)</f>
        <v>2</v>
      </c>
      <c r="H19" s="36">
        <f t="shared" si="3"/>
        <v>9</v>
      </c>
      <c r="I19" s="37">
        <f>COUNTIF(Vertices[Out-Degree],"&gt;= "&amp;H19)-COUNTIF(Vertices[Out-Degree],"&gt;="&amp;H20)</f>
        <v>0</v>
      </c>
      <c r="J19" s="36">
        <f t="shared" si="4"/>
        <v>271.1484125</v>
      </c>
      <c r="K19" s="37">
        <f>COUNTIF(Vertices[Betweenness Centrality],"&gt;= "&amp;J19)-COUNTIF(Vertices[Betweenness Centrality],"&gt;="&amp;J20)</f>
        <v>0</v>
      </c>
      <c r="L19" s="36">
        <f t="shared" si="5"/>
        <v>0.5892680000000002</v>
      </c>
      <c r="M19" s="37">
        <f>COUNTIF(Vertices[Closeness Centrality],"&gt;= "&amp;L19)-COUNTIF(Vertices[Closeness Centrality],"&gt;="&amp;L20)</f>
        <v>0</v>
      </c>
      <c r="N19" s="36">
        <f t="shared" si="6"/>
        <v>0.184562</v>
      </c>
      <c r="O19" s="37">
        <f>COUNTIF(Vertices[Eigenvector Centrality],"&gt;= "&amp;N19)-COUNTIF(Vertices[Eigenvector Centrality],"&gt;="&amp;N20)</f>
        <v>1</v>
      </c>
      <c r="P19" s="36">
        <f t="shared" si="7"/>
        <v>0.04186299999999997</v>
      </c>
      <c r="Q19" s="37">
        <f>COUNTIF(Vertices[PageRank],"&gt;= "&amp;P19)-COUNTIF(Vertices[PageRank],"&gt;="&amp;P20)</f>
        <v>1</v>
      </c>
      <c r="R19" s="36">
        <f t="shared" si="8"/>
        <v>0.3333333333333332</v>
      </c>
      <c r="S19" s="41">
        <f>COUNTIF(Vertices[Clustering Coefficient],"&gt;= "&amp;R19)-COUNTIF(Vertices[Clustering Coefficient],"&gt;="&amp;R20)</f>
        <v>1</v>
      </c>
      <c r="T19" s="36" t="e">
        <f ca="1" t="shared" si="9"/>
        <v>#REF!</v>
      </c>
      <c r="U19" s="37" t="e">
        <f ca="1" t="shared" si="0"/>
        <v>#REF!</v>
      </c>
    </row>
    <row r="20" spans="1:21" ht="15">
      <c r="A20" s="31" t="s">
        <v>171</v>
      </c>
      <c r="B20" s="31">
        <v>0.13533834586466165</v>
      </c>
      <c r="D20" s="29">
        <f t="shared" si="1"/>
        <v>0</v>
      </c>
      <c r="E20">
        <f>COUNTIF(Vertices[Degree],"&gt;= "&amp;D20)-COUNTIF(Vertices[Degree],"&gt;="&amp;D21)</f>
        <v>0</v>
      </c>
      <c r="F20" s="34">
        <f t="shared" si="2"/>
        <v>8.470588235294118</v>
      </c>
      <c r="G20" s="35">
        <f>COUNTIF(Vertices[In-Degree],"&gt;= "&amp;F20)-COUNTIF(Vertices[In-Degree],"&gt;="&amp;F21)</f>
        <v>0</v>
      </c>
      <c r="H20" s="34">
        <f t="shared" si="3"/>
        <v>9.529411764705882</v>
      </c>
      <c r="I20" s="35">
        <f>COUNTIF(Vertices[Out-Degree],"&gt;= "&amp;H20)-COUNTIF(Vertices[Out-Degree],"&gt;="&amp;H21)</f>
        <v>0</v>
      </c>
      <c r="J20" s="34">
        <f t="shared" si="4"/>
        <v>287.09831911764707</v>
      </c>
      <c r="K20" s="35">
        <f>COUNTIF(Vertices[Betweenness Centrality],"&gt;= "&amp;J20)-COUNTIF(Vertices[Betweenness Centrality],"&gt;="&amp;J21)</f>
        <v>0</v>
      </c>
      <c r="L20" s="34">
        <f t="shared" si="5"/>
        <v>0.6024847647058826</v>
      </c>
      <c r="M20" s="35">
        <f>COUNTIF(Vertices[Closeness Centrality],"&gt;= "&amp;L20)-COUNTIF(Vertices[Closeness Centrality],"&gt;="&amp;L21)</f>
        <v>1</v>
      </c>
      <c r="N20" s="34">
        <f t="shared" si="6"/>
        <v>0.1943894117647059</v>
      </c>
      <c r="O20" s="35">
        <f>COUNTIF(Vertices[Eigenvector Centrality],"&gt;= "&amp;N20)-COUNTIF(Vertices[Eigenvector Centrality],"&gt;="&amp;N21)</f>
        <v>0</v>
      </c>
      <c r="P20" s="34">
        <f t="shared" si="7"/>
        <v>0.04292035294117644</v>
      </c>
      <c r="Q20" s="35">
        <f>COUNTIF(Vertices[PageRank],"&gt;= "&amp;P20)-COUNTIF(Vertices[PageRank],"&gt;="&amp;P21)</f>
        <v>0</v>
      </c>
      <c r="R20" s="34">
        <f t="shared" si="8"/>
        <v>0.3529411764705881</v>
      </c>
      <c r="S20" s="40">
        <f>COUNTIF(Vertices[Clustering Coefficient],"&gt;= "&amp;R20)-COUNTIF(Vertices[Clustering Coefficient],"&gt;="&amp;R21)</f>
        <v>1</v>
      </c>
      <c r="T20" s="34" t="e">
        <f ca="1" t="shared" si="9"/>
        <v>#REF!</v>
      </c>
      <c r="U20" s="35" t="e">
        <f ca="1" t="shared" si="0"/>
        <v>#REF!</v>
      </c>
    </row>
    <row r="21" spans="1:21" ht="15">
      <c r="A21" s="65"/>
      <c r="B21" s="65"/>
      <c r="D21" s="29">
        <f t="shared" si="1"/>
        <v>0</v>
      </c>
      <c r="E21">
        <f>COUNTIF(Vertices[Degree],"&gt;= "&amp;D21)-COUNTIF(Vertices[Degree],"&gt;="&amp;D22)</f>
        <v>0</v>
      </c>
      <c r="F21" s="36">
        <f t="shared" si="2"/>
        <v>8.941176470588236</v>
      </c>
      <c r="G21" s="37">
        <f>COUNTIF(Vertices[In-Degree],"&gt;= "&amp;F21)-COUNTIF(Vertices[In-Degree],"&gt;="&amp;F22)</f>
        <v>2</v>
      </c>
      <c r="H21" s="36">
        <f t="shared" si="3"/>
        <v>10.058823529411764</v>
      </c>
      <c r="I21" s="37">
        <f>COUNTIF(Vertices[Out-Degree],"&gt;= "&amp;H21)-COUNTIF(Vertices[Out-Degree],"&gt;="&amp;H22)</f>
        <v>0</v>
      </c>
      <c r="J21" s="36">
        <f t="shared" si="4"/>
        <v>303.0482257352941</v>
      </c>
      <c r="K21" s="37">
        <f>COUNTIF(Vertices[Betweenness Centrality],"&gt;= "&amp;J21)-COUNTIF(Vertices[Betweenness Centrality],"&gt;="&amp;J22)</f>
        <v>0</v>
      </c>
      <c r="L21" s="36">
        <f t="shared" si="5"/>
        <v>0.615701529411765</v>
      </c>
      <c r="M21" s="37">
        <f>COUNTIF(Vertices[Closeness Centrality],"&gt;= "&amp;L21)-COUNTIF(Vertices[Closeness Centrality],"&gt;="&amp;L22)</f>
        <v>0</v>
      </c>
      <c r="N21" s="36">
        <f t="shared" si="6"/>
        <v>0.20421682352941178</v>
      </c>
      <c r="O21" s="37">
        <f>COUNTIF(Vertices[Eigenvector Centrality],"&gt;= "&amp;N21)-COUNTIF(Vertices[Eigenvector Centrality],"&gt;="&amp;N22)</f>
        <v>2</v>
      </c>
      <c r="P21" s="36">
        <f t="shared" si="7"/>
        <v>0.043977705882352905</v>
      </c>
      <c r="Q21" s="37">
        <f>COUNTIF(Vertices[PageRank],"&gt;= "&amp;P21)-COUNTIF(Vertices[PageRank],"&gt;="&amp;P22)</f>
        <v>0</v>
      </c>
      <c r="R21" s="36">
        <f t="shared" si="8"/>
        <v>0.372549019607843</v>
      </c>
      <c r="S21" s="41">
        <f>COUNTIF(Vertices[Clustering Coefficient],"&gt;= "&amp;R21)-COUNTIF(Vertices[Clustering Coefficient],"&gt;="&amp;R22)</f>
        <v>1</v>
      </c>
      <c r="T21" s="36" t="e">
        <f ca="1" t="shared" si="9"/>
        <v>#REF!</v>
      </c>
      <c r="U21" s="37" t="e">
        <f ca="1" t="shared" si="0"/>
        <v>#REF!</v>
      </c>
    </row>
    <row r="22" spans="1:21" ht="15">
      <c r="A22" s="31" t="s">
        <v>152</v>
      </c>
      <c r="B22" s="31">
        <v>1</v>
      </c>
      <c r="D22" s="29">
        <f t="shared" si="1"/>
        <v>0</v>
      </c>
      <c r="E22">
        <f>COUNTIF(Vertices[Degree],"&gt;= "&amp;D22)-COUNTIF(Vertices[Degree],"&gt;="&amp;D23)</f>
        <v>0</v>
      </c>
      <c r="F22" s="34">
        <f t="shared" si="2"/>
        <v>9.411764705882353</v>
      </c>
      <c r="G22" s="35">
        <f>COUNTIF(Vertices[In-Degree],"&gt;= "&amp;F22)-COUNTIF(Vertices[In-Degree],"&gt;="&amp;F23)</f>
        <v>0</v>
      </c>
      <c r="H22" s="34">
        <f t="shared" si="3"/>
        <v>10.588235294117647</v>
      </c>
      <c r="I22" s="35">
        <f>COUNTIF(Vertices[Out-Degree],"&gt;= "&amp;H22)-COUNTIF(Vertices[Out-Degree],"&gt;="&amp;H23)</f>
        <v>0</v>
      </c>
      <c r="J22" s="34">
        <f t="shared" si="4"/>
        <v>318.9981323529412</v>
      </c>
      <c r="K22" s="35">
        <f>COUNTIF(Vertices[Betweenness Centrality],"&gt;= "&amp;J22)-COUNTIF(Vertices[Betweenness Centrality],"&gt;="&amp;J23)</f>
        <v>0</v>
      </c>
      <c r="L22" s="34">
        <f t="shared" si="5"/>
        <v>0.6289182941176474</v>
      </c>
      <c r="M22" s="35">
        <f>COUNTIF(Vertices[Closeness Centrality],"&gt;= "&amp;L22)-COUNTIF(Vertices[Closeness Centrality],"&gt;="&amp;L23)</f>
        <v>2</v>
      </c>
      <c r="N22" s="34">
        <f t="shared" si="6"/>
        <v>0.21404423529411767</v>
      </c>
      <c r="O22" s="35">
        <f>COUNTIF(Vertices[Eigenvector Centrality],"&gt;= "&amp;N22)-COUNTIF(Vertices[Eigenvector Centrality],"&gt;="&amp;N23)</f>
        <v>0</v>
      </c>
      <c r="P22" s="34">
        <f t="shared" si="7"/>
        <v>0.04503505882352937</v>
      </c>
      <c r="Q22" s="35">
        <f>COUNTIF(Vertices[PageRank],"&gt;= "&amp;P22)-COUNTIF(Vertices[PageRank],"&gt;="&amp;P23)</f>
        <v>0</v>
      </c>
      <c r="R22" s="34">
        <f t="shared" si="8"/>
        <v>0.39215686274509787</v>
      </c>
      <c r="S22" s="40">
        <f>COUNTIF(Vertices[Clustering Coefficient],"&gt;= "&amp;R22)-COUNTIF(Vertices[Clustering Coefficient],"&gt;="&amp;R23)</f>
        <v>1</v>
      </c>
      <c r="T22" s="34" t="e">
        <f ca="1" t="shared" si="9"/>
        <v>#REF!</v>
      </c>
      <c r="U22" s="35" t="e">
        <f ca="1" t="shared" si="0"/>
        <v>#REF!</v>
      </c>
    </row>
    <row r="23" spans="1:21" ht="15">
      <c r="A23" s="31" t="s">
        <v>153</v>
      </c>
      <c r="B23" s="31">
        <v>0</v>
      </c>
      <c r="D23" s="29">
        <f t="shared" si="1"/>
        <v>0</v>
      </c>
      <c r="E23">
        <f>COUNTIF(Vertices[Degree],"&gt;= "&amp;D23)-COUNTIF(Vertices[Degree],"&gt;="&amp;D24)</f>
        <v>0</v>
      </c>
      <c r="F23" s="36">
        <f t="shared" si="2"/>
        <v>9.882352941176471</v>
      </c>
      <c r="G23" s="37">
        <f>COUNTIF(Vertices[In-Degree],"&gt;= "&amp;F23)-COUNTIF(Vertices[In-Degree],"&gt;="&amp;F24)</f>
        <v>1</v>
      </c>
      <c r="H23" s="36">
        <f t="shared" si="3"/>
        <v>11.117647058823529</v>
      </c>
      <c r="I23" s="37">
        <f>COUNTIF(Vertices[Out-Degree],"&gt;= "&amp;H23)-COUNTIF(Vertices[Out-Degree],"&gt;="&amp;H24)</f>
        <v>0</v>
      </c>
      <c r="J23" s="36">
        <f t="shared" si="4"/>
        <v>334.94803897058824</v>
      </c>
      <c r="K23" s="37">
        <f>COUNTIF(Vertices[Betweenness Centrality],"&gt;= "&amp;J23)-COUNTIF(Vertices[Betweenness Centrality],"&gt;="&amp;J24)</f>
        <v>0</v>
      </c>
      <c r="L23" s="36">
        <f t="shared" si="5"/>
        <v>0.6421350588235298</v>
      </c>
      <c r="M23" s="37">
        <f>COUNTIF(Vertices[Closeness Centrality],"&gt;= "&amp;L23)-COUNTIF(Vertices[Closeness Centrality],"&gt;="&amp;L24)</f>
        <v>0</v>
      </c>
      <c r="N23" s="36">
        <f t="shared" si="6"/>
        <v>0.22387164705882356</v>
      </c>
      <c r="O23" s="37">
        <f>COUNTIF(Vertices[Eigenvector Centrality],"&gt;= "&amp;N23)-COUNTIF(Vertices[Eigenvector Centrality],"&gt;="&amp;N24)</f>
        <v>0</v>
      </c>
      <c r="P23" s="36">
        <f t="shared" si="7"/>
        <v>0.04609241176470584</v>
      </c>
      <c r="Q23" s="37">
        <f>COUNTIF(Vertices[PageRank],"&gt;= "&amp;P23)-COUNTIF(Vertices[PageRank],"&gt;="&amp;P24)</f>
        <v>0</v>
      </c>
      <c r="R23" s="36">
        <f t="shared" si="8"/>
        <v>0.41176470588235276</v>
      </c>
      <c r="S23" s="41">
        <f>COUNTIF(Vertices[Clustering Coefficient],"&gt;= "&amp;R23)-COUNTIF(Vertices[Clustering Coefficient],"&gt;="&amp;R24)</f>
        <v>0</v>
      </c>
      <c r="T23" s="36" t="e">
        <f ca="1" t="shared" si="9"/>
        <v>#REF!</v>
      </c>
      <c r="U23" s="37" t="e">
        <f ca="1" t="shared" si="0"/>
        <v>#REF!</v>
      </c>
    </row>
    <row r="24" spans="1:21" ht="15">
      <c r="A24" s="31" t="s">
        <v>154</v>
      </c>
      <c r="B24" s="31">
        <v>36</v>
      </c>
      <c r="D24" s="29">
        <f t="shared" si="1"/>
        <v>0</v>
      </c>
      <c r="E24">
        <f>COUNTIF(Vertices[Degree],"&gt;= "&amp;D24)-COUNTIF(Vertices[Degree],"&gt;="&amp;D25)</f>
        <v>0</v>
      </c>
      <c r="F24" s="34">
        <f t="shared" si="2"/>
        <v>10.352941176470589</v>
      </c>
      <c r="G24" s="35">
        <f>COUNTIF(Vertices[In-Degree],"&gt;= "&amp;F24)-COUNTIF(Vertices[In-Degree],"&gt;="&amp;F25)</f>
        <v>0</v>
      </c>
      <c r="H24" s="34">
        <f t="shared" si="3"/>
        <v>11.647058823529411</v>
      </c>
      <c r="I24" s="35">
        <f>COUNTIF(Vertices[Out-Degree],"&gt;= "&amp;H24)-COUNTIF(Vertices[Out-Degree],"&gt;="&amp;H25)</f>
        <v>0</v>
      </c>
      <c r="J24" s="34">
        <f t="shared" si="4"/>
        <v>350.8979455882353</v>
      </c>
      <c r="K24" s="35">
        <f>COUNTIF(Vertices[Betweenness Centrality],"&gt;= "&amp;J24)-COUNTIF(Vertices[Betweenness Centrality],"&gt;="&amp;J25)</f>
        <v>0</v>
      </c>
      <c r="L24" s="34">
        <f t="shared" si="5"/>
        <v>0.6553518235294122</v>
      </c>
      <c r="M24" s="35">
        <f>COUNTIF(Vertices[Closeness Centrality],"&gt;= "&amp;L24)-COUNTIF(Vertices[Closeness Centrality],"&gt;="&amp;L25)</f>
        <v>0</v>
      </c>
      <c r="N24" s="34">
        <f t="shared" si="6"/>
        <v>0.23369905882352945</v>
      </c>
      <c r="O24" s="35">
        <f>COUNTIF(Vertices[Eigenvector Centrality],"&gt;= "&amp;N24)-COUNTIF(Vertices[Eigenvector Centrality],"&gt;="&amp;N25)</f>
        <v>3</v>
      </c>
      <c r="P24" s="34">
        <f t="shared" si="7"/>
        <v>0.04714976470588231</v>
      </c>
      <c r="Q24" s="35">
        <f>COUNTIF(Vertices[PageRank],"&gt;= "&amp;P24)-COUNTIF(Vertices[PageRank],"&gt;="&amp;P25)</f>
        <v>0</v>
      </c>
      <c r="R24" s="34">
        <f t="shared" si="8"/>
        <v>0.43137254901960764</v>
      </c>
      <c r="S24" s="40">
        <f>COUNTIF(Vertices[Clustering Coefficient],"&gt;= "&amp;R24)-COUNTIF(Vertices[Clustering Coefficient],"&gt;="&amp;R25)</f>
        <v>6</v>
      </c>
      <c r="T24" s="34" t="e">
        <f ca="1" t="shared" si="9"/>
        <v>#REF!</v>
      </c>
      <c r="U24" s="35" t="e">
        <f ca="1" t="shared" si="0"/>
        <v>#REF!</v>
      </c>
    </row>
    <row r="25" spans="1:21" ht="15">
      <c r="A25" s="31" t="s">
        <v>155</v>
      </c>
      <c r="B25" s="31">
        <v>251</v>
      </c>
      <c r="D25" s="29">
        <f t="shared" si="1"/>
        <v>0</v>
      </c>
      <c r="E25">
        <f>COUNTIF(Vertices[Degree],"&gt;= "&amp;D25)-COUNTIF(Vertices[Degree],"&gt;="&amp;D26)</f>
        <v>0</v>
      </c>
      <c r="F25" s="36">
        <f t="shared" si="2"/>
        <v>10.823529411764707</v>
      </c>
      <c r="G25" s="37">
        <f>COUNTIF(Vertices[In-Degree],"&gt;= "&amp;F25)-COUNTIF(Vertices[In-Degree],"&gt;="&amp;F26)</f>
        <v>0</v>
      </c>
      <c r="H25" s="36">
        <f t="shared" si="3"/>
        <v>12.176470588235293</v>
      </c>
      <c r="I25" s="37">
        <f>COUNTIF(Vertices[Out-Degree],"&gt;= "&amp;H25)-COUNTIF(Vertices[Out-Degree],"&gt;="&amp;H26)</f>
        <v>0</v>
      </c>
      <c r="J25" s="36">
        <f t="shared" si="4"/>
        <v>366.84785220588236</v>
      </c>
      <c r="K25" s="37">
        <f>COUNTIF(Vertices[Betweenness Centrality],"&gt;= "&amp;J25)-COUNTIF(Vertices[Betweenness Centrality],"&gt;="&amp;J26)</f>
        <v>0</v>
      </c>
      <c r="L25" s="36">
        <f t="shared" si="5"/>
        <v>0.6685685882352946</v>
      </c>
      <c r="M25" s="37">
        <f>COUNTIF(Vertices[Closeness Centrality],"&gt;= "&amp;L25)-COUNTIF(Vertices[Closeness Centrality],"&gt;="&amp;L26)</f>
        <v>1</v>
      </c>
      <c r="N25" s="36">
        <f t="shared" si="6"/>
        <v>0.24352647058823534</v>
      </c>
      <c r="O25" s="37">
        <f>COUNTIF(Vertices[Eigenvector Centrality],"&gt;= "&amp;N25)-COUNTIF(Vertices[Eigenvector Centrality],"&gt;="&amp;N26)</f>
        <v>0</v>
      </c>
      <c r="P25" s="36">
        <f t="shared" si="7"/>
        <v>0.048207117647058775</v>
      </c>
      <c r="Q25" s="37">
        <f>COUNTIF(Vertices[PageRank],"&gt;= "&amp;P25)-COUNTIF(Vertices[PageRank],"&gt;="&amp;P26)</f>
        <v>0</v>
      </c>
      <c r="R25" s="36">
        <f t="shared" si="8"/>
        <v>0.45098039215686253</v>
      </c>
      <c r="S25" s="41">
        <f>COUNTIF(Vertices[Clustering Coefficient],"&gt;= "&amp;R25)-COUNTIF(Vertices[Clustering Coefficient],"&gt;="&amp;R26)</f>
        <v>1</v>
      </c>
      <c r="T25" s="36" t="e">
        <f ca="1" t="shared" si="9"/>
        <v>#REF!</v>
      </c>
      <c r="U25" s="37" t="e">
        <f ca="1" t="shared" si="0"/>
        <v>#REF!</v>
      </c>
    </row>
    <row r="26" spans="1:21" ht="15">
      <c r="A26" s="65"/>
      <c r="B26" s="65"/>
      <c r="D26" s="29">
        <f t="shared" si="1"/>
        <v>0</v>
      </c>
      <c r="E26">
        <f>COUNTIF(Vertices[Degree],"&gt;= "&amp;D26)-COUNTIF(Vertices[Degree],"&gt;="&amp;D27)</f>
        <v>0</v>
      </c>
      <c r="F26" s="34">
        <f t="shared" si="2"/>
        <v>11.294117647058824</v>
      </c>
      <c r="G26" s="35">
        <f>COUNTIF(Vertices[In-Degree],"&gt;= "&amp;F26)-COUNTIF(Vertices[In-Degree],"&gt;="&amp;F27)</f>
        <v>0</v>
      </c>
      <c r="H26" s="34">
        <f t="shared" si="3"/>
        <v>12.705882352941176</v>
      </c>
      <c r="I26" s="35">
        <f>COUNTIF(Vertices[Out-Degree],"&gt;= "&amp;H26)-COUNTIF(Vertices[Out-Degree],"&gt;="&amp;H27)</f>
        <v>0</v>
      </c>
      <c r="J26" s="34">
        <f t="shared" si="4"/>
        <v>382.7977588235294</v>
      </c>
      <c r="K26" s="35">
        <f>COUNTIF(Vertices[Betweenness Centrality],"&gt;= "&amp;J26)-COUNTIF(Vertices[Betweenness Centrality],"&gt;="&amp;J27)</f>
        <v>0</v>
      </c>
      <c r="L26" s="34">
        <f t="shared" si="5"/>
        <v>0.681785352941177</v>
      </c>
      <c r="M26" s="35">
        <f>COUNTIF(Vertices[Closeness Centrality],"&gt;= "&amp;L26)-COUNTIF(Vertices[Closeness Centrality],"&gt;="&amp;L27)</f>
        <v>0</v>
      </c>
      <c r="N26" s="34">
        <f t="shared" si="6"/>
        <v>0.2533538823529412</v>
      </c>
      <c r="O26" s="35">
        <f>COUNTIF(Vertices[Eigenvector Centrality],"&gt;= "&amp;N26)-COUNTIF(Vertices[Eigenvector Centrality],"&gt;="&amp;N27)</f>
        <v>1</v>
      </c>
      <c r="P26" s="34">
        <f t="shared" si="7"/>
        <v>0.04926447058823524</v>
      </c>
      <c r="Q26" s="35">
        <f>COUNTIF(Vertices[PageRank],"&gt;= "&amp;P26)-COUNTIF(Vertices[PageRank],"&gt;="&amp;P27)</f>
        <v>0</v>
      </c>
      <c r="R26" s="34">
        <f t="shared" si="8"/>
        <v>0.4705882352941174</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4</v>
      </c>
      <c r="D27" s="29">
        <f t="shared" si="1"/>
        <v>0</v>
      </c>
      <c r="E27">
        <f>COUNTIF(Vertices[Degree],"&gt;= "&amp;D27)-COUNTIF(Vertices[Degree],"&gt;="&amp;D28)</f>
        <v>0</v>
      </c>
      <c r="F27" s="36">
        <f t="shared" si="2"/>
        <v>11.764705882352942</v>
      </c>
      <c r="G27" s="37">
        <f>COUNTIF(Vertices[In-Degree],"&gt;= "&amp;F27)-COUNTIF(Vertices[In-Degree],"&gt;="&amp;F28)</f>
        <v>1</v>
      </c>
      <c r="H27" s="36">
        <f t="shared" si="3"/>
        <v>13.235294117647058</v>
      </c>
      <c r="I27" s="37">
        <f>COUNTIF(Vertices[Out-Degree],"&gt;= "&amp;H27)-COUNTIF(Vertices[Out-Degree],"&gt;="&amp;H28)</f>
        <v>0</v>
      </c>
      <c r="J27" s="36">
        <f t="shared" si="4"/>
        <v>398.7476654411765</v>
      </c>
      <c r="K27" s="37">
        <f>COUNTIF(Vertices[Betweenness Centrality],"&gt;= "&amp;J27)-COUNTIF(Vertices[Betweenness Centrality],"&gt;="&amp;J28)</f>
        <v>0</v>
      </c>
      <c r="L27" s="36">
        <f t="shared" si="5"/>
        <v>0.6950021176470594</v>
      </c>
      <c r="M27" s="37">
        <f>COUNTIF(Vertices[Closeness Centrality],"&gt;= "&amp;L27)-COUNTIF(Vertices[Closeness Centrality],"&gt;="&amp;L28)</f>
        <v>0</v>
      </c>
      <c r="N27" s="36">
        <f t="shared" si="6"/>
        <v>0.26318129411764707</v>
      </c>
      <c r="O27" s="37">
        <f>COUNTIF(Vertices[Eigenvector Centrality],"&gt;= "&amp;N27)-COUNTIF(Vertices[Eigenvector Centrality],"&gt;="&amp;N28)</f>
        <v>1</v>
      </c>
      <c r="P27" s="36">
        <f t="shared" si="7"/>
        <v>0.05032182352941171</v>
      </c>
      <c r="Q27" s="37">
        <f>COUNTIF(Vertices[PageRank],"&gt;= "&amp;P27)-COUNTIF(Vertices[PageRank],"&gt;="&amp;P28)</f>
        <v>0</v>
      </c>
      <c r="R27" s="36">
        <f t="shared" si="8"/>
        <v>0.4901960784313723</v>
      </c>
      <c r="S27" s="41">
        <f>COUNTIF(Vertices[Clustering Coefficient],"&gt;= "&amp;R27)-COUNTIF(Vertices[Clustering Coefficient],"&gt;="&amp;R28)</f>
        <v>3</v>
      </c>
      <c r="T27" s="36" t="e">
        <f ca="1" t="shared" si="9"/>
        <v>#REF!</v>
      </c>
      <c r="U27" s="37" t="e">
        <f ca="1" t="shared" si="10"/>
        <v>#REF!</v>
      </c>
    </row>
    <row r="28" spans="1:21" ht="15">
      <c r="A28" s="31" t="s">
        <v>157</v>
      </c>
      <c r="B28" s="31">
        <v>1.927469</v>
      </c>
      <c r="D28" s="29">
        <f t="shared" si="1"/>
        <v>0</v>
      </c>
      <c r="E28">
        <f>COUNTIF(Vertices[Degree],"&gt;= "&amp;D28)-COUNTIF(Vertices[Degree],"&gt;="&amp;D29)</f>
        <v>0</v>
      </c>
      <c r="F28" s="34">
        <f t="shared" si="2"/>
        <v>12.23529411764706</v>
      </c>
      <c r="G28" s="35">
        <f>COUNTIF(Vertices[In-Degree],"&gt;= "&amp;F28)-COUNTIF(Vertices[In-Degree],"&gt;="&amp;F29)</f>
        <v>0</v>
      </c>
      <c r="H28" s="34">
        <f t="shared" si="3"/>
        <v>13.76470588235294</v>
      </c>
      <c r="I28" s="35">
        <f>COUNTIF(Vertices[Out-Degree],"&gt;= "&amp;H28)-COUNTIF(Vertices[Out-Degree],"&gt;="&amp;H29)</f>
        <v>2</v>
      </c>
      <c r="J28" s="34">
        <f t="shared" si="4"/>
        <v>414.69757205882354</v>
      </c>
      <c r="K28" s="35">
        <f>COUNTIF(Vertices[Betweenness Centrality],"&gt;= "&amp;J28)-COUNTIF(Vertices[Betweenness Centrality],"&gt;="&amp;J29)</f>
        <v>0</v>
      </c>
      <c r="L28" s="34">
        <f t="shared" si="5"/>
        <v>0.7082188823529418</v>
      </c>
      <c r="M28" s="35">
        <f>COUNTIF(Vertices[Closeness Centrality],"&gt;= "&amp;L28)-COUNTIF(Vertices[Closeness Centrality],"&gt;="&amp;L29)</f>
        <v>1</v>
      </c>
      <c r="N28" s="34">
        <f t="shared" si="6"/>
        <v>0.27300870588235293</v>
      </c>
      <c r="O28" s="35">
        <f>COUNTIF(Vertices[Eigenvector Centrality],"&gt;= "&amp;N28)-COUNTIF(Vertices[Eigenvector Centrality],"&gt;="&amp;N29)</f>
        <v>0</v>
      </c>
      <c r="P28" s="34">
        <f t="shared" si="7"/>
        <v>0.05137917647058818</v>
      </c>
      <c r="Q28" s="35">
        <f>COUNTIF(Vertices[PageRank],"&gt;= "&amp;P28)-COUNTIF(Vertices[PageRank],"&gt;="&amp;P29)</f>
        <v>0</v>
      </c>
      <c r="R28" s="34">
        <f t="shared" si="8"/>
        <v>0.5098039215686272</v>
      </c>
      <c r="S28" s="40">
        <f>COUNTIF(Vertices[Clustering Coefficient],"&gt;= "&amp;R28)-COUNTIF(Vertices[Clustering Coefficient],"&gt;="&amp;R29)</f>
        <v>0</v>
      </c>
      <c r="T28" s="34" t="e">
        <f ca="1" t="shared" si="9"/>
        <v>#REF!</v>
      </c>
      <c r="U28" s="35" t="e">
        <f ca="1" t="shared" si="10"/>
        <v>#REF!</v>
      </c>
    </row>
    <row r="29" spans="1:21" ht="15">
      <c r="A29" s="65"/>
      <c r="B29" s="65"/>
      <c r="D29" s="29">
        <f t="shared" si="1"/>
        <v>0</v>
      </c>
      <c r="E29">
        <f>COUNTIF(Vertices[Degree],"&gt;= "&amp;D29)-COUNTIF(Vertices[Degree],"&gt;="&amp;D30)</f>
        <v>0</v>
      </c>
      <c r="F29" s="36">
        <f t="shared" si="2"/>
        <v>12.705882352941178</v>
      </c>
      <c r="G29" s="37">
        <f>COUNTIF(Vertices[In-Degree],"&gt;= "&amp;F29)-COUNTIF(Vertices[In-Degree],"&gt;="&amp;F30)</f>
        <v>0</v>
      </c>
      <c r="H29" s="36">
        <f t="shared" si="3"/>
        <v>14.294117647058822</v>
      </c>
      <c r="I29" s="37">
        <f>COUNTIF(Vertices[Out-Degree],"&gt;= "&amp;H29)-COUNTIF(Vertices[Out-Degree],"&gt;="&amp;H30)</f>
        <v>0</v>
      </c>
      <c r="J29" s="36">
        <f t="shared" si="4"/>
        <v>430.6474786764706</v>
      </c>
      <c r="K29" s="37">
        <f>COUNTIF(Vertices[Betweenness Centrality],"&gt;= "&amp;J29)-COUNTIF(Vertices[Betweenness Centrality],"&gt;="&amp;J30)</f>
        <v>0</v>
      </c>
      <c r="L29" s="36">
        <f t="shared" si="5"/>
        <v>0.7214356470588242</v>
      </c>
      <c r="M29" s="37">
        <f>COUNTIF(Vertices[Closeness Centrality],"&gt;= "&amp;L29)-COUNTIF(Vertices[Closeness Centrality],"&gt;="&amp;L30)</f>
        <v>0</v>
      </c>
      <c r="N29" s="36">
        <f t="shared" si="6"/>
        <v>0.2828361176470588</v>
      </c>
      <c r="O29" s="37">
        <f>COUNTIF(Vertices[Eigenvector Centrality],"&gt;= "&amp;N29)-COUNTIF(Vertices[Eigenvector Centrality],"&gt;="&amp;N30)</f>
        <v>0</v>
      </c>
      <c r="P29" s="36">
        <f t="shared" si="7"/>
        <v>0.052436529411764646</v>
      </c>
      <c r="Q29" s="37">
        <f>COUNTIF(Vertices[PageRank],"&gt;= "&amp;P29)-COUNTIF(Vertices[PageRank],"&gt;="&amp;P30)</f>
        <v>0</v>
      </c>
      <c r="R29" s="36">
        <f t="shared" si="8"/>
        <v>0.5294117647058821</v>
      </c>
      <c r="S29" s="41">
        <f>COUNTIF(Vertices[Clustering Coefficient],"&gt;= "&amp;R29)-COUNTIF(Vertices[Clustering Coefficient],"&gt;="&amp;R30)</f>
        <v>0</v>
      </c>
      <c r="T29" s="36" t="e">
        <f ca="1" t="shared" si="9"/>
        <v>#REF!</v>
      </c>
      <c r="U29" s="37" t="e">
        <f ca="1" t="shared" si="10"/>
        <v>#REF!</v>
      </c>
    </row>
    <row r="30" spans="1:21" ht="15">
      <c r="A30" s="31" t="s">
        <v>158</v>
      </c>
      <c r="B30" s="31">
        <v>0.10555555555555556</v>
      </c>
      <c r="D30" s="29">
        <f t="shared" si="1"/>
        <v>0</v>
      </c>
      <c r="E30">
        <f>COUNTIF(Vertices[Degree],"&gt;= "&amp;D30)-COUNTIF(Vertices[Degree],"&gt;="&amp;D31)</f>
        <v>0</v>
      </c>
      <c r="F30" s="34">
        <f t="shared" si="2"/>
        <v>13.176470588235295</v>
      </c>
      <c r="G30" s="35">
        <f>COUNTIF(Vertices[In-Degree],"&gt;= "&amp;F30)-COUNTIF(Vertices[In-Degree],"&gt;="&amp;F31)</f>
        <v>0</v>
      </c>
      <c r="H30" s="34">
        <f t="shared" si="3"/>
        <v>14.823529411764705</v>
      </c>
      <c r="I30" s="35">
        <f>COUNTIF(Vertices[Out-Degree],"&gt;= "&amp;H30)-COUNTIF(Vertices[Out-Degree],"&gt;="&amp;H31)</f>
        <v>2</v>
      </c>
      <c r="J30" s="34">
        <f t="shared" si="4"/>
        <v>446.59738529411766</v>
      </c>
      <c r="K30" s="35">
        <f>COUNTIF(Vertices[Betweenness Centrality],"&gt;= "&amp;J30)-COUNTIF(Vertices[Betweenness Centrality],"&gt;="&amp;J31)</f>
        <v>0</v>
      </c>
      <c r="L30" s="34">
        <f t="shared" si="5"/>
        <v>0.7346524117647066</v>
      </c>
      <c r="M30" s="35">
        <f>COUNTIF(Vertices[Closeness Centrality],"&gt;= "&amp;L30)-COUNTIF(Vertices[Closeness Centrality],"&gt;="&amp;L31)</f>
        <v>0</v>
      </c>
      <c r="N30" s="34">
        <f t="shared" si="6"/>
        <v>0.29266352941176466</v>
      </c>
      <c r="O30" s="35">
        <f>COUNTIF(Vertices[Eigenvector Centrality],"&gt;= "&amp;N30)-COUNTIF(Vertices[Eigenvector Centrality],"&gt;="&amp;N31)</f>
        <v>0</v>
      </c>
      <c r="P30" s="34">
        <f t="shared" si="7"/>
        <v>0.05349388235294111</v>
      </c>
      <c r="Q30" s="35">
        <f>COUNTIF(Vertices[PageRank],"&gt;= "&amp;P30)-COUNTIF(Vertices[PageRank],"&gt;="&amp;P31)</f>
        <v>0</v>
      </c>
      <c r="R30" s="34">
        <f t="shared" si="8"/>
        <v>0.5490196078431371</v>
      </c>
      <c r="S30" s="40">
        <f>COUNTIF(Vertices[Clustering Coefficient],"&gt;= "&amp;R30)-COUNTIF(Vertices[Clustering Coefficient],"&gt;="&amp;R31)</f>
        <v>1</v>
      </c>
      <c r="T30" s="34" t="e">
        <f ca="1" t="shared" si="9"/>
        <v>#REF!</v>
      </c>
      <c r="U30" s="35" t="e">
        <f ca="1" t="shared" si="10"/>
        <v>#REF!</v>
      </c>
    </row>
    <row r="31" spans="1:21" ht="15">
      <c r="A31" s="31" t="s">
        <v>180</v>
      </c>
      <c r="B31" s="31">
        <v>0.169339</v>
      </c>
      <c r="D31" s="29">
        <f t="shared" si="1"/>
        <v>0</v>
      </c>
      <c r="E31">
        <f>COUNTIF(Vertices[Degree],"&gt;= "&amp;D31)-COUNTIF(Vertices[Degree],"&gt;="&amp;D32)</f>
        <v>0</v>
      </c>
      <c r="F31" s="36">
        <f t="shared" si="2"/>
        <v>13.647058823529413</v>
      </c>
      <c r="G31" s="37">
        <f>COUNTIF(Vertices[In-Degree],"&gt;= "&amp;F31)-COUNTIF(Vertices[In-Degree],"&gt;="&amp;F32)</f>
        <v>0</v>
      </c>
      <c r="H31" s="36">
        <f t="shared" si="3"/>
        <v>15.352941176470587</v>
      </c>
      <c r="I31" s="37">
        <f>COUNTIF(Vertices[Out-Degree],"&gt;= "&amp;H31)-COUNTIF(Vertices[Out-Degree],"&gt;="&amp;H32)</f>
        <v>0</v>
      </c>
      <c r="J31" s="36">
        <f t="shared" si="4"/>
        <v>462.5472919117647</v>
      </c>
      <c r="K31" s="37">
        <f>COUNTIF(Vertices[Betweenness Centrality],"&gt;= "&amp;J31)-COUNTIF(Vertices[Betweenness Centrality],"&gt;="&amp;J32)</f>
        <v>0</v>
      </c>
      <c r="L31" s="36">
        <f t="shared" si="5"/>
        <v>0.747869176470589</v>
      </c>
      <c r="M31" s="37">
        <f>COUNTIF(Vertices[Closeness Centrality],"&gt;= "&amp;L31)-COUNTIF(Vertices[Closeness Centrality],"&gt;="&amp;L32)</f>
        <v>0</v>
      </c>
      <c r="N31" s="36">
        <f t="shared" si="6"/>
        <v>0.3024909411764705</v>
      </c>
      <c r="O31" s="37">
        <f>COUNTIF(Vertices[Eigenvector Centrality],"&gt;= "&amp;N31)-COUNTIF(Vertices[Eigenvector Centrality],"&gt;="&amp;N32)</f>
        <v>0</v>
      </c>
      <c r="P31" s="36">
        <f t="shared" si="7"/>
        <v>0.05455123529411758</v>
      </c>
      <c r="Q31" s="37">
        <f>COUNTIF(Vertices[PageRank],"&gt;= "&amp;P31)-COUNTIF(Vertices[PageRank],"&gt;="&amp;P32)</f>
        <v>0</v>
      </c>
      <c r="R31" s="36">
        <f t="shared" si="8"/>
        <v>0.568627450980392</v>
      </c>
      <c r="S31" s="41">
        <f>COUNTIF(Vertices[Clustering Coefficient],"&gt;= "&amp;R31)-COUNTIF(Vertices[Clustering Coefficient],"&gt;="&amp;R32)</f>
        <v>0</v>
      </c>
      <c r="T31" s="36" t="e">
        <f ca="1" t="shared" si="9"/>
        <v>#REF!</v>
      </c>
      <c r="U31" s="37" t="e">
        <f ca="1" t="shared" si="10"/>
        <v>#REF!</v>
      </c>
    </row>
    <row r="32" spans="1:21" ht="15">
      <c r="A32" s="65"/>
      <c r="B32" s="65"/>
      <c r="D32" s="29">
        <f t="shared" si="1"/>
        <v>0</v>
      </c>
      <c r="E32">
        <f>COUNTIF(Vertices[Degree],"&gt;= "&amp;D32)-COUNTIF(Vertices[Degree],"&gt;="&amp;D33)</f>
        <v>0</v>
      </c>
      <c r="F32" s="34">
        <f t="shared" si="2"/>
        <v>14.11764705882353</v>
      </c>
      <c r="G32" s="35">
        <f>COUNTIF(Vertices[In-Degree],"&gt;= "&amp;F32)-COUNTIF(Vertices[In-Degree],"&gt;="&amp;F33)</f>
        <v>0</v>
      </c>
      <c r="H32" s="34">
        <f t="shared" si="3"/>
        <v>15.88235294117647</v>
      </c>
      <c r="I32" s="35">
        <f>COUNTIF(Vertices[Out-Degree],"&gt;= "&amp;H32)-COUNTIF(Vertices[Out-Degree],"&gt;="&amp;H33)</f>
        <v>0</v>
      </c>
      <c r="J32" s="34">
        <f t="shared" si="4"/>
        <v>478.4971985294118</v>
      </c>
      <c r="K32" s="35">
        <f>COUNTIF(Vertices[Betweenness Centrality],"&gt;= "&amp;J32)-COUNTIF(Vertices[Betweenness Centrality],"&gt;="&amp;J33)</f>
        <v>0</v>
      </c>
      <c r="L32" s="34">
        <f t="shared" si="5"/>
        <v>0.7610859411764714</v>
      </c>
      <c r="M32" s="35">
        <f>COUNTIF(Vertices[Closeness Centrality],"&gt;= "&amp;L32)-COUNTIF(Vertices[Closeness Centrality],"&gt;="&amp;L33)</f>
        <v>0</v>
      </c>
      <c r="N32" s="34">
        <f t="shared" si="6"/>
        <v>0.3123183529411764</v>
      </c>
      <c r="O32" s="35">
        <f>COUNTIF(Vertices[Eigenvector Centrality],"&gt;= "&amp;N32)-COUNTIF(Vertices[Eigenvector Centrality],"&gt;="&amp;N33)</f>
        <v>1</v>
      </c>
      <c r="P32" s="34">
        <f t="shared" si="7"/>
        <v>0.05560858823529405</v>
      </c>
      <c r="Q32" s="35">
        <f>COUNTIF(Vertices[PageRank],"&gt;= "&amp;P32)-COUNTIF(Vertices[PageRank],"&gt;="&amp;P33)</f>
        <v>0</v>
      </c>
      <c r="R32" s="34">
        <f t="shared" si="8"/>
        <v>0.588235294117647</v>
      </c>
      <c r="S32" s="40">
        <f>COUNTIF(Vertices[Clustering Coefficient],"&gt;= "&amp;R32)-COUNTIF(Vertices[Clustering Coefficient],"&gt;="&amp;R33)</f>
        <v>0</v>
      </c>
      <c r="T32" s="34" t="e">
        <f ca="1" t="shared" si="9"/>
        <v>#REF!</v>
      </c>
      <c r="U32" s="35" t="e">
        <f ca="1" t="shared" si="10"/>
        <v>#REF!</v>
      </c>
    </row>
    <row r="33" spans="1:21" ht="15">
      <c r="A33" s="31" t="s">
        <v>181</v>
      </c>
      <c r="B33" s="31" t="s">
        <v>196</v>
      </c>
      <c r="D33" s="29">
        <f t="shared" si="1"/>
        <v>0</v>
      </c>
      <c r="E33">
        <f>COUNTIF(Vertices[Degree],"&gt;= "&amp;D33)-COUNTIF(Vertices[Degree],"&gt;="&amp;D34)</f>
        <v>0</v>
      </c>
      <c r="F33" s="36">
        <f t="shared" si="2"/>
        <v>14.588235294117649</v>
      </c>
      <c r="G33" s="37">
        <f>COUNTIF(Vertices[In-Degree],"&gt;= "&amp;F33)-COUNTIF(Vertices[In-Degree],"&gt;="&amp;F34)</f>
        <v>1</v>
      </c>
      <c r="H33" s="36">
        <f t="shared" si="3"/>
        <v>16.41176470588235</v>
      </c>
      <c r="I33" s="37">
        <f>COUNTIF(Vertices[Out-Degree],"&gt;= "&amp;H33)-COUNTIF(Vertices[Out-Degree],"&gt;="&amp;H34)</f>
        <v>0</v>
      </c>
      <c r="J33" s="36">
        <f t="shared" si="4"/>
        <v>494.44710514705883</v>
      </c>
      <c r="K33" s="37">
        <f>COUNTIF(Vertices[Betweenness Centrality],"&gt;= "&amp;J33)-COUNTIF(Vertices[Betweenness Centrality],"&gt;="&amp;J34)</f>
        <v>0</v>
      </c>
      <c r="L33" s="36">
        <f t="shared" si="5"/>
        <v>0.7743027058823538</v>
      </c>
      <c r="M33" s="37">
        <f>COUNTIF(Vertices[Closeness Centrality],"&gt;= "&amp;L33)-COUNTIF(Vertices[Closeness Centrality],"&gt;="&amp;L34)</f>
        <v>0</v>
      </c>
      <c r="N33" s="36">
        <f t="shared" si="6"/>
        <v>0.32214576470588224</v>
      </c>
      <c r="O33" s="37">
        <f>COUNTIF(Vertices[Eigenvector Centrality],"&gt;= "&amp;N33)-COUNTIF(Vertices[Eigenvector Centrality],"&gt;="&amp;N34)</f>
        <v>0</v>
      </c>
      <c r="P33" s="36">
        <f t="shared" si="7"/>
        <v>0.056665941176470516</v>
      </c>
      <c r="Q33" s="37">
        <f>COUNTIF(Vertices[PageRank],"&gt;= "&amp;P33)-COUNTIF(Vertices[PageRank],"&gt;="&amp;P34)</f>
        <v>0</v>
      </c>
      <c r="R33" s="36">
        <f t="shared" si="8"/>
        <v>0.6078431372549019</v>
      </c>
      <c r="S33" s="41">
        <f>COUNTIF(Vertices[Clustering Coefficient],"&gt;= "&amp;R33)-COUNTIF(Vertices[Clustering Coefficient],"&gt;="&amp;R34)</f>
        <v>0</v>
      </c>
      <c r="T33" s="36" t="e">
        <f ca="1" t="shared" si="9"/>
        <v>#REF!</v>
      </c>
      <c r="U33" s="37" t="e">
        <f ca="1" t="shared" si="10"/>
        <v>#REF!</v>
      </c>
    </row>
    <row r="34" spans="1:21" ht="15">
      <c r="A34" s="65"/>
      <c r="B34" s="65"/>
      <c r="D34" s="29">
        <f t="shared" si="1"/>
        <v>0</v>
      </c>
      <c r="E34">
        <f>COUNTIF(Vertices[Degree],"&gt;= "&amp;D34)-COUNTIF(Vertices[Degree],"&gt;="&amp;D35)</f>
        <v>0</v>
      </c>
      <c r="F34" s="34">
        <f t="shared" si="2"/>
        <v>15.058823529411766</v>
      </c>
      <c r="G34" s="35">
        <f>COUNTIF(Vertices[In-Degree],"&gt;= "&amp;F34)-COUNTIF(Vertices[In-Degree],"&gt;="&amp;F35)</f>
        <v>0</v>
      </c>
      <c r="H34" s="34">
        <f t="shared" si="3"/>
        <v>16.941176470588236</v>
      </c>
      <c r="I34" s="35">
        <f>COUNTIF(Vertices[Out-Degree],"&gt;= "&amp;H34)-COUNTIF(Vertices[Out-Degree],"&gt;="&amp;H35)</f>
        <v>1</v>
      </c>
      <c r="J34" s="34">
        <f t="shared" si="4"/>
        <v>510.3970117647059</v>
      </c>
      <c r="K34" s="35">
        <f>COUNTIF(Vertices[Betweenness Centrality],"&gt;= "&amp;J34)-COUNTIF(Vertices[Betweenness Centrality],"&gt;="&amp;J35)</f>
        <v>0</v>
      </c>
      <c r="L34" s="34">
        <f t="shared" si="5"/>
        <v>0.7875194705882362</v>
      </c>
      <c r="M34" s="35">
        <f>COUNTIF(Vertices[Closeness Centrality],"&gt;= "&amp;L34)-COUNTIF(Vertices[Closeness Centrality],"&gt;="&amp;L35)</f>
        <v>0</v>
      </c>
      <c r="N34" s="34">
        <f t="shared" si="6"/>
        <v>0.3319731764705881</v>
      </c>
      <c r="O34" s="35">
        <f>COUNTIF(Vertices[Eigenvector Centrality],"&gt;= "&amp;N34)-COUNTIF(Vertices[Eigenvector Centrality],"&gt;="&amp;N35)</f>
        <v>0</v>
      </c>
      <c r="P34" s="34">
        <f t="shared" si="7"/>
        <v>0.057723294117646984</v>
      </c>
      <c r="Q34" s="35">
        <f>COUNTIF(Vertices[PageRank],"&gt;= "&amp;P34)-COUNTIF(Vertices[PageRank],"&gt;="&amp;P35)</f>
        <v>0</v>
      </c>
      <c r="R34" s="34">
        <f t="shared" si="8"/>
        <v>0.6274509803921569</v>
      </c>
      <c r="S34" s="40">
        <f>COUNTIF(Vertices[Clustering Coefficient],"&gt;= "&amp;R34)-COUNTIF(Vertices[Clustering Coefficient],"&gt;="&amp;R35)</f>
        <v>0</v>
      </c>
      <c r="T34" s="34" t="e">
        <f ca="1" t="shared" si="9"/>
        <v>#REF!</v>
      </c>
      <c r="U34" s="35" t="e">
        <f ca="1" t="shared" si="10"/>
        <v>#REF!</v>
      </c>
    </row>
    <row r="35" spans="1:21" ht="15">
      <c r="A35" s="31" t="s">
        <v>182</v>
      </c>
      <c r="B35" s="31" t="s">
        <v>1523</v>
      </c>
      <c r="D35" s="29">
        <f t="shared" si="1"/>
        <v>0</v>
      </c>
      <c r="E35">
        <f>COUNTIF(Vertices[Degree],"&gt;= "&amp;D35)-COUNTIF(Vertices[Degree],"&gt;="&amp;D36)</f>
        <v>0</v>
      </c>
      <c r="F35" s="36">
        <f t="shared" si="2"/>
        <v>15.529411764705884</v>
      </c>
      <c r="G35" s="37">
        <f>COUNTIF(Vertices[In-Degree],"&gt;= "&amp;F35)-COUNTIF(Vertices[In-Degree],"&gt;="&amp;F36)</f>
        <v>0</v>
      </c>
      <c r="H35" s="36">
        <f t="shared" si="3"/>
        <v>17.47058823529412</v>
      </c>
      <c r="I35" s="37">
        <f>COUNTIF(Vertices[Out-Degree],"&gt;= "&amp;H35)-COUNTIF(Vertices[Out-Degree],"&gt;="&amp;H36)</f>
        <v>0</v>
      </c>
      <c r="J35" s="36">
        <f t="shared" si="4"/>
        <v>526.3469183823529</v>
      </c>
      <c r="K35" s="37">
        <f>COUNTIF(Vertices[Betweenness Centrality],"&gt;= "&amp;J35)-COUNTIF(Vertices[Betweenness Centrality],"&gt;="&amp;J36)</f>
        <v>0</v>
      </c>
      <c r="L35" s="36">
        <f t="shared" si="5"/>
        <v>0.8007362352941186</v>
      </c>
      <c r="M35" s="37">
        <f>COUNTIF(Vertices[Closeness Centrality],"&gt;= "&amp;L35)-COUNTIF(Vertices[Closeness Centrality],"&gt;="&amp;L36)</f>
        <v>0</v>
      </c>
      <c r="N35" s="36">
        <f t="shared" si="6"/>
        <v>0.34180058823529397</v>
      </c>
      <c r="O35" s="37">
        <f>COUNTIF(Vertices[Eigenvector Centrality],"&gt;= "&amp;N35)-COUNTIF(Vertices[Eigenvector Centrality],"&gt;="&amp;N36)</f>
        <v>1</v>
      </c>
      <c r="P35" s="36">
        <f t="shared" si="7"/>
        <v>0.05878064705882345</v>
      </c>
      <c r="Q35" s="37">
        <f>COUNTIF(Vertices[PageRank],"&gt;= "&amp;P35)-COUNTIF(Vertices[PageRank],"&gt;="&amp;P36)</f>
        <v>0</v>
      </c>
      <c r="R35" s="36">
        <f t="shared" si="8"/>
        <v>0.6470588235294118</v>
      </c>
      <c r="S35" s="41">
        <f>COUNTIF(Vertices[Clustering Coefficient],"&gt;= "&amp;R35)-COUNTIF(Vertices[Clustering Coefficient],"&gt;="&amp;R36)</f>
        <v>0</v>
      </c>
      <c r="T35" s="36" t="e">
        <f ca="1" t="shared" si="9"/>
        <v>#REF!</v>
      </c>
      <c r="U35" s="37" t="e">
        <f ca="1" t="shared" si="10"/>
        <v>#REF!</v>
      </c>
    </row>
    <row r="36" spans="1:21" ht="15">
      <c r="A36" s="31" t="s">
        <v>183</v>
      </c>
      <c r="B36" s="31" t="s">
        <v>1524</v>
      </c>
      <c r="D36" s="29">
        <f>MAX(Vertices[Degree])</f>
        <v>0</v>
      </c>
      <c r="E36">
        <f>COUNTIF(Vertices[Degree],"&gt;= "&amp;D36)-COUNTIF(Vertices[Degree],"&gt;="&amp;#REF!)</f>
        <v>0</v>
      </c>
      <c r="F36" s="38">
        <f>MAX(Vertices[In-Degree])</f>
        <v>16</v>
      </c>
      <c r="G36" s="39">
        <f>COUNTIF(Vertices[In-Degree],"&gt;= "&amp;F36)-COUNTIF(Vertices[In-Degree],"&gt;="&amp;#REF!)</f>
        <v>1</v>
      </c>
      <c r="H36" s="38">
        <f>MAX(Vertices[Out-Degree])</f>
        <v>18</v>
      </c>
      <c r="I36" s="39">
        <f>COUNTIF(Vertices[Out-Degree],"&gt;= "&amp;H36)-COUNTIF(Vertices[Out-Degree],"&gt;="&amp;#REF!)</f>
        <v>1</v>
      </c>
      <c r="J36" s="38">
        <f>MAX(Vertices[Betweenness Centrality])</f>
        <v>542.296825</v>
      </c>
      <c r="K36" s="39">
        <f>COUNTIF(Vertices[Betweenness Centrality],"&gt;= "&amp;J36)-COUNTIF(Vertices[Betweenness Centrality],"&gt;="&amp;#REF!)</f>
        <v>1</v>
      </c>
      <c r="L36" s="38">
        <f>MAX(Vertices[Closeness Centrality])</f>
        <v>0.813953</v>
      </c>
      <c r="M36" s="39">
        <f>COUNTIF(Vertices[Closeness Centrality],"&gt;= "&amp;L36)-COUNTIF(Vertices[Closeness Centrality],"&gt;="&amp;#REF!)</f>
        <v>1</v>
      </c>
      <c r="N36" s="38">
        <f>MAX(Vertices[Eigenvector Centrality])</f>
        <v>0.351628</v>
      </c>
      <c r="O36" s="39">
        <f>COUNTIF(Vertices[Eigenvector Centrality],"&gt;= "&amp;N36)-COUNTIF(Vertices[Eigenvector Centrality],"&gt;="&amp;#REF!)</f>
        <v>1</v>
      </c>
      <c r="P36" s="38">
        <f>MAX(Vertices[PageRank])</f>
        <v>0.059838</v>
      </c>
      <c r="Q36" s="39">
        <f>COUNTIF(Vertices[PageRank],"&gt;= "&amp;P36)-COUNTIF(Vertices[PageRank],"&gt;="&amp;#REF!)</f>
        <v>1</v>
      </c>
      <c r="R36" s="38">
        <f>MAX(Vertices[Clustering Coefficient])</f>
        <v>0.6666666666666666</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65"/>
      <c r="B37" s="65"/>
    </row>
    <row r="38" spans="1:2" ht="15">
      <c r="A38" s="31" t="s">
        <v>184</v>
      </c>
      <c r="B38" s="31" t="s">
        <v>1519</v>
      </c>
    </row>
    <row r="39" spans="1:2" ht="15">
      <c r="A39" s="31" t="s">
        <v>185</v>
      </c>
      <c r="B39" s="31" t="s">
        <v>1520</v>
      </c>
    </row>
    <row r="40" spans="1:2" ht="409.5">
      <c r="A40" s="31" t="s">
        <v>186</v>
      </c>
      <c r="B40" s="50" t="s">
        <v>1521</v>
      </c>
    </row>
    <row r="41" spans="1:2" ht="15">
      <c r="A41" s="31" t="s">
        <v>187</v>
      </c>
      <c r="B41" s="31" t="s">
        <v>1522</v>
      </c>
    </row>
    <row r="42" spans="1:2" ht="15">
      <c r="A42" s="31" t="s">
        <v>188</v>
      </c>
      <c r="B42" s="31" t="s">
        <v>205</v>
      </c>
    </row>
    <row r="43" spans="1:2" ht="15">
      <c r="A43" s="31" t="s">
        <v>189</v>
      </c>
      <c r="B43" s="31" t="s">
        <v>175</v>
      </c>
    </row>
    <row r="44" spans="1:2" ht="15">
      <c r="A44" s="31" t="s">
        <v>190</v>
      </c>
      <c r="B44" s="31" t="s">
        <v>175</v>
      </c>
    </row>
    <row r="45" spans="1:2" ht="15">
      <c r="A45" s="31" t="s">
        <v>191</v>
      </c>
      <c r="B45" s="31" t="s">
        <v>175</v>
      </c>
    </row>
    <row r="46" spans="1:2" ht="15">
      <c r="A46" s="31" t="s">
        <v>192</v>
      </c>
      <c r="B46" s="31"/>
    </row>
    <row r="47" spans="1:2" ht="15">
      <c r="A47" s="31" t="s">
        <v>21</v>
      </c>
      <c r="B47" s="31"/>
    </row>
    <row r="48" spans="1:2" ht="15">
      <c r="A48" s="31" t="s">
        <v>193</v>
      </c>
      <c r="B48" s="31" t="s">
        <v>728</v>
      </c>
    </row>
    <row r="49" spans="1:2" ht="15">
      <c r="A49" s="31" t="s">
        <v>194</v>
      </c>
      <c r="B49" s="31"/>
    </row>
    <row r="50" spans="1:2" ht="15">
      <c r="A50" s="31" t="s">
        <v>195</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16</v>
      </c>
    </row>
    <row r="90" spans="1:2" ht="15">
      <c r="A90" s="30" t="s">
        <v>90</v>
      </c>
      <c r="B90" s="44">
        <f>_xlfn.IFERROR(AVERAGE(Vertices[In-Degree]),NoMetricMessage)</f>
        <v>3.8055555555555554</v>
      </c>
    </row>
    <row r="91" spans="1:2" ht="15">
      <c r="A91" s="30" t="s">
        <v>91</v>
      </c>
      <c r="B91" s="44">
        <f>_xlfn.IFERROR(MEDIAN(Vertices[In-Degree]),NoMetricMessage)</f>
        <v>0.5</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3.8055555555555554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542.296825</v>
      </c>
    </row>
    <row r="118" spans="1:2" ht="15">
      <c r="A118" s="30" t="s">
        <v>102</v>
      </c>
      <c r="B118" s="44">
        <f>_xlfn.IFERROR(AVERAGE(Vertices[Betweenness Centrality]),NoMetricMessage)</f>
        <v>34.38888875000001</v>
      </c>
    </row>
    <row r="119" spans="1:2" ht="15">
      <c r="A119" s="30" t="s">
        <v>103</v>
      </c>
      <c r="B119" s="44">
        <f>_xlfn.IFERROR(MEDIAN(Vertices[Betweenness Centrality]),NoMetricMessage)</f>
        <v>2.428571</v>
      </c>
    </row>
    <row r="130" spans="1:2" ht="15">
      <c r="A130" s="30" t="s">
        <v>106</v>
      </c>
      <c r="B130" s="44">
        <f>IF(COUNT(Vertices[Closeness Centrality])&gt;0,L2,NoMetricMessage)</f>
        <v>0.364583</v>
      </c>
    </row>
    <row r="131" spans="1:2" ht="15">
      <c r="A131" s="30" t="s">
        <v>107</v>
      </c>
      <c r="B131" s="44">
        <f>IF(COUNT(Vertices[Closeness Centrality])&gt;0,L36,NoMetricMessage)</f>
        <v>0.813953</v>
      </c>
    </row>
    <row r="132" spans="1:2" ht="15">
      <c r="A132" s="30" t="s">
        <v>108</v>
      </c>
      <c r="B132" s="44">
        <f>_xlfn.IFERROR(AVERAGE(Vertices[Closeness Centrality]),NoMetricMessage)</f>
        <v>0.5196884166666665</v>
      </c>
    </row>
    <row r="133" spans="1:2" ht="15">
      <c r="A133" s="30" t="s">
        <v>109</v>
      </c>
      <c r="B133" s="44">
        <f>_xlfn.IFERROR(MEDIAN(Vertices[Closeness Centrality]),NoMetricMessage)</f>
        <v>0.514706</v>
      </c>
    </row>
    <row r="144" spans="1:2" ht="15">
      <c r="A144" s="30" t="s">
        <v>112</v>
      </c>
      <c r="B144" s="44">
        <f>IF(COUNT(Vertices[Eigenvector Centrality])&gt;0,N2,NoMetricMessage)</f>
        <v>0.017496</v>
      </c>
    </row>
    <row r="145" spans="1:2" ht="15">
      <c r="A145" s="30" t="s">
        <v>113</v>
      </c>
      <c r="B145" s="44">
        <f>IF(COUNT(Vertices[Eigenvector Centrality])&gt;0,N36,NoMetricMessage)</f>
        <v>0.351628</v>
      </c>
    </row>
    <row r="146" spans="1:2" ht="15">
      <c r="A146" s="30" t="s">
        <v>114</v>
      </c>
      <c r="B146" s="44">
        <f>_xlfn.IFERROR(AVERAGE(Vertices[Eigenvector Centrality]),NoMetricMessage)</f>
        <v>0.1321186388888889</v>
      </c>
    </row>
    <row r="147" spans="1:2" ht="15">
      <c r="A147" s="30" t="s">
        <v>115</v>
      </c>
      <c r="B147" s="44">
        <f>_xlfn.IFERROR(MEDIAN(Vertices[Eigenvector Centrality]),NoMetricMessage)</f>
        <v>0.145569</v>
      </c>
    </row>
    <row r="158" spans="1:2" ht="15">
      <c r="A158" s="30" t="s">
        <v>140</v>
      </c>
      <c r="B158" s="44">
        <f>IF(COUNT(Vertices[PageRank])&gt;0,P2,NoMetricMessage)</f>
        <v>0.023888</v>
      </c>
    </row>
    <row r="159" spans="1:2" ht="15">
      <c r="A159" s="30" t="s">
        <v>141</v>
      </c>
      <c r="B159" s="44">
        <f>IF(COUNT(Vertices[PageRank])&gt;0,P36,NoMetricMessage)</f>
        <v>0.059838</v>
      </c>
    </row>
    <row r="160" spans="1:2" ht="15">
      <c r="A160" s="30" t="s">
        <v>142</v>
      </c>
      <c r="B160" s="44">
        <f>_xlfn.IFERROR(AVERAGE(Vertices[PageRank]),NoMetricMessage)</f>
        <v>0.027777805555555552</v>
      </c>
    </row>
    <row r="161" spans="1:2" ht="15">
      <c r="A161" s="30" t="s">
        <v>143</v>
      </c>
      <c r="B161" s="44">
        <f>_xlfn.IFERROR(MEDIAN(Vertices[PageRank]),NoMetricMessage)</f>
        <v>0.025433</v>
      </c>
    </row>
    <row r="172" spans="1:2" ht="15">
      <c r="A172" s="30" t="s">
        <v>118</v>
      </c>
      <c r="B172" s="44">
        <f>IF(COUNT(Vertices[Clustering Coefficient])&gt;0,R2,NoMetricMessage)</f>
        <v>0</v>
      </c>
    </row>
    <row r="173" spans="1:2" ht="15">
      <c r="A173" s="30" t="s">
        <v>119</v>
      </c>
      <c r="B173" s="44">
        <f>IF(COUNT(Vertices[Clustering Coefficient])&gt;0,R36,NoMetricMessage)</f>
        <v>0.6666666666666666</v>
      </c>
    </row>
    <row r="174" spans="1:2" ht="15">
      <c r="A174" s="30" t="s">
        <v>120</v>
      </c>
      <c r="B174" s="44">
        <f>_xlfn.IFERROR(AVERAGE(Vertices[Clustering Coefficient]),NoMetricMessage)</f>
        <v>0.24749815664848343</v>
      </c>
    </row>
    <row r="175" spans="1:2" ht="15">
      <c r="A175" s="30" t="s">
        <v>121</v>
      </c>
      <c r="B175" s="44">
        <f>_xlfn.IFERROR(MEDIAN(Vertices[Clustering Coefficient]),NoMetricMessage)</f>
        <v>0.2577922077922078</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913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v>
      </c>
      <c r="K7" s="7" t="s">
        <v>1518</v>
      </c>
    </row>
    <row r="8" spans="1:11" ht="15">
      <c r="A8"/>
      <c r="B8">
        <v>2</v>
      </c>
      <c r="C8">
        <v>2</v>
      </c>
      <c r="D8" t="s">
        <v>61</v>
      </c>
      <c r="E8" t="s">
        <v>61</v>
      </c>
      <c r="H8" t="s">
        <v>73</v>
      </c>
      <c r="J8" t="s">
        <v>204</v>
      </c>
      <c r="K8" t="s">
        <v>1516</v>
      </c>
    </row>
    <row r="9" spans="1:11" ht="409.5">
      <c r="A9"/>
      <c r="B9">
        <v>3</v>
      </c>
      <c r="C9">
        <v>4</v>
      </c>
      <c r="D9" t="s">
        <v>62</v>
      </c>
      <c r="E9" t="s">
        <v>62</v>
      </c>
      <c r="H9" t="s">
        <v>74</v>
      </c>
      <c r="J9" t="s">
        <v>207</v>
      </c>
      <c r="K9" s="7" t="s">
        <v>208</v>
      </c>
    </row>
    <row r="10" spans="1:11" ht="409.5">
      <c r="A10"/>
      <c r="B10">
        <v>4</v>
      </c>
      <c r="D10" t="s">
        <v>63</v>
      </c>
      <c r="E10" t="s">
        <v>63</v>
      </c>
      <c r="H10" t="s">
        <v>75</v>
      </c>
      <c r="J10" t="s">
        <v>209</v>
      </c>
      <c r="K10" s="7" t="s">
        <v>210</v>
      </c>
    </row>
    <row r="11" spans="1:11" ht="409.5">
      <c r="A11"/>
      <c r="B11">
        <v>5</v>
      </c>
      <c r="D11" t="s">
        <v>46</v>
      </c>
      <c r="E11">
        <v>1</v>
      </c>
      <c r="H11" t="s">
        <v>76</v>
      </c>
      <c r="J11" t="s">
        <v>211</v>
      </c>
      <c r="K11" s="7" t="s">
        <v>212</v>
      </c>
    </row>
    <row r="12" spans="1:11" ht="409.5">
      <c r="A12"/>
      <c r="B12"/>
      <c r="D12" t="s">
        <v>64</v>
      </c>
      <c r="E12">
        <v>2</v>
      </c>
      <c r="H12">
        <v>0</v>
      </c>
      <c r="J12" t="s">
        <v>213</v>
      </c>
      <c r="K12" s="7" t="s">
        <v>214</v>
      </c>
    </row>
    <row r="13" spans="1:11" ht="15">
      <c r="A13"/>
      <c r="B13"/>
      <c r="D13">
        <v>1</v>
      </c>
      <c r="E13">
        <v>3</v>
      </c>
      <c r="H13">
        <v>1</v>
      </c>
      <c r="J13" t="s">
        <v>215</v>
      </c>
      <c r="K13" t="s">
        <v>216</v>
      </c>
    </row>
    <row r="14" spans="4:11" ht="15">
      <c r="D14">
        <v>2</v>
      </c>
      <c r="E14">
        <v>4</v>
      </c>
      <c r="H14">
        <v>2</v>
      </c>
      <c r="J14" t="s">
        <v>217</v>
      </c>
      <c r="K14" t="s">
        <v>218</v>
      </c>
    </row>
    <row r="15" spans="4:11" ht="15">
      <c r="D15">
        <v>3</v>
      </c>
      <c r="E15">
        <v>5</v>
      </c>
      <c r="H15">
        <v>3</v>
      </c>
      <c r="J15" t="s">
        <v>219</v>
      </c>
      <c r="K15" t="s">
        <v>220</v>
      </c>
    </row>
    <row r="16" spans="4:11" ht="15">
      <c r="D16">
        <v>4</v>
      </c>
      <c r="E16">
        <v>6</v>
      </c>
      <c r="H16">
        <v>4</v>
      </c>
      <c r="J16" t="s">
        <v>221</v>
      </c>
      <c r="K16" t="s">
        <v>222</v>
      </c>
    </row>
    <row r="17" spans="4:11" ht="15">
      <c r="D17">
        <v>5</v>
      </c>
      <c r="E17">
        <v>7</v>
      </c>
      <c r="H17">
        <v>5</v>
      </c>
      <c r="J17" t="s">
        <v>223</v>
      </c>
      <c r="K17" t="s">
        <v>224</v>
      </c>
    </row>
    <row r="18" spans="4:11" ht="15">
      <c r="D18">
        <v>6</v>
      </c>
      <c r="E18">
        <v>8</v>
      </c>
      <c r="H18">
        <v>6</v>
      </c>
      <c r="J18" t="s">
        <v>225</v>
      </c>
      <c r="K18" t="s">
        <v>226</v>
      </c>
    </row>
    <row r="19" spans="4:11" ht="15">
      <c r="D19">
        <v>7</v>
      </c>
      <c r="E19">
        <v>9</v>
      </c>
      <c r="H19">
        <v>7</v>
      </c>
      <c r="J19" t="s">
        <v>227</v>
      </c>
      <c r="K19" t="s">
        <v>228</v>
      </c>
    </row>
    <row r="20" spans="4:11" ht="15">
      <c r="D20">
        <v>8</v>
      </c>
      <c r="H20">
        <v>8</v>
      </c>
      <c r="J20" t="s">
        <v>229</v>
      </c>
      <c r="K20" t="s">
        <v>230</v>
      </c>
    </row>
    <row r="21" spans="4:11" ht="15">
      <c r="D21">
        <v>9</v>
      </c>
      <c r="H21">
        <v>9</v>
      </c>
      <c r="J21" t="s">
        <v>231</v>
      </c>
      <c r="K21" t="s">
        <v>232</v>
      </c>
    </row>
    <row r="22" spans="4:11" ht="15">
      <c r="D22">
        <v>10</v>
      </c>
      <c r="J22" t="s">
        <v>233</v>
      </c>
      <c r="K22" t="s">
        <v>234</v>
      </c>
    </row>
    <row r="23" spans="4:11" ht="409.5">
      <c r="D23">
        <v>11</v>
      </c>
      <c r="J23" t="s">
        <v>235</v>
      </c>
      <c r="K23" s="7" t="s">
        <v>236</v>
      </c>
    </row>
    <row r="24" spans="10:11" ht="409.5">
      <c r="J24" t="s">
        <v>237</v>
      </c>
      <c r="K24" s="7" t="s">
        <v>1525</v>
      </c>
    </row>
    <row r="25" spans="10:11" ht="409.5">
      <c r="J25" t="s">
        <v>238</v>
      </c>
      <c r="K25" s="7" t="s">
        <v>1526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2F47F-76F9-4CDE-B5D9-3FF145A1E1E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197</v>
      </c>
      <c r="B1" s="7" t="s">
        <v>17</v>
      </c>
    </row>
    <row r="2" spans="1:2" ht="15">
      <c r="A2" s="63" t="s">
        <v>198</v>
      </c>
      <c r="B2" s="63" t="s">
        <v>1464</v>
      </c>
    </row>
    <row r="3" spans="1:2" ht="15">
      <c r="A3" s="66" t="s">
        <v>199</v>
      </c>
      <c r="B3" s="63" t="s">
        <v>1465</v>
      </c>
    </row>
    <row r="4" spans="1:2" ht="15">
      <c r="A4" s="66" t="s">
        <v>200</v>
      </c>
      <c r="B4" s="63" t="s">
        <v>1466</v>
      </c>
    </row>
    <row r="5" spans="1:2" ht="15">
      <c r="A5" s="66" t="s">
        <v>201</v>
      </c>
      <c r="B5" s="63" t="s">
        <v>1467</v>
      </c>
    </row>
    <row r="6" spans="1:2" ht="15">
      <c r="A6" s="66" t="s">
        <v>202</v>
      </c>
      <c r="B6" s="63" t="s">
        <v>1468</v>
      </c>
    </row>
    <row r="7" spans="1:2" ht="15">
      <c r="A7" s="66" t="s">
        <v>203</v>
      </c>
      <c r="B7" s="6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CCDA1-DF5F-4978-8F92-830217924124}">
  <dimension ref="A1:L92"/>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7" t="s">
        <v>924</v>
      </c>
      <c r="B1" s="7" t="s">
        <v>935</v>
      </c>
      <c r="C1" s="7" t="s">
        <v>936</v>
      </c>
      <c r="D1" s="7" t="s">
        <v>943</v>
      </c>
      <c r="E1" s="7" t="s">
        <v>942</v>
      </c>
      <c r="F1" s="7" t="s">
        <v>949</v>
      </c>
      <c r="G1" s="7" t="s">
        <v>948</v>
      </c>
      <c r="H1" s="7" t="s">
        <v>951</v>
      </c>
      <c r="I1" s="7" t="s">
        <v>950</v>
      </c>
      <c r="J1" s="7" t="s">
        <v>955</v>
      </c>
      <c r="K1" s="7" t="s">
        <v>954</v>
      </c>
      <c r="L1" s="7" t="s">
        <v>957</v>
      </c>
    </row>
    <row r="2" spans="1:12" ht="15">
      <c r="A2" s="93" t="s">
        <v>925</v>
      </c>
      <c r="B2" s="63">
        <v>30</v>
      </c>
      <c r="C2" s="93" t="s">
        <v>926</v>
      </c>
      <c r="D2" s="63">
        <v>5</v>
      </c>
      <c r="E2" s="93" t="s">
        <v>925</v>
      </c>
      <c r="F2" s="63">
        <v>13</v>
      </c>
      <c r="G2" s="93" t="s">
        <v>926</v>
      </c>
      <c r="H2" s="63">
        <v>5</v>
      </c>
      <c r="I2" s="93" t="s">
        <v>925</v>
      </c>
      <c r="J2" s="63">
        <v>15</v>
      </c>
      <c r="K2" s="93" t="s">
        <v>956</v>
      </c>
      <c r="L2" s="63">
        <v>2</v>
      </c>
    </row>
    <row r="3" spans="1:12" ht="15">
      <c r="A3" s="94" t="s">
        <v>926</v>
      </c>
      <c r="B3" s="63">
        <v>12</v>
      </c>
      <c r="C3" s="93" t="s">
        <v>929</v>
      </c>
      <c r="D3" s="63">
        <v>4</v>
      </c>
      <c r="E3" s="93" t="s">
        <v>927</v>
      </c>
      <c r="F3" s="63">
        <v>5</v>
      </c>
      <c r="G3" s="93" t="s">
        <v>945</v>
      </c>
      <c r="H3" s="63">
        <v>2</v>
      </c>
      <c r="I3" s="93" t="s">
        <v>927</v>
      </c>
      <c r="J3" s="63">
        <v>4</v>
      </c>
      <c r="K3" s="93" t="s">
        <v>938</v>
      </c>
      <c r="L3" s="63">
        <v>1</v>
      </c>
    </row>
    <row r="4" spans="1:12" ht="15">
      <c r="A4" s="94" t="s">
        <v>927</v>
      </c>
      <c r="B4" s="63">
        <v>11</v>
      </c>
      <c r="C4" s="93" t="s">
        <v>928</v>
      </c>
      <c r="D4" s="63">
        <v>3</v>
      </c>
      <c r="E4" s="93" t="s">
        <v>944</v>
      </c>
      <c r="F4" s="63">
        <v>4</v>
      </c>
      <c r="G4" s="93" t="s">
        <v>928</v>
      </c>
      <c r="H4" s="63">
        <v>1</v>
      </c>
      <c r="I4" s="93" t="s">
        <v>933</v>
      </c>
      <c r="J4" s="63">
        <v>3</v>
      </c>
      <c r="K4" s="93" t="s">
        <v>930</v>
      </c>
      <c r="L4" s="63">
        <v>1</v>
      </c>
    </row>
    <row r="5" spans="1:12" ht="15">
      <c r="A5" s="94" t="s">
        <v>928</v>
      </c>
      <c r="B5" s="63">
        <v>9</v>
      </c>
      <c r="C5" s="93" t="s">
        <v>937</v>
      </c>
      <c r="D5" s="63">
        <v>2</v>
      </c>
      <c r="E5" s="93" t="s">
        <v>932</v>
      </c>
      <c r="F5" s="63">
        <v>3</v>
      </c>
      <c r="G5" s="93" t="s">
        <v>927</v>
      </c>
      <c r="H5" s="63">
        <v>1</v>
      </c>
      <c r="I5" s="93" t="s">
        <v>952</v>
      </c>
      <c r="J5" s="63">
        <v>2</v>
      </c>
      <c r="K5" s="93" t="s">
        <v>931</v>
      </c>
      <c r="L5" s="63">
        <v>1</v>
      </c>
    </row>
    <row r="6" spans="1:12" ht="15">
      <c r="A6" s="94" t="s">
        <v>929</v>
      </c>
      <c r="B6" s="63">
        <v>7</v>
      </c>
      <c r="C6" s="93" t="s">
        <v>938</v>
      </c>
      <c r="D6" s="63">
        <v>1</v>
      </c>
      <c r="E6" s="93" t="s">
        <v>928</v>
      </c>
      <c r="F6" s="63">
        <v>3</v>
      </c>
      <c r="G6" s="93" t="s">
        <v>930</v>
      </c>
      <c r="H6" s="63">
        <v>1</v>
      </c>
      <c r="I6" s="93" t="s">
        <v>932</v>
      </c>
      <c r="J6" s="63">
        <v>2</v>
      </c>
      <c r="K6" s="93" t="s">
        <v>925</v>
      </c>
      <c r="L6" s="63">
        <v>1</v>
      </c>
    </row>
    <row r="7" spans="1:12" ht="15">
      <c r="A7" s="94" t="s">
        <v>930</v>
      </c>
      <c r="B7" s="63">
        <v>6</v>
      </c>
      <c r="C7" s="93" t="s">
        <v>939</v>
      </c>
      <c r="D7" s="63">
        <v>1</v>
      </c>
      <c r="E7" s="93" t="s">
        <v>934</v>
      </c>
      <c r="F7" s="63">
        <v>3</v>
      </c>
      <c r="G7" s="93" t="s">
        <v>931</v>
      </c>
      <c r="H7" s="63">
        <v>1</v>
      </c>
      <c r="I7" s="93" t="s">
        <v>928</v>
      </c>
      <c r="J7" s="63">
        <v>2</v>
      </c>
      <c r="K7" s="63"/>
      <c r="L7" s="63"/>
    </row>
    <row r="8" spans="1:12" ht="15">
      <c r="A8" s="94" t="s">
        <v>931</v>
      </c>
      <c r="B8" s="63">
        <v>6</v>
      </c>
      <c r="C8" s="93" t="s">
        <v>940</v>
      </c>
      <c r="D8" s="63">
        <v>1</v>
      </c>
      <c r="E8" s="93" t="s">
        <v>926</v>
      </c>
      <c r="F8" s="63">
        <v>2</v>
      </c>
      <c r="G8" s="63"/>
      <c r="H8" s="63"/>
      <c r="I8" s="93" t="s">
        <v>929</v>
      </c>
      <c r="J8" s="63">
        <v>2</v>
      </c>
      <c r="K8" s="63"/>
      <c r="L8" s="63"/>
    </row>
    <row r="9" spans="1:12" ht="15">
      <c r="A9" s="94" t="s">
        <v>932</v>
      </c>
      <c r="B9" s="63">
        <v>5</v>
      </c>
      <c r="C9" s="93" t="s">
        <v>941</v>
      </c>
      <c r="D9" s="63">
        <v>1</v>
      </c>
      <c r="E9" s="93" t="s">
        <v>945</v>
      </c>
      <c r="F9" s="63">
        <v>2</v>
      </c>
      <c r="G9" s="63"/>
      <c r="H9" s="63"/>
      <c r="I9" s="93" t="s">
        <v>930</v>
      </c>
      <c r="J9" s="63">
        <v>2</v>
      </c>
      <c r="K9" s="63"/>
      <c r="L9" s="63"/>
    </row>
    <row r="10" spans="1:12" ht="15">
      <c r="A10" s="94" t="s">
        <v>933</v>
      </c>
      <c r="B10" s="63">
        <v>5</v>
      </c>
      <c r="C10" s="93" t="s">
        <v>927</v>
      </c>
      <c r="D10" s="63">
        <v>1</v>
      </c>
      <c r="E10" s="93" t="s">
        <v>946</v>
      </c>
      <c r="F10" s="63">
        <v>2</v>
      </c>
      <c r="G10" s="63"/>
      <c r="H10" s="63"/>
      <c r="I10" s="93" t="s">
        <v>931</v>
      </c>
      <c r="J10" s="63">
        <v>2</v>
      </c>
      <c r="K10" s="63"/>
      <c r="L10" s="63"/>
    </row>
    <row r="11" spans="1:12" ht="15">
      <c r="A11" s="94" t="s">
        <v>934</v>
      </c>
      <c r="B11" s="63">
        <v>4</v>
      </c>
      <c r="C11" s="93" t="s">
        <v>930</v>
      </c>
      <c r="D11" s="63">
        <v>1</v>
      </c>
      <c r="E11" s="93" t="s">
        <v>947</v>
      </c>
      <c r="F11" s="63">
        <v>1</v>
      </c>
      <c r="G11" s="63"/>
      <c r="H11" s="63"/>
      <c r="I11" s="93" t="s">
        <v>953</v>
      </c>
      <c r="J11" s="63">
        <v>1</v>
      </c>
      <c r="K11" s="63"/>
      <c r="L11" s="63"/>
    </row>
    <row r="14" spans="1:12" ht="15" customHeight="1">
      <c r="A14" s="7" t="s">
        <v>964</v>
      </c>
      <c r="B14" s="7" t="s">
        <v>935</v>
      </c>
      <c r="C14" s="7" t="s">
        <v>965</v>
      </c>
      <c r="D14" s="7" t="s">
        <v>943</v>
      </c>
      <c r="E14" s="7" t="s">
        <v>966</v>
      </c>
      <c r="F14" s="7" t="s">
        <v>949</v>
      </c>
      <c r="G14" s="7" t="s">
        <v>967</v>
      </c>
      <c r="H14" s="7" t="s">
        <v>951</v>
      </c>
      <c r="I14" s="7" t="s">
        <v>968</v>
      </c>
      <c r="J14" s="7" t="s">
        <v>955</v>
      </c>
      <c r="K14" s="7" t="s">
        <v>969</v>
      </c>
      <c r="L14" s="7" t="s">
        <v>957</v>
      </c>
    </row>
    <row r="15" spans="1:12" ht="15">
      <c r="A15" s="63" t="s">
        <v>403</v>
      </c>
      <c r="B15" s="63">
        <v>49</v>
      </c>
      <c r="C15" s="63" t="s">
        <v>403</v>
      </c>
      <c r="D15" s="63">
        <v>12</v>
      </c>
      <c r="E15" s="63" t="s">
        <v>403</v>
      </c>
      <c r="F15" s="63">
        <v>18</v>
      </c>
      <c r="G15" s="63" t="s">
        <v>403</v>
      </c>
      <c r="H15" s="63">
        <v>10</v>
      </c>
      <c r="I15" s="63" t="s">
        <v>407</v>
      </c>
      <c r="J15" s="63">
        <v>15</v>
      </c>
      <c r="K15" s="63" t="s">
        <v>407</v>
      </c>
      <c r="L15" s="63">
        <v>3</v>
      </c>
    </row>
    <row r="16" spans="1:12" ht="15">
      <c r="A16" s="66" t="s">
        <v>407</v>
      </c>
      <c r="B16" s="63">
        <v>33</v>
      </c>
      <c r="C16" s="63" t="s">
        <v>406</v>
      </c>
      <c r="D16" s="63">
        <v>5</v>
      </c>
      <c r="E16" s="63" t="s">
        <v>407</v>
      </c>
      <c r="F16" s="63">
        <v>14</v>
      </c>
      <c r="G16" s="63" t="s">
        <v>417</v>
      </c>
      <c r="H16" s="63">
        <v>1</v>
      </c>
      <c r="I16" s="63" t="s">
        <v>417</v>
      </c>
      <c r="J16" s="63">
        <v>11</v>
      </c>
      <c r="K16" s="63" t="s">
        <v>411</v>
      </c>
      <c r="L16" s="63">
        <v>1</v>
      </c>
    </row>
    <row r="17" spans="1:12" ht="15">
      <c r="A17" s="66" t="s">
        <v>417</v>
      </c>
      <c r="B17" s="63">
        <v>19</v>
      </c>
      <c r="C17" s="63" t="s">
        <v>417</v>
      </c>
      <c r="D17" s="63">
        <v>4</v>
      </c>
      <c r="E17" s="63" t="s">
        <v>402</v>
      </c>
      <c r="F17" s="63">
        <v>3</v>
      </c>
      <c r="G17" s="63"/>
      <c r="H17" s="63"/>
      <c r="I17" s="63" t="s">
        <v>403</v>
      </c>
      <c r="J17" s="63">
        <v>8</v>
      </c>
      <c r="K17" s="63" t="s">
        <v>403</v>
      </c>
      <c r="L17" s="63">
        <v>1</v>
      </c>
    </row>
    <row r="18" spans="1:12" ht="15">
      <c r="A18" s="66" t="s">
        <v>406</v>
      </c>
      <c r="B18" s="63">
        <v>10</v>
      </c>
      <c r="C18" s="63" t="s">
        <v>411</v>
      </c>
      <c r="D18" s="63">
        <v>1</v>
      </c>
      <c r="E18" s="63" t="s">
        <v>409</v>
      </c>
      <c r="F18" s="63">
        <v>3</v>
      </c>
      <c r="G18" s="63"/>
      <c r="H18" s="63"/>
      <c r="I18" s="63" t="s">
        <v>404</v>
      </c>
      <c r="J18" s="63">
        <v>3</v>
      </c>
      <c r="K18" s="63" t="s">
        <v>417</v>
      </c>
      <c r="L18" s="63">
        <v>1</v>
      </c>
    </row>
    <row r="19" spans="1:12" ht="15">
      <c r="A19" s="66" t="s">
        <v>402</v>
      </c>
      <c r="B19" s="63">
        <v>5</v>
      </c>
      <c r="C19" s="63" t="s">
        <v>407</v>
      </c>
      <c r="D19" s="63">
        <v>1</v>
      </c>
      <c r="E19" s="63" t="s">
        <v>406</v>
      </c>
      <c r="F19" s="63">
        <v>2</v>
      </c>
      <c r="G19" s="63"/>
      <c r="H19" s="63"/>
      <c r="I19" s="63" t="s">
        <v>406</v>
      </c>
      <c r="J19" s="63">
        <v>3</v>
      </c>
      <c r="K19" s="63"/>
      <c r="L19" s="63"/>
    </row>
    <row r="20" spans="1:12" ht="15">
      <c r="A20" s="66" t="s">
        <v>404</v>
      </c>
      <c r="B20" s="63">
        <v>5</v>
      </c>
      <c r="C20" s="63" t="s">
        <v>410</v>
      </c>
      <c r="D20" s="63">
        <v>1</v>
      </c>
      <c r="E20" s="63" t="s">
        <v>417</v>
      </c>
      <c r="F20" s="63">
        <v>2</v>
      </c>
      <c r="G20" s="63"/>
      <c r="H20" s="63"/>
      <c r="I20" s="63" t="s">
        <v>414</v>
      </c>
      <c r="J20" s="63">
        <v>2</v>
      </c>
      <c r="K20" s="63"/>
      <c r="L20" s="63"/>
    </row>
    <row r="21" spans="1:12" ht="15">
      <c r="A21" s="66" t="s">
        <v>409</v>
      </c>
      <c r="B21" s="63">
        <v>4</v>
      </c>
      <c r="C21" s="63" t="s">
        <v>404</v>
      </c>
      <c r="D21" s="63">
        <v>1</v>
      </c>
      <c r="E21" s="63" t="s">
        <v>415</v>
      </c>
      <c r="F21" s="63">
        <v>2</v>
      </c>
      <c r="G21" s="63"/>
      <c r="H21" s="63"/>
      <c r="I21" s="63" t="s">
        <v>402</v>
      </c>
      <c r="J21" s="63">
        <v>2</v>
      </c>
      <c r="K21" s="63"/>
      <c r="L21" s="63"/>
    </row>
    <row r="22" spans="1:12" ht="15">
      <c r="A22" s="66" t="s">
        <v>415</v>
      </c>
      <c r="B22" s="63">
        <v>4</v>
      </c>
      <c r="C22" s="63"/>
      <c r="D22" s="63"/>
      <c r="E22" s="63" t="s">
        <v>413</v>
      </c>
      <c r="F22" s="63">
        <v>1</v>
      </c>
      <c r="G22" s="63"/>
      <c r="H22" s="63"/>
      <c r="I22" s="63" t="s">
        <v>415</v>
      </c>
      <c r="J22" s="63">
        <v>2</v>
      </c>
      <c r="K22" s="63"/>
      <c r="L22" s="63"/>
    </row>
    <row r="23" spans="1:12" ht="15">
      <c r="A23" s="66" t="s">
        <v>411</v>
      </c>
      <c r="B23" s="63">
        <v>3</v>
      </c>
      <c r="C23" s="63"/>
      <c r="D23" s="63"/>
      <c r="E23" s="63" t="s">
        <v>404</v>
      </c>
      <c r="F23" s="63">
        <v>1</v>
      </c>
      <c r="G23" s="63"/>
      <c r="H23" s="63"/>
      <c r="I23" s="63" t="s">
        <v>409</v>
      </c>
      <c r="J23" s="63">
        <v>1</v>
      </c>
      <c r="K23" s="63"/>
      <c r="L23" s="63"/>
    </row>
    <row r="24" spans="1:12" ht="15">
      <c r="A24" s="66" t="s">
        <v>414</v>
      </c>
      <c r="B24" s="63">
        <v>3</v>
      </c>
      <c r="C24" s="63"/>
      <c r="D24" s="63"/>
      <c r="E24" s="63" t="s">
        <v>414</v>
      </c>
      <c r="F24" s="63">
        <v>1</v>
      </c>
      <c r="G24" s="63"/>
      <c r="H24" s="63"/>
      <c r="I24" s="63" t="s">
        <v>413</v>
      </c>
      <c r="J24" s="63">
        <v>1</v>
      </c>
      <c r="K24" s="63"/>
      <c r="L24" s="63"/>
    </row>
    <row r="27" spans="1:12" ht="15" customHeight="1">
      <c r="A27" s="7" t="s">
        <v>975</v>
      </c>
      <c r="B27" s="7" t="s">
        <v>935</v>
      </c>
      <c r="C27" s="7" t="s">
        <v>984</v>
      </c>
      <c r="D27" s="7" t="s">
        <v>943</v>
      </c>
      <c r="E27" s="7" t="s">
        <v>988</v>
      </c>
      <c r="F27" s="7" t="s">
        <v>949</v>
      </c>
      <c r="G27" s="7" t="s">
        <v>989</v>
      </c>
      <c r="H27" s="7" t="s">
        <v>951</v>
      </c>
      <c r="I27" s="7" t="s">
        <v>990</v>
      </c>
      <c r="J27" s="7" t="s">
        <v>955</v>
      </c>
      <c r="K27" s="7" t="s">
        <v>992</v>
      </c>
      <c r="L27" s="7" t="s">
        <v>957</v>
      </c>
    </row>
    <row r="28" spans="1:12" ht="15">
      <c r="A28" s="63" t="s">
        <v>421</v>
      </c>
      <c r="B28" s="63">
        <v>137</v>
      </c>
      <c r="C28" s="63" t="s">
        <v>421</v>
      </c>
      <c r="D28" s="63">
        <v>24</v>
      </c>
      <c r="E28" s="63" t="s">
        <v>421</v>
      </c>
      <c r="F28" s="63">
        <v>49</v>
      </c>
      <c r="G28" s="63" t="s">
        <v>421</v>
      </c>
      <c r="H28" s="63">
        <v>12</v>
      </c>
      <c r="I28" s="63" t="s">
        <v>421</v>
      </c>
      <c r="J28" s="63">
        <v>42</v>
      </c>
      <c r="K28" s="63" t="s">
        <v>421</v>
      </c>
      <c r="L28" s="63">
        <v>10</v>
      </c>
    </row>
    <row r="29" spans="1:12" ht="15">
      <c r="A29" s="66" t="s">
        <v>976</v>
      </c>
      <c r="B29" s="63">
        <v>52</v>
      </c>
      <c r="C29" s="63" t="s">
        <v>977</v>
      </c>
      <c r="D29" s="63">
        <v>10</v>
      </c>
      <c r="E29" s="63" t="s">
        <v>976</v>
      </c>
      <c r="F29" s="63">
        <v>19</v>
      </c>
      <c r="G29" s="63" t="s">
        <v>977</v>
      </c>
      <c r="H29" s="63">
        <v>8</v>
      </c>
      <c r="I29" s="63" t="s">
        <v>976</v>
      </c>
      <c r="J29" s="63">
        <v>20</v>
      </c>
      <c r="K29" s="63" t="s">
        <v>976</v>
      </c>
      <c r="L29" s="63">
        <v>2</v>
      </c>
    </row>
    <row r="30" spans="1:12" ht="15">
      <c r="A30" s="66" t="s">
        <v>977</v>
      </c>
      <c r="B30" s="63">
        <v>36</v>
      </c>
      <c r="C30" s="63" t="s">
        <v>976</v>
      </c>
      <c r="D30" s="63">
        <v>7</v>
      </c>
      <c r="E30" s="63" t="s">
        <v>980</v>
      </c>
      <c r="F30" s="63">
        <v>13</v>
      </c>
      <c r="G30" s="63" t="s">
        <v>976</v>
      </c>
      <c r="H30" s="63">
        <v>4</v>
      </c>
      <c r="I30" s="63" t="s">
        <v>978</v>
      </c>
      <c r="J30" s="63">
        <v>15</v>
      </c>
      <c r="K30" s="63" t="s">
        <v>987</v>
      </c>
      <c r="L30" s="63">
        <v>1</v>
      </c>
    </row>
    <row r="31" spans="1:12" ht="15">
      <c r="A31" s="66" t="s">
        <v>978</v>
      </c>
      <c r="B31" s="63">
        <v>30</v>
      </c>
      <c r="C31" s="63" t="s">
        <v>982</v>
      </c>
      <c r="D31" s="63">
        <v>6</v>
      </c>
      <c r="E31" s="63" t="s">
        <v>978</v>
      </c>
      <c r="F31" s="63">
        <v>13</v>
      </c>
      <c r="G31" s="63" t="s">
        <v>987</v>
      </c>
      <c r="H31" s="63">
        <v>3</v>
      </c>
      <c r="I31" s="63" t="s">
        <v>979</v>
      </c>
      <c r="J31" s="63">
        <v>15</v>
      </c>
      <c r="K31" s="63" t="s">
        <v>977</v>
      </c>
      <c r="L31" s="63">
        <v>1</v>
      </c>
    </row>
    <row r="32" spans="1:12" ht="15">
      <c r="A32" s="66" t="s">
        <v>979</v>
      </c>
      <c r="B32" s="63">
        <v>30</v>
      </c>
      <c r="C32" s="63" t="s">
        <v>981</v>
      </c>
      <c r="D32" s="63">
        <v>5</v>
      </c>
      <c r="E32" s="63" t="s">
        <v>979</v>
      </c>
      <c r="F32" s="63">
        <v>13</v>
      </c>
      <c r="G32" s="63" t="s">
        <v>982</v>
      </c>
      <c r="H32" s="63">
        <v>2</v>
      </c>
      <c r="I32" s="63" t="s">
        <v>980</v>
      </c>
      <c r="J32" s="63">
        <v>14</v>
      </c>
      <c r="K32" s="63" t="s">
        <v>980</v>
      </c>
      <c r="L32" s="63">
        <v>1</v>
      </c>
    </row>
    <row r="33" spans="1:12" ht="15">
      <c r="A33" s="66" t="s">
        <v>980</v>
      </c>
      <c r="B33" s="63">
        <v>29</v>
      </c>
      <c r="C33" s="63" t="s">
        <v>983</v>
      </c>
      <c r="D33" s="63">
        <v>4</v>
      </c>
      <c r="E33" s="63" t="s">
        <v>977</v>
      </c>
      <c r="F33" s="63">
        <v>12</v>
      </c>
      <c r="G33" s="63" t="s">
        <v>983</v>
      </c>
      <c r="H33" s="63">
        <v>1</v>
      </c>
      <c r="I33" s="63" t="s">
        <v>983</v>
      </c>
      <c r="J33" s="63">
        <v>6</v>
      </c>
      <c r="K33" s="63" t="s">
        <v>978</v>
      </c>
      <c r="L33" s="63">
        <v>1</v>
      </c>
    </row>
    <row r="34" spans="1:12" ht="15">
      <c r="A34" s="66" t="s">
        <v>981</v>
      </c>
      <c r="B34" s="63">
        <v>21</v>
      </c>
      <c r="C34" s="63" t="s">
        <v>985</v>
      </c>
      <c r="D34" s="63">
        <v>4</v>
      </c>
      <c r="E34" s="63" t="s">
        <v>981</v>
      </c>
      <c r="F34" s="63">
        <v>10</v>
      </c>
      <c r="G34" s="63" t="s">
        <v>985</v>
      </c>
      <c r="H34" s="63">
        <v>1</v>
      </c>
      <c r="I34" s="63" t="s">
        <v>981</v>
      </c>
      <c r="J34" s="63">
        <v>5</v>
      </c>
      <c r="K34" s="63" t="s">
        <v>979</v>
      </c>
      <c r="L34" s="63">
        <v>1</v>
      </c>
    </row>
    <row r="35" spans="1:12" ht="15">
      <c r="A35" s="66" t="s">
        <v>982</v>
      </c>
      <c r="B35" s="63">
        <v>18</v>
      </c>
      <c r="C35" s="63" t="s">
        <v>875</v>
      </c>
      <c r="D35" s="63">
        <v>4</v>
      </c>
      <c r="E35" s="63" t="s">
        <v>982</v>
      </c>
      <c r="F35" s="63">
        <v>7</v>
      </c>
      <c r="G35" s="63" t="s">
        <v>875</v>
      </c>
      <c r="H35" s="63">
        <v>1</v>
      </c>
      <c r="I35" s="63" t="s">
        <v>991</v>
      </c>
      <c r="J35" s="63">
        <v>5</v>
      </c>
      <c r="K35" s="63"/>
      <c r="L35" s="63"/>
    </row>
    <row r="36" spans="1:12" ht="15">
      <c r="A36" s="66" t="s">
        <v>875</v>
      </c>
      <c r="B36" s="63">
        <v>16</v>
      </c>
      <c r="C36" s="63" t="s">
        <v>986</v>
      </c>
      <c r="D36" s="63">
        <v>1</v>
      </c>
      <c r="E36" s="63" t="s">
        <v>875</v>
      </c>
      <c r="F36" s="63">
        <v>6</v>
      </c>
      <c r="G36" s="63" t="s">
        <v>986</v>
      </c>
      <c r="H36" s="63">
        <v>1</v>
      </c>
      <c r="I36" s="63" t="s">
        <v>875</v>
      </c>
      <c r="J36" s="63">
        <v>5</v>
      </c>
      <c r="K36" s="63"/>
      <c r="L36" s="63"/>
    </row>
    <row r="37" spans="1:12" ht="15">
      <c r="A37" s="66" t="s">
        <v>983</v>
      </c>
      <c r="B37" s="63">
        <v>16</v>
      </c>
      <c r="C37" s="63" t="s">
        <v>987</v>
      </c>
      <c r="D37" s="63">
        <v>1</v>
      </c>
      <c r="E37" s="63" t="s">
        <v>985</v>
      </c>
      <c r="F37" s="63">
        <v>5</v>
      </c>
      <c r="G37" s="63" t="s">
        <v>981</v>
      </c>
      <c r="H37" s="63">
        <v>1</v>
      </c>
      <c r="I37" s="63" t="s">
        <v>977</v>
      </c>
      <c r="J37" s="63">
        <v>5</v>
      </c>
      <c r="K37" s="63"/>
      <c r="L37" s="63"/>
    </row>
    <row r="40" spans="1:12" ht="15" customHeight="1">
      <c r="A40" s="7" t="s">
        <v>999</v>
      </c>
      <c r="B40" s="7" t="s">
        <v>935</v>
      </c>
      <c r="C40" s="7" t="s">
        <v>1008</v>
      </c>
      <c r="D40" s="7" t="s">
        <v>943</v>
      </c>
      <c r="E40" s="7" t="s">
        <v>1011</v>
      </c>
      <c r="F40" s="7" t="s">
        <v>949</v>
      </c>
      <c r="G40" s="7" t="s">
        <v>1014</v>
      </c>
      <c r="H40" s="7" t="s">
        <v>951</v>
      </c>
      <c r="I40" s="7" t="s">
        <v>1017</v>
      </c>
      <c r="J40" s="7" t="s">
        <v>955</v>
      </c>
      <c r="K40" s="7" t="s">
        <v>1018</v>
      </c>
      <c r="L40" s="7" t="s">
        <v>957</v>
      </c>
    </row>
    <row r="41" spans="1:12" ht="15">
      <c r="A41" s="96" t="s">
        <v>1000</v>
      </c>
      <c r="B41" s="96">
        <v>137</v>
      </c>
      <c r="C41" s="96" t="s">
        <v>1000</v>
      </c>
      <c r="D41" s="96">
        <v>24</v>
      </c>
      <c r="E41" s="96" t="s">
        <v>1000</v>
      </c>
      <c r="F41" s="96">
        <v>49</v>
      </c>
      <c r="G41" s="96" t="s">
        <v>1000</v>
      </c>
      <c r="H41" s="96">
        <v>12</v>
      </c>
      <c r="I41" s="96" t="s">
        <v>1000</v>
      </c>
      <c r="J41" s="96">
        <v>42</v>
      </c>
      <c r="K41" s="96" t="s">
        <v>1000</v>
      </c>
      <c r="L41" s="96">
        <v>10</v>
      </c>
    </row>
    <row r="42" spans="1:12" ht="15">
      <c r="A42" s="97" t="s">
        <v>982</v>
      </c>
      <c r="B42" s="96">
        <v>58</v>
      </c>
      <c r="C42" s="96" t="s">
        <v>1005</v>
      </c>
      <c r="D42" s="96">
        <v>10</v>
      </c>
      <c r="E42" s="96" t="s">
        <v>1002</v>
      </c>
      <c r="F42" s="96">
        <v>21</v>
      </c>
      <c r="G42" s="96" t="s">
        <v>1005</v>
      </c>
      <c r="H42" s="96">
        <v>8</v>
      </c>
      <c r="I42" s="96" t="s">
        <v>982</v>
      </c>
      <c r="J42" s="96">
        <v>22</v>
      </c>
      <c r="K42" s="96" t="s">
        <v>1019</v>
      </c>
      <c r="L42" s="96">
        <v>4</v>
      </c>
    </row>
    <row r="43" spans="1:12" ht="15">
      <c r="A43" s="97" t="s">
        <v>1001</v>
      </c>
      <c r="B43" s="96">
        <v>52</v>
      </c>
      <c r="C43" s="96" t="s">
        <v>1009</v>
      </c>
      <c r="D43" s="96">
        <v>9</v>
      </c>
      <c r="E43" s="96" t="s">
        <v>982</v>
      </c>
      <c r="F43" s="96">
        <v>21</v>
      </c>
      <c r="G43" s="96" t="s">
        <v>1009</v>
      </c>
      <c r="H43" s="96">
        <v>6</v>
      </c>
      <c r="I43" s="96" t="s">
        <v>1001</v>
      </c>
      <c r="J43" s="96">
        <v>20</v>
      </c>
      <c r="K43" s="96" t="s">
        <v>982</v>
      </c>
      <c r="L43" s="96">
        <v>4</v>
      </c>
    </row>
    <row r="44" spans="1:12" ht="15">
      <c r="A44" s="97" t="s">
        <v>1002</v>
      </c>
      <c r="B44" s="96">
        <v>52</v>
      </c>
      <c r="C44" s="96" t="s">
        <v>982</v>
      </c>
      <c r="D44" s="96">
        <v>9</v>
      </c>
      <c r="E44" s="96" t="s">
        <v>1003</v>
      </c>
      <c r="F44" s="96">
        <v>20</v>
      </c>
      <c r="G44" s="96" t="s">
        <v>307</v>
      </c>
      <c r="H44" s="96">
        <v>5</v>
      </c>
      <c r="I44" s="96" t="s">
        <v>1002</v>
      </c>
      <c r="J44" s="96">
        <v>20</v>
      </c>
      <c r="K44" s="96" t="s">
        <v>1020</v>
      </c>
      <c r="L44" s="96">
        <v>4</v>
      </c>
    </row>
    <row r="45" spans="1:12" ht="15">
      <c r="A45" s="97" t="s">
        <v>1003</v>
      </c>
      <c r="B45" s="96">
        <v>51</v>
      </c>
      <c r="C45" s="96" t="s">
        <v>1010</v>
      </c>
      <c r="D45" s="96">
        <v>7</v>
      </c>
      <c r="E45" s="96" t="s">
        <v>1001</v>
      </c>
      <c r="F45" s="96">
        <v>19</v>
      </c>
      <c r="G45" s="96" t="s">
        <v>301</v>
      </c>
      <c r="H45" s="96">
        <v>5</v>
      </c>
      <c r="I45" s="96" t="s">
        <v>875</v>
      </c>
      <c r="J45" s="96">
        <v>20</v>
      </c>
      <c r="K45" s="96" t="s">
        <v>1021</v>
      </c>
      <c r="L45" s="96">
        <v>4</v>
      </c>
    </row>
    <row r="46" spans="1:12" ht="15">
      <c r="A46" s="97" t="s">
        <v>1004</v>
      </c>
      <c r="B46" s="96">
        <v>41</v>
      </c>
      <c r="C46" s="96" t="s">
        <v>1001</v>
      </c>
      <c r="D46" s="96">
        <v>7</v>
      </c>
      <c r="E46" s="96" t="s">
        <v>1004</v>
      </c>
      <c r="F46" s="96">
        <v>18</v>
      </c>
      <c r="G46" s="96" t="s">
        <v>305</v>
      </c>
      <c r="H46" s="96">
        <v>5</v>
      </c>
      <c r="I46" s="96" t="s">
        <v>1003</v>
      </c>
      <c r="J46" s="96">
        <v>20</v>
      </c>
      <c r="K46" s="96" t="s">
        <v>1022</v>
      </c>
      <c r="L46" s="96">
        <v>4</v>
      </c>
    </row>
    <row r="47" spans="1:12" ht="15">
      <c r="A47" s="97" t="s">
        <v>875</v>
      </c>
      <c r="B47" s="96">
        <v>39</v>
      </c>
      <c r="C47" s="96" t="s">
        <v>307</v>
      </c>
      <c r="D47" s="96">
        <v>6</v>
      </c>
      <c r="E47" s="96" t="s">
        <v>875</v>
      </c>
      <c r="F47" s="96">
        <v>17</v>
      </c>
      <c r="G47" s="96" t="s">
        <v>1010</v>
      </c>
      <c r="H47" s="96">
        <v>5</v>
      </c>
      <c r="I47" s="96" t="s">
        <v>1004</v>
      </c>
      <c r="J47" s="96">
        <v>17</v>
      </c>
      <c r="K47" s="96" t="s">
        <v>1023</v>
      </c>
      <c r="L47" s="96">
        <v>4</v>
      </c>
    </row>
    <row r="48" spans="1:12" ht="15">
      <c r="A48" s="97" t="s">
        <v>1005</v>
      </c>
      <c r="B48" s="96">
        <v>36</v>
      </c>
      <c r="C48" s="96" t="s">
        <v>1003</v>
      </c>
      <c r="D48" s="96">
        <v>6</v>
      </c>
      <c r="E48" s="96" t="s">
        <v>1007</v>
      </c>
      <c r="F48" s="96">
        <v>13</v>
      </c>
      <c r="G48" s="96" t="s">
        <v>308</v>
      </c>
      <c r="H48" s="96">
        <v>5</v>
      </c>
      <c r="I48" s="96" t="s">
        <v>1006</v>
      </c>
      <c r="J48" s="96">
        <v>16</v>
      </c>
      <c r="K48" s="96" t="s">
        <v>1024</v>
      </c>
      <c r="L48" s="96">
        <v>2</v>
      </c>
    </row>
    <row r="49" spans="1:12" ht="15">
      <c r="A49" s="97" t="s">
        <v>1006</v>
      </c>
      <c r="B49" s="96">
        <v>31</v>
      </c>
      <c r="C49" s="96" t="s">
        <v>308</v>
      </c>
      <c r="D49" s="96">
        <v>6</v>
      </c>
      <c r="E49" s="96" t="s">
        <v>1012</v>
      </c>
      <c r="F49" s="96">
        <v>13</v>
      </c>
      <c r="G49" s="96" t="s">
        <v>1015</v>
      </c>
      <c r="H49" s="96">
        <v>4</v>
      </c>
      <c r="I49" s="96" t="s">
        <v>1007</v>
      </c>
      <c r="J49" s="96">
        <v>15</v>
      </c>
      <c r="K49" s="96" t="s">
        <v>1002</v>
      </c>
      <c r="L49" s="96">
        <v>2</v>
      </c>
    </row>
    <row r="50" spans="1:12" ht="15">
      <c r="A50" s="97" t="s">
        <v>1007</v>
      </c>
      <c r="B50" s="96">
        <v>30</v>
      </c>
      <c r="C50" s="96" t="s">
        <v>976</v>
      </c>
      <c r="D50" s="96">
        <v>6</v>
      </c>
      <c r="E50" s="96" t="s">
        <v>1013</v>
      </c>
      <c r="F50" s="96">
        <v>13</v>
      </c>
      <c r="G50" s="96" t="s">
        <v>1016</v>
      </c>
      <c r="H50" s="96">
        <v>4</v>
      </c>
      <c r="I50" s="96" t="s">
        <v>1013</v>
      </c>
      <c r="J50" s="96">
        <v>15</v>
      </c>
      <c r="K50" s="96" t="s">
        <v>1025</v>
      </c>
      <c r="L50" s="96">
        <v>2</v>
      </c>
    </row>
    <row r="53" spans="1:12" ht="15" customHeight="1">
      <c r="A53" s="7" t="s">
        <v>1032</v>
      </c>
      <c r="B53" s="7" t="s">
        <v>935</v>
      </c>
      <c r="C53" s="7" t="s">
        <v>1043</v>
      </c>
      <c r="D53" s="7" t="s">
        <v>943</v>
      </c>
      <c r="E53" s="7" t="s">
        <v>1051</v>
      </c>
      <c r="F53" s="7" t="s">
        <v>949</v>
      </c>
      <c r="G53" s="7" t="s">
        <v>1054</v>
      </c>
      <c r="H53" s="7" t="s">
        <v>951</v>
      </c>
      <c r="I53" s="7" t="s">
        <v>1064</v>
      </c>
      <c r="J53" s="7" t="s">
        <v>955</v>
      </c>
      <c r="K53" s="7" t="s">
        <v>1065</v>
      </c>
      <c r="L53" s="7" t="s">
        <v>957</v>
      </c>
    </row>
    <row r="54" spans="1:12" ht="15">
      <c r="A54" s="96" t="s">
        <v>1033</v>
      </c>
      <c r="B54" s="96">
        <v>41</v>
      </c>
      <c r="C54" s="96" t="s">
        <v>1044</v>
      </c>
      <c r="D54" s="96">
        <v>6</v>
      </c>
      <c r="E54" s="96" t="s">
        <v>1034</v>
      </c>
      <c r="F54" s="96">
        <v>18</v>
      </c>
      <c r="G54" s="96" t="s">
        <v>1044</v>
      </c>
      <c r="H54" s="96">
        <v>5</v>
      </c>
      <c r="I54" s="96" t="s">
        <v>1035</v>
      </c>
      <c r="J54" s="96">
        <v>17</v>
      </c>
      <c r="K54" s="96" t="s">
        <v>1066</v>
      </c>
      <c r="L54" s="96">
        <v>4</v>
      </c>
    </row>
    <row r="55" spans="1:12" ht="15">
      <c r="A55" s="97" t="s">
        <v>1034</v>
      </c>
      <c r="B55" s="96">
        <v>41</v>
      </c>
      <c r="C55" s="96" t="s">
        <v>1036</v>
      </c>
      <c r="D55" s="96">
        <v>5</v>
      </c>
      <c r="E55" s="96" t="s">
        <v>1033</v>
      </c>
      <c r="F55" s="96">
        <v>18</v>
      </c>
      <c r="G55" s="96" t="s">
        <v>1055</v>
      </c>
      <c r="H55" s="96">
        <v>4</v>
      </c>
      <c r="I55" s="96" t="s">
        <v>1033</v>
      </c>
      <c r="J55" s="96">
        <v>17</v>
      </c>
      <c r="K55" s="96" t="s">
        <v>1067</v>
      </c>
      <c r="L55" s="96">
        <v>4</v>
      </c>
    </row>
    <row r="56" spans="1:12" ht="15">
      <c r="A56" s="97" t="s">
        <v>1035</v>
      </c>
      <c r="B56" s="96">
        <v>40</v>
      </c>
      <c r="C56" s="96" t="s">
        <v>1034</v>
      </c>
      <c r="D56" s="96">
        <v>5</v>
      </c>
      <c r="E56" s="96" t="s">
        <v>1035</v>
      </c>
      <c r="F56" s="96">
        <v>16</v>
      </c>
      <c r="G56" s="96" t="s">
        <v>1056</v>
      </c>
      <c r="H56" s="96">
        <v>4</v>
      </c>
      <c r="I56" s="96" t="s">
        <v>1034</v>
      </c>
      <c r="J56" s="96">
        <v>17</v>
      </c>
      <c r="K56" s="96" t="s">
        <v>1068</v>
      </c>
      <c r="L56" s="96">
        <v>4</v>
      </c>
    </row>
    <row r="57" spans="1:12" ht="15">
      <c r="A57" s="97" t="s">
        <v>1036</v>
      </c>
      <c r="B57" s="96">
        <v>36</v>
      </c>
      <c r="C57" s="96" t="s">
        <v>1033</v>
      </c>
      <c r="D57" s="96">
        <v>5</v>
      </c>
      <c r="E57" s="96" t="s">
        <v>1036</v>
      </c>
      <c r="F57" s="96">
        <v>14</v>
      </c>
      <c r="G57" s="96" t="s">
        <v>1057</v>
      </c>
      <c r="H57" s="96">
        <v>4</v>
      </c>
      <c r="I57" s="96" t="s">
        <v>1036</v>
      </c>
      <c r="J57" s="96">
        <v>16</v>
      </c>
      <c r="K57" s="96" t="s">
        <v>1069</v>
      </c>
      <c r="L57" s="96">
        <v>4</v>
      </c>
    </row>
    <row r="58" spans="1:12" ht="15">
      <c r="A58" s="97" t="s">
        <v>1037</v>
      </c>
      <c r="B58" s="96">
        <v>30</v>
      </c>
      <c r="C58" s="96" t="s">
        <v>1045</v>
      </c>
      <c r="D58" s="96">
        <v>4</v>
      </c>
      <c r="E58" s="96" t="s">
        <v>1052</v>
      </c>
      <c r="F58" s="96">
        <v>13</v>
      </c>
      <c r="G58" s="96" t="s">
        <v>1058</v>
      </c>
      <c r="H58" s="96">
        <v>4</v>
      </c>
      <c r="I58" s="96" t="s">
        <v>1037</v>
      </c>
      <c r="J58" s="96">
        <v>15</v>
      </c>
      <c r="K58" s="96" t="s">
        <v>1070</v>
      </c>
      <c r="L58" s="96">
        <v>2</v>
      </c>
    </row>
    <row r="59" spans="1:12" ht="15">
      <c r="A59" s="97" t="s">
        <v>1038</v>
      </c>
      <c r="B59" s="96">
        <v>30</v>
      </c>
      <c r="C59" s="96" t="s">
        <v>1046</v>
      </c>
      <c r="D59" s="96">
        <v>4</v>
      </c>
      <c r="E59" s="96" t="s">
        <v>1037</v>
      </c>
      <c r="F59" s="96">
        <v>13</v>
      </c>
      <c r="G59" s="96" t="s">
        <v>1059</v>
      </c>
      <c r="H59" s="96">
        <v>4</v>
      </c>
      <c r="I59" s="96" t="s">
        <v>1038</v>
      </c>
      <c r="J59" s="96">
        <v>15</v>
      </c>
      <c r="K59" s="96" t="s">
        <v>1071</v>
      </c>
      <c r="L59" s="96">
        <v>2</v>
      </c>
    </row>
    <row r="60" spans="1:12" ht="15">
      <c r="A60" s="97" t="s">
        <v>1039</v>
      </c>
      <c r="B60" s="96">
        <v>30</v>
      </c>
      <c r="C60" s="96" t="s">
        <v>1047</v>
      </c>
      <c r="D60" s="96">
        <v>4</v>
      </c>
      <c r="E60" s="96" t="s">
        <v>1039</v>
      </c>
      <c r="F60" s="96">
        <v>13</v>
      </c>
      <c r="G60" s="96" t="s">
        <v>1060</v>
      </c>
      <c r="H60" s="96">
        <v>4</v>
      </c>
      <c r="I60" s="96" t="s">
        <v>1039</v>
      </c>
      <c r="J60" s="96">
        <v>15</v>
      </c>
      <c r="K60" s="96" t="s">
        <v>1072</v>
      </c>
      <c r="L60" s="96">
        <v>2</v>
      </c>
    </row>
    <row r="61" spans="1:12" ht="15">
      <c r="A61" s="97" t="s">
        <v>1040</v>
      </c>
      <c r="B61" s="96">
        <v>30</v>
      </c>
      <c r="C61" s="96" t="s">
        <v>1048</v>
      </c>
      <c r="D61" s="96">
        <v>4</v>
      </c>
      <c r="E61" s="96" t="s">
        <v>1041</v>
      </c>
      <c r="F61" s="96">
        <v>13</v>
      </c>
      <c r="G61" s="96" t="s">
        <v>1061</v>
      </c>
      <c r="H61" s="96">
        <v>4</v>
      </c>
      <c r="I61" s="96" t="s">
        <v>1040</v>
      </c>
      <c r="J61" s="96">
        <v>15</v>
      </c>
      <c r="K61" s="96" t="s">
        <v>1073</v>
      </c>
      <c r="L61" s="96">
        <v>2</v>
      </c>
    </row>
    <row r="62" spans="1:12" ht="15">
      <c r="A62" s="97" t="s">
        <v>1041</v>
      </c>
      <c r="B62" s="96">
        <v>30</v>
      </c>
      <c r="C62" s="96" t="s">
        <v>1049</v>
      </c>
      <c r="D62" s="96">
        <v>4</v>
      </c>
      <c r="E62" s="96" t="s">
        <v>1053</v>
      </c>
      <c r="F62" s="96">
        <v>13</v>
      </c>
      <c r="G62" s="96" t="s">
        <v>1062</v>
      </c>
      <c r="H62" s="96">
        <v>4</v>
      </c>
      <c r="I62" s="96" t="s">
        <v>1041</v>
      </c>
      <c r="J62" s="96">
        <v>15</v>
      </c>
      <c r="K62" s="96" t="s">
        <v>1074</v>
      </c>
      <c r="L62" s="96">
        <v>2</v>
      </c>
    </row>
    <row r="63" spans="1:12" ht="15">
      <c r="A63" s="97" t="s">
        <v>1042</v>
      </c>
      <c r="B63" s="96">
        <v>29</v>
      </c>
      <c r="C63" s="96" t="s">
        <v>1050</v>
      </c>
      <c r="D63" s="96">
        <v>4</v>
      </c>
      <c r="E63" s="96" t="s">
        <v>1040</v>
      </c>
      <c r="F63" s="96">
        <v>13</v>
      </c>
      <c r="G63" s="96" t="s">
        <v>1063</v>
      </c>
      <c r="H63" s="96">
        <v>4</v>
      </c>
      <c r="I63" s="96" t="s">
        <v>1042</v>
      </c>
      <c r="J63" s="96">
        <v>14</v>
      </c>
      <c r="K63" s="96" t="s">
        <v>1075</v>
      </c>
      <c r="L63" s="96">
        <v>2</v>
      </c>
    </row>
    <row r="66" spans="1:12" ht="15" customHeight="1">
      <c r="A66" s="63" t="s">
        <v>1082</v>
      </c>
      <c r="B66" s="63" t="s">
        <v>935</v>
      </c>
      <c r="C66" s="63" t="s">
        <v>1084</v>
      </c>
      <c r="D66" s="63" t="s">
        <v>943</v>
      </c>
      <c r="E66" s="63" t="s">
        <v>1085</v>
      </c>
      <c r="F66" s="63" t="s">
        <v>949</v>
      </c>
      <c r="G66" s="63" t="s">
        <v>1088</v>
      </c>
      <c r="H66" s="63" t="s">
        <v>951</v>
      </c>
      <c r="I66" s="63" t="s">
        <v>1090</v>
      </c>
      <c r="J66" s="63" t="s">
        <v>955</v>
      </c>
      <c r="K66" s="63" t="s">
        <v>1092</v>
      </c>
      <c r="L66" s="63" t="s">
        <v>957</v>
      </c>
    </row>
    <row r="67" spans="1:12" ht="15">
      <c r="A67" s="63"/>
      <c r="B67" s="63"/>
      <c r="C67" s="63"/>
      <c r="D67" s="63"/>
      <c r="E67" s="63"/>
      <c r="F67" s="63"/>
      <c r="G67" s="63"/>
      <c r="H67" s="63"/>
      <c r="I67" s="63"/>
      <c r="J67" s="63"/>
      <c r="K67" s="63"/>
      <c r="L67" s="63"/>
    </row>
    <row r="69" spans="1:12" ht="15" customHeight="1">
      <c r="A69" s="7" t="s">
        <v>1083</v>
      </c>
      <c r="B69" s="7" t="s">
        <v>935</v>
      </c>
      <c r="C69" s="7" t="s">
        <v>1086</v>
      </c>
      <c r="D69" s="7" t="s">
        <v>943</v>
      </c>
      <c r="E69" s="7" t="s">
        <v>1087</v>
      </c>
      <c r="F69" s="7" t="s">
        <v>949</v>
      </c>
      <c r="G69" s="7" t="s">
        <v>1089</v>
      </c>
      <c r="H69" s="7" t="s">
        <v>951</v>
      </c>
      <c r="I69" s="7" t="s">
        <v>1091</v>
      </c>
      <c r="J69" s="7" t="s">
        <v>955</v>
      </c>
      <c r="K69" s="7" t="s">
        <v>1093</v>
      </c>
      <c r="L69" s="7" t="s">
        <v>957</v>
      </c>
    </row>
    <row r="70" spans="1:12" ht="15">
      <c r="A70" s="63" t="s">
        <v>307</v>
      </c>
      <c r="B70" s="63">
        <v>16</v>
      </c>
      <c r="C70" s="63" t="s">
        <v>308</v>
      </c>
      <c r="D70" s="63">
        <v>6</v>
      </c>
      <c r="E70" s="63" t="s">
        <v>307</v>
      </c>
      <c r="F70" s="63">
        <v>5</v>
      </c>
      <c r="G70" s="63" t="s">
        <v>301</v>
      </c>
      <c r="H70" s="63">
        <v>5</v>
      </c>
      <c r="I70" s="63" t="s">
        <v>310</v>
      </c>
      <c r="J70" s="63">
        <v>1</v>
      </c>
      <c r="K70" s="63" t="s">
        <v>303</v>
      </c>
      <c r="L70" s="63">
        <v>1</v>
      </c>
    </row>
    <row r="71" spans="1:12" ht="15">
      <c r="A71" s="66" t="s">
        <v>308</v>
      </c>
      <c r="B71" s="63">
        <v>16</v>
      </c>
      <c r="C71" s="63" t="s">
        <v>307</v>
      </c>
      <c r="D71" s="63">
        <v>6</v>
      </c>
      <c r="E71" s="63" t="s">
        <v>305</v>
      </c>
      <c r="F71" s="63">
        <v>4</v>
      </c>
      <c r="G71" s="63" t="s">
        <v>305</v>
      </c>
      <c r="H71" s="63">
        <v>5</v>
      </c>
      <c r="I71" s="63" t="s">
        <v>308</v>
      </c>
      <c r="J71" s="63">
        <v>1</v>
      </c>
      <c r="K71" s="63"/>
      <c r="L71" s="63"/>
    </row>
    <row r="72" spans="1:12" ht="15">
      <c r="A72" s="66" t="s">
        <v>305</v>
      </c>
      <c r="B72" s="63">
        <v>15</v>
      </c>
      <c r="C72" s="63" t="s">
        <v>305</v>
      </c>
      <c r="D72" s="63">
        <v>6</v>
      </c>
      <c r="E72" s="63" t="s">
        <v>308</v>
      </c>
      <c r="F72" s="63">
        <v>4</v>
      </c>
      <c r="G72" s="63" t="s">
        <v>307</v>
      </c>
      <c r="H72" s="63">
        <v>5</v>
      </c>
      <c r="I72" s="63" t="s">
        <v>300</v>
      </c>
      <c r="J72" s="63">
        <v>1</v>
      </c>
      <c r="K72" s="63"/>
      <c r="L72" s="63"/>
    </row>
    <row r="73" spans="1:12" ht="15">
      <c r="A73" s="66" t="s">
        <v>301</v>
      </c>
      <c r="B73" s="63">
        <v>12</v>
      </c>
      <c r="C73" s="63" t="s">
        <v>301</v>
      </c>
      <c r="D73" s="63">
        <v>5</v>
      </c>
      <c r="E73" s="63" t="s">
        <v>310</v>
      </c>
      <c r="F73" s="63">
        <v>3</v>
      </c>
      <c r="G73" s="63" t="s">
        <v>308</v>
      </c>
      <c r="H73" s="63">
        <v>5</v>
      </c>
      <c r="I73" s="63"/>
      <c r="J73" s="63"/>
      <c r="K73" s="63"/>
      <c r="L73" s="63"/>
    </row>
    <row r="74" spans="1:12" ht="15">
      <c r="A74" s="66" t="s">
        <v>310</v>
      </c>
      <c r="B74" s="63">
        <v>9</v>
      </c>
      <c r="C74" s="63" t="s">
        <v>313</v>
      </c>
      <c r="D74" s="63">
        <v>4</v>
      </c>
      <c r="E74" s="63" t="s">
        <v>304</v>
      </c>
      <c r="F74" s="63">
        <v>2</v>
      </c>
      <c r="G74" s="63" t="s">
        <v>300</v>
      </c>
      <c r="H74" s="63">
        <v>4</v>
      </c>
      <c r="I74" s="63"/>
      <c r="J74" s="63"/>
      <c r="K74" s="63"/>
      <c r="L74" s="63"/>
    </row>
    <row r="75" spans="1:12" ht="15">
      <c r="A75" s="66" t="s">
        <v>300</v>
      </c>
      <c r="B75" s="63">
        <v>9</v>
      </c>
      <c r="C75" s="63" t="s">
        <v>312</v>
      </c>
      <c r="D75" s="63">
        <v>4</v>
      </c>
      <c r="E75" s="63" t="s">
        <v>301</v>
      </c>
      <c r="F75" s="63">
        <v>2</v>
      </c>
      <c r="G75" s="63" t="s">
        <v>313</v>
      </c>
      <c r="H75" s="63">
        <v>1</v>
      </c>
      <c r="I75" s="63"/>
      <c r="J75" s="63"/>
      <c r="K75" s="63"/>
      <c r="L75" s="63"/>
    </row>
    <row r="76" spans="1:12" ht="15">
      <c r="A76" s="66" t="s">
        <v>304</v>
      </c>
      <c r="B76" s="63">
        <v>7</v>
      </c>
      <c r="C76" s="63" t="s">
        <v>296</v>
      </c>
      <c r="D76" s="63">
        <v>4</v>
      </c>
      <c r="E76" s="63" t="s">
        <v>300</v>
      </c>
      <c r="F76" s="63">
        <v>2</v>
      </c>
      <c r="G76" s="63" t="s">
        <v>312</v>
      </c>
      <c r="H76" s="63">
        <v>1</v>
      </c>
      <c r="I76" s="63"/>
      <c r="J76" s="63"/>
      <c r="K76" s="63"/>
      <c r="L76" s="63"/>
    </row>
    <row r="77" spans="1:12" ht="15">
      <c r="A77" s="66" t="s">
        <v>313</v>
      </c>
      <c r="B77" s="63">
        <v>6</v>
      </c>
      <c r="C77" s="63" t="s">
        <v>302</v>
      </c>
      <c r="D77" s="63">
        <v>4</v>
      </c>
      <c r="E77" s="63" t="s">
        <v>314</v>
      </c>
      <c r="F77" s="63">
        <v>1</v>
      </c>
      <c r="G77" s="63" t="s">
        <v>296</v>
      </c>
      <c r="H77" s="63">
        <v>1</v>
      </c>
      <c r="I77" s="63"/>
      <c r="J77" s="63"/>
      <c r="K77" s="63"/>
      <c r="L77" s="63"/>
    </row>
    <row r="78" spans="1:12" ht="15">
      <c r="A78" s="66" t="s">
        <v>312</v>
      </c>
      <c r="B78" s="63">
        <v>6</v>
      </c>
      <c r="C78" s="63" t="s">
        <v>311</v>
      </c>
      <c r="D78" s="63">
        <v>4</v>
      </c>
      <c r="E78" s="63" t="s">
        <v>298</v>
      </c>
      <c r="F78" s="63">
        <v>1</v>
      </c>
      <c r="G78" s="63" t="s">
        <v>302</v>
      </c>
      <c r="H78" s="63">
        <v>1</v>
      </c>
      <c r="I78" s="63"/>
      <c r="J78" s="63"/>
      <c r="K78" s="63"/>
      <c r="L78" s="63"/>
    </row>
    <row r="79" spans="1:12" ht="15">
      <c r="A79" s="66" t="s">
        <v>296</v>
      </c>
      <c r="B79" s="63">
        <v>6</v>
      </c>
      <c r="C79" s="63" t="s">
        <v>299</v>
      </c>
      <c r="D79" s="63">
        <v>4</v>
      </c>
      <c r="E79" s="63" t="s">
        <v>313</v>
      </c>
      <c r="F79" s="63">
        <v>1</v>
      </c>
      <c r="G79" s="63" t="s">
        <v>311</v>
      </c>
      <c r="H79" s="63">
        <v>1</v>
      </c>
      <c r="I79" s="63"/>
      <c r="J79" s="63"/>
      <c r="K79" s="63"/>
      <c r="L79" s="63"/>
    </row>
    <row r="82" spans="1:12" ht="15" customHeight="1">
      <c r="A82" s="7" t="s">
        <v>1100</v>
      </c>
      <c r="B82" s="7" t="s">
        <v>935</v>
      </c>
      <c r="C82" s="7" t="s">
        <v>1101</v>
      </c>
      <c r="D82" s="7" t="s">
        <v>943</v>
      </c>
      <c r="E82" s="7" t="s">
        <v>1102</v>
      </c>
      <c r="F82" s="7" t="s">
        <v>949</v>
      </c>
      <c r="G82" s="7" t="s">
        <v>1103</v>
      </c>
      <c r="H82" s="7" t="s">
        <v>951</v>
      </c>
      <c r="I82" s="7" t="s">
        <v>1104</v>
      </c>
      <c r="J82" s="7" t="s">
        <v>955</v>
      </c>
      <c r="K82" s="7" t="s">
        <v>1105</v>
      </c>
      <c r="L82" s="7" t="s">
        <v>957</v>
      </c>
    </row>
    <row r="83" spans="1:12" ht="15">
      <c r="A83" s="61" t="s">
        <v>282</v>
      </c>
      <c r="B83" s="63">
        <v>2132787</v>
      </c>
      <c r="C83" s="61" t="s">
        <v>282</v>
      </c>
      <c r="D83" s="63">
        <v>2132787</v>
      </c>
      <c r="E83" s="61" t="s">
        <v>293</v>
      </c>
      <c r="F83" s="63">
        <v>425339</v>
      </c>
      <c r="G83" s="61" t="s">
        <v>296</v>
      </c>
      <c r="H83" s="63">
        <v>153670</v>
      </c>
      <c r="I83" s="61" t="s">
        <v>306</v>
      </c>
      <c r="J83" s="63">
        <v>62305</v>
      </c>
      <c r="K83" s="61" t="s">
        <v>287</v>
      </c>
      <c r="L83" s="63">
        <v>39480</v>
      </c>
    </row>
    <row r="84" spans="1:12" ht="15">
      <c r="A84" s="103" t="s">
        <v>293</v>
      </c>
      <c r="B84" s="63">
        <v>425339</v>
      </c>
      <c r="C84" s="61" t="s">
        <v>283</v>
      </c>
      <c r="D84" s="63">
        <v>171430</v>
      </c>
      <c r="E84" s="61" t="s">
        <v>314</v>
      </c>
      <c r="F84" s="63">
        <v>107056</v>
      </c>
      <c r="G84" s="61" t="s">
        <v>281</v>
      </c>
      <c r="H84" s="63">
        <v>26932</v>
      </c>
      <c r="I84" s="61" t="s">
        <v>305</v>
      </c>
      <c r="J84" s="63">
        <v>14464</v>
      </c>
      <c r="K84" s="61" t="s">
        <v>304</v>
      </c>
      <c r="L84" s="63">
        <v>16893</v>
      </c>
    </row>
    <row r="85" spans="1:12" ht="15">
      <c r="A85" s="103" t="s">
        <v>283</v>
      </c>
      <c r="B85" s="63">
        <v>171430</v>
      </c>
      <c r="C85" s="61" t="s">
        <v>297</v>
      </c>
      <c r="D85" s="63">
        <v>20186</v>
      </c>
      <c r="E85" s="61" t="s">
        <v>289</v>
      </c>
      <c r="F85" s="63">
        <v>27982</v>
      </c>
      <c r="G85" s="61" t="s">
        <v>301</v>
      </c>
      <c r="H85" s="63">
        <v>12040</v>
      </c>
      <c r="I85" s="61" t="s">
        <v>294</v>
      </c>
      <c r="J85" s="63">
        <v>4199</v>
      </c>
      <c r="K85" s="61" t="s">
        <v>303</v>
      </c>
      <c r="L85" s="63">
        <v>4424</v>
      </c>
    </row>
    <row r="86" spans="1:12" ht="15">
      <c r="A86" s="103" t="s">
        <v>296</v>
      </c>
      <c r="B86" s="63">
        <v>153670</v>
      </c>
      <c r="C86" s="61" t="s">
        <v>309</v>
      </c>
      <c r="D86" s="63">
        <v>13464</v>
      </c>
      <c r="E86" s="61" t="s">
        <v>286</v>
      </c>
      <c r="F86" s="63">
        <v>22756</v>
      </c>
      <c r="G86" s="61" t="s">
        <v>300</v>
      </c>
      <c r="H86" s="63">
        <v>8315</v>
      </c>
      <c r="I86" s="61" t="s">
        <v>280</v>
      </c>
      <c r="J86" s="63">
        <v>1738</v>
      </c>
      <c r="K86" s="61" t="s">
        <v>279</v>
      </c>
      <c r="L86" s="63">
        <v>3518</v>
      </c>
    </row>
    <row r="87" spans="1:12" ht="15">
      <c r="A87" s="103" t="s">
        <v>314</v>
      </c>
      <c r="B87" s="63">
        <v>107056</v>
      </c>
      <c r="C87" s="61" t="s">
        <v>302</v>
      </c>
      <c r="D87" s="63">
        <v>11528</v>
      </c>
      <c r="E87" s="61" t="s">
        <v>291</v>
      </c>
      <c r="F87" s="63">
        <v>17846</v>
      </c>
      <c r="G87" s="61" t="s">
        <v>308</v>
      </c>
      <c r="H87" s="63">
        <v>148</v>
      </c>
      <c r="I87" s="61" t="s">
        <v>292</v>
      </c>
      <c r="J87" s="63">
        <v>604</v>
      </c>
      <c r="K87" s="61"/>
      <c r="L87" s="63"/>
    </row>
    <row r="88" spans="1:12" ht="15">
      <c r="A88" s="103" t="s">
        <v>306</v>
      </c>
      <c r="B88" s="63">
        <v>62305</v>
      </c>
      <c r="C88" s="61" t="s">
        <v>285</v>
      </c>
      <c r="D88" s="63">
        <v>5978</v>
      </c>
      <c r="E88" s="61" t="s">
        <v>288</v>
      </c>
      <c r="F88" s="63">
        <v>4014</v>
      </c>
      <c r="G88" s="61" t="s">
        <v>307</v>
      </c>
      <c r="H88" s="63">
        <v>91</v>
      </c>
      <c r="I88" s="61"/>
      <c r="J88" s="63"/>
      <c r="K88" s="61"/>
      <c r="L88" s="63"/>
    </row>
    <row r="89" spans="1:12" ht="15">
      <c r="A89" s="103" t="s">
        <v>287</v>
      </c>
      <c r="B89" s="63">
        <v>39480</v>
      </c>
      <c r="C89" s="61" t="s">
        <v>284</v>
      </c>
      <c r="D89" s="63">
        <v>5425</v>
      </c>
      <c r="E89" s="61" t="s">
        <v>310</v>
      </c>
      <c r="F89" s="63">
        <v>1943</v>
      </c>
      <c r="G89" s="61"/>
      <c r="H89" s="63"/>
      <c r="I89" s="61"/>
      <c r="J89" s="63"/>
      <c r="K89" s="61"/>
      <c r="L89" s="63"/>
    </row>
    <row r="90" spans="1:12" ht="15">
      <c r="A90" s="103" t="s">
        <v>289</v>
      </c>
      <c r="B90" s="63">
        <v>27982</v>
      </c>
      <c r="C90" s="61" t="s">
        <v>313</v>
      </c>
      <c r="D90" s="63">
        <v>4376</v>
      </c>
      <c r="E90" s="61" t="s">
        <v>298</v>
      </c>
      <c r="F90" s="63">
        <v>831</v>
      </c>
      <c r="G90" s="61"/>
      <c r="H90" s="63"/>
      <c r="I90" s="61"/>
      <c r="J90" s="63"/>
      <c r="K90" s="61"/>
      <c r="L90" s="63"/>
    </row>
    <row r="91" spans="1:12" ht="15">
      <c r="A91" s="103" t="s">
        <v>281</v>
      </c>
      <c r="B91" s="63">
        <v>26932</v>
      </c>
      <c r="C91" s="61" t="s">
        <v>311</v>
      </c>
      <c r="D91" s="63">
        <v>4078</v>
      </c>
      <c r="E91" s="61" t="s">
        <v>295</v>
      </c>
      <c r="F91" s="63">
        <v>106</v>
      </c>
      <c r="G91" s="61"/>
      <c r="H91" s="63"/>
      <c r="I91" s="61"/>
      <c r="J91" s="63"/>
      <c r="K91" s="61"/>
      <c r="L91" s="63"/>
    </row>
    <row r="92" spans="1:12" ht="15">
      <c r="A92" s="103" t="s">
        <v>286</v>
      </c>
      <c r="B92" s="63">
        <v>22756</v>
      </c>
      <c r="C92" s="61" t="s">
        <v>299</v>
      </c>
      <c r="D92" s="63">
        <v>1185</v>
      </c>
      <c r="E92" s="61"/>
      <c r="F92" s="63"/>
      <c r="G92" s="61"/>
      <c r="H92" s="63"/>
      <c r="I92" s="61"/>
      <c r="J92" s="63"/>
      <c r="K92" s="61"/>
      <c r="L92" s="63"/>
    </row>
  </sheetData>
  <hyperlinks>
    <hyperlink ref="A2" r:id="rId1" display="http://transvisionmadrid.com/"/>
    <hyperlink ref="A3" r:id="rId2" display="https://www.youtube.com/watch?v=xb0JCOgMsXc&amp;feature=youtu.be"/>
    <hyperlink ref="A4" r:id="rId3" display="https://www.youtube.com/watch?v=3JK84n-jsMU"/>
    <hyperlink ref="A5" r:id="rId4" display="https://www.youtube.com/watch?v=xb0JCOgMsXc"/>
    <hyperlink ref="A6" r:id="rId5" display="https://youtu.be/erkbGlWtX3Q"/>
    <hyperlink ref="A7" r:id="rId6" display="https://youtube.com/c/AlianzaFuturista/streams"/>
    <hyperlink ref="A8" r:id="rId7" display="https://www.linkedin.com/feed/update/urn:li:share:6997477447952674817"/>
    <hyperlink ref="A9" r:id="rId8" display="https://www.abc.es/sociedad/cuatro-espanoles-reposan-congelados-espera-resucitados-20221109220843-nt.html"/>
    <hyperlink ref="A10" r:id="rId9" display="https://www.europapress.es/sociedad/noticia-madrid-acoge-fin-semana-cumbre-internacional-criopreservacion-humana-20221111121558.html"/>
    <hyperlink ref="A11" r:id="rId10" display="https://www.levante-emv.com/tendencias21/2022/11/12/cumbre-cientifica-inmortalidad-madrid-78418464.html"/>
    <hyperlink ref="C2" r:id="rId11" display="https://www.youtube.com/watch?v=xb0JCOgMsXc&amp;feature=youtu.be"/>
    <hyperlink ref="C3" r:id="rId12" display="https://youtu.be/erkbGlWtX3Q"/>
    <hyperlink ref="C4" r:id="rId13" display="https://www.youtube.com/watch?v=xb0JCOgMsXc"/>
    <hyperlink ref="C5" r:id="rId14" display="https://www.youtube.com/watch?v=erkbGlWtX3Q&amp;feature=youtu.be"/>
    <hyperlink ref="C6" r:id="rId15" display="https://twitter.com/kgomotsegoRam/status/1591376302753607680"/>
    <hyperlink ref="C7" r:id="rId16" display="https://youtu.be/xb0JCOgMsXc"/>
    <hyperlink ref="C8" r:id="rId17" display="https://www.linkedin.com/feed/update/urn:li:share:6997135896437231617"/>
    <hyperlink ref="C9" r:id="rId18" display="https://www.linkedin.com/feed/update/urn:li:ugcPost:6997204440164241408"/>
    <hyperlink ref="C10" r:id="rId19" display="https://www.youtube.com/watch?v=3JK84n-jsMU"/>
    <hyperlink ref="C11" r:id="rId20" display="https://youtube.com/c/AlianzaFuturista/streams"/>
    <hyperlink ref="E2" r:id="rId21" display="http://transvisionmadrid.com/"/>
    <hyperlink ref="E3" r:id="rId22" display="https://www.youtube.com/watch?v=3JK84n-jsMU"/>
    <hyperlink ref="E4" r:id="rId23" display="https://www.youtube.com/watch?v=erkbGlWtX3Q"/>
    <hyperlink ref="E5" r:id="rId24" display="https://www.abc.es/sociedad/cuatro-espanoles-reposan-congelados-espera-resucitados-20221109220843-nt.html"/>
    <hyperlink ref="E6" r:id="rId25" display="https://www.youtube.com/watch?v=xb0JCOgMsXc"/>
    <hyperlink ref="E7" r:id="rId26" display="https://www.levante-emv.com/tendencias21/2022/11/12/cumbre-cientifica-inmortalidad-madrid-78418464.html"/>
    <hyperlink ref="E8" r:id="rId27" display="https://www.youtube.com/watch?v=xb0JCOgMsXc&amp;feature=youtu.be"/>
    <hyperlink ref="E9" r:id="rId28" display="https://www.youtube.com/c/AlianzaFuturista/streams"/>
    <hyperlink ref="E10" r:id="rId29" display="https://www.eldebate.com/salud-y-bienestar/salud/20221114/ramon-risco-criopreservacion-viable-humanos_72431.html#utm_source=rrss-comp&amp;utm_medium=wh&amp;utm_campaign=fixed-btn"/>
    <hyperlink ref="E11" r:id="rId30" display="https://www.niusdiario.es/ciencia-y-tecnologia/ciencia/20221111/precio-criogenizarse-5000-euros-20-anos_18_07953883.html"/>
    <hyperlink ref="G2" r:id="rId31" display="https://www.youtube.com/watch?v=xb0JCOgMsXc&amp;feature=youtu.be"/>
    <hyperlink ref="G3" r:id="rId32" display="https://www.youtube.com/c/AlianzaFuturista/streams"/>
    <hyperlink ref="G4" r:id="rId33" display="https://www.youtube.com/watch?v=xb0JCOgMsXc"/>
    <hyperlink ref="G5" r:id="rId34" display="https://www.youtube.com/watch?v=3JK84n-jsMU"/>
    <hyperlink ref="G6" r:id="rId35" display="https://youtube.com/c/AlianzaFuturista/streams"/>
    <hyperlink ref="G7" r:id="rId36" display="https://www.linkedin.com/feed/update/urn:li:share:6997477447952674817"/>
    <hyperlink ref="I2" r:id="rId37" display="http://transvisionmadrid.com/"/>
    <hyperlink ref="I3" r:id="rId38" display="https://www.youtube.com/watch?v=3JK84n-jsMU"/>
    <hyperlink ref="I4" r:id="rId39" display="https://www.europapress.es/sociedad/noticia-madrid-acoge-fin-semana-cumbre-internacional-criopreservacion-humana-20221111121558.html"/>
    <hyperlink ref="I5" r:id="rId40" display="https://okdiario.com/salud/madrid-acogera-cumbre-internacional-sobre-criopreservacion-pacientes-futura-reanimacion-9945365"/>
    <hyperlink ref="I6" r:id="rId41" display="https://www.abc.es/sociedad/cuatro-espanoles-reposan-congelados-espera-resucitados-20221109220843-nt.html"/>
    <hyperlink ref="I7" r:id="rId42" display="https://www.youtube.com/watch?v=xb0JCOgMsXc"/>
    <hyperlink ref="I8" r:id="rId43" display="https://youtu.be/erkbGlWtX3Q"/>
    <hyperlink ref="I9" r:id="rId44" display="https://youtube.com/c/AlianzaFuturista/streams"/>
    <hyperlink ref="I10" r:id="rId45" display="https://www.linkedin.com/feed/update/urn:li:share:6997477447952674817"/>
    <hyperlink ref="I11" r:id="rId46" display="https://www.linkedin.com/feed/update/urn:li:share:6997498384492191745"/>
    <hyperlink ref="K2" r:id="rId47" display="https://www.transvisionmadrid.com/en/2022.html"/>
    <hyperlink ref="K3" r:id="rId48" display="https://twitter.com/kgomotsegoRam/status/1591376302753607680"/>
    <hyperlink ref="K4" r:id="rId49" display="https://youtube.com/c/AlianzaFuturista/streams"/>
    <hyperlink ref="K5" r:id="rId50" display="https://www.linkedin.com/feed/update/urn:li:share:6997477447952674817"/>
    <hyperlink ref="K6" r:id="rId51" display="http://transvisionmadrid.com/"/>
  </hyperlinks>
  <printOptions/>
  <pageMargins left="0.7" right="0.7" top="0.75" bottom="0.75" header="0.3" footer="0.3"/>
  <pageSetup orientation="portrait" paperSize="9"/>
  <tableParts>
    <tablePart r:id="rId53"/>
    <tablePart r:id="rId55"/>
    <tablePart r:id="rId58"/>
    <tablePart r:id="rId57"/>
    <tablePart r:id="rId56"/>
    <tablePart r:id="rId52"/>
    <tablePart r:id="rId54"/>
    <tablePart r:id="rId5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378D1C4-012E-412D-8D3B-524DA2CAC0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2022-11-19T05:50:58Z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